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pel\Dropbox\RESEARCH\CURRENT_PROJECTS\QuantumComputing\2021_01_06\experimental results spreadsheet\"/>
    </mc:Choice>
  </mc:AlternateContent>
  <xr:revisionPtr revIDLastSave="0" documentId="13_ncr:1_{A337FF64-F245-4260-B32E-28427B388B88}" xr6:coauthVersionLast="46" xr6:coauthVersionMax="46" xr10:uidLastSave="{00000000-0000-0000-0000-000000000000}"/>
  <bookViews>
    <workbookView xWindow="-98" yWindow="-98" windowWidth="20715" windowHeight="13276" xr2:uid="{D18F7937-B4E5-4D64-A9B7-1624C56EF9D0}"/>
  </bookViews>
  <sheets>
    <sheet name="3qubits" sheetId="6" r:id="rId1"/>
    <sheet name="5qubits" sheetId="1" r:id="rId2"/>
    <sheet name="Counts" sheetId="5" r:id="rId3"/>
    <sheet name="Factor 1 CNOTS" sheetId="2" r:id="rId4"/>
    <sheet name="Factor 2 SQG" sheetId="3" r:id="rId5"/>
    <sheet name="Factor 3 Run Time" sheetId="4" r:id="rId6"/>
    <sheet name="Tables Dat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59" i="1" l="1"/>
  <c r="AG159" i="1"/>
  <c r="AH139" i="1"/>
  <c r="AG139" i="1"/>
  <c r="AH119" i="1"/>
  <c r="AG119" i="1"/>
  <c r="AH99" i="1"/>
  <c r="AG99" i="1"/>
  <c r="AH79" i="1"/>
  <c r="AG79" i="1"/>
  <c r="AH59" i="1"/>
  <c r="AG59" i="1"/>
  <c r="AH39" i="1"/>
  <c r="AG39" i="1"/>
  <c r="AH19" i="1"/>
  <c r="AG19" i="1"/>
  <c r="S40" i="6"/>
  <c r="S20" i="6"/>
  <c r="I40" i="6" l="1"/>
  <c r="C40" i="6"/>
  <c r="Q40" i="6"/>
  <c r="O40" i="6"/>
  <c r="M40" i="6"/>
  <c r="K40" i="6"/>
  <c r="G40" i="6"/>
  <c r="E40" i="6"/>
  <c r="R39" i="6"/>
  <c r="P39" i="6"/>
  <c r="N39" i="6"/>
  <c r="L39" i="6"/>
  <c r="J39" i="6"/>
  <c r="H39" i="6"/>
  <c r="F39" i="6"/>
  <c r="D39" i="6"/>
  <c r="R38" i="6"/>
  <c r="P38" i="6"/>
  <c r="N38" i="6"/>
  <c r="L38" i="6"/>
  <c r="J38" i="6"/>
  <c r="H38" i="6"/>
  <c r="F38" i="6"/>
  <c r="D38" i="6"/>
  <c r="R37" i="6"/>
  <c r="P37" i="6"/>
  <c r="N37" i="6"/>
  <c r="L37" i="6"/>
  <c r="J37" i="6"/>
  <c r="H37" i="6"/>
  <c r="F37" i="6"/>
  <c r="D37" i="6"/>
  <c r="R36" i="6"/>
  <c r="P36" i="6"/>
  <c r="P40" i="6" s="1"/>
  <c r="N36" i="6"/>
  <c r="N40" i="6" s="1"/>
  <c r="L36" i="6"/>
  <c r="J36" i="6"/>
  <c r="H36" i="6"/>
  <c r="F36" i="6"/>
  <c r="D36" i="6"/>
  <c r="R19" i="6"/>
  <c r="R18" i="6"/>
  <c r="R17" i="6"/>
  <c r="R16" i="6"/>
  <c r="R20" i="6" s="1"/>
  <c r="Q20" i="6"/>
  <c r="P19" i="6"/>
  <c r="P20" i="6" s="1"/>
  <c r="P18" i="6"/>
  <c r="P17" i="6"/>
  <c r="P16" i="6"/>
  <c r="O20" i="6"/>
  <c r="N16" i="6"/>
  <c r="N19" i="6"/>
  <c r="N18" i="6"/>
  <c r="N17" i="6"/>
  <c r="N20" i="6"/>
  <c r="M20" i="6"/>
  <c r="L19" i="6"/>
  <c r="L20" i="6" s="1"/>
  <c r="L18" i="6"/>
  <c r="L17" i="6"/>
  <c r="L16" i="6"/>
  <c r="K20" i="6"/>
  <c r="J19" i="6"/>
  <c r="J18" i="6"/>
  <c r="J17" i="6"/>
  <c r="J16" i="6"/>
  <c r="J20" i="6" s="1"/>
  <c r="I20" i="6"/>
  <c r="H20" i="6"/>
  <c r="H19" i="6"/>
  <c r="H18" i="6"/>
  <c r="H17" i="6"/>
  <c r="H16" i="6"/>
  <c r="G20" i="6"/>
  <c r="F19" i="6"/>
  <c r="F18" i="6"/>
  <c r="F17" i="6"/>
  <c r="F16" i="6"/>
  <c r="E20" i="6"/>
  <c r="C20" i="6"/>
  <c r="D20" i="6"/>
  <c r="D17" i="6"/>
  <c r="D18" i="6"/>
  <c r="D19" i="6"/>
  <c r="D16" i="6"/>
  <c r="J40" i="6" l="1"/>
  <c r="L40" i="6"/>
  <c r="H40" i="6"/>
  <c r="D40" i="6"/>
  <c r="R40" i="6"/>
  <c r="F40" i="6"/>
  <c r="F20" i="6"/>
  <c r="D1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E12" i="4"/>
  <c r="C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B24" i="4"/>
  <c r="B21" i="4"/>
  <c r="B18" i="4"/>
  <c r="B15" i="4"/>
  <c r="B12" i="4"/>
  <c r="B9" i="4"/>
  <c r="B6" i="4"/>
  <c r="B3" i="4"/>
  <c r="C24" i="3" l="1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9" i="3"/>
  <c r="D9" i="3"/>
  <c r="E9" i="3"/>
  <c r="F9" i="3"/>
  <c r="G9" i="3"/>
  <c r="H9" i="3"/>
  <c r="I9" i="3"/>
  <c r="J9" i="3"/>
  <c r="K9" i="3"/>
  <c r="L9" i="3"/>
  <c r="M9" i="3"/>
  <c r="N9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B24" i="3"/>
  <c r="B21" i="3"/>
  <c r="B18" i="3"/>
  <c r="B15" i="3"/>
  <c r="B12" i="3"/>
  <c r="B6" i="3"/>
  <c r="B9" i="3"/>
  <c r="B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C3" i="3"/>
  <c r="D3" i="3"/>
  <c r="E3" i="3"/>
  <c r="F3" i="3"/>
  <c r="G3" i="3"/>
  <c r="H3" i="3"/>
  <c r="I3" i="3"/>
  <c r="J3" i="3"/>
  <c r="K3" i="3"/>
  <c r="L3" i="3"/>
  <c r="M3" i="3"/>
  <c r="A119" i="5" l="1"/>
  <c r="A118" i="5"/>
  <c r="A117" i="5"/>
  <c r="A116" i="5"/>
  <c r="A115" i="5"/>
  <c r="A114" i="5"/>
  <c r="A113" i="5"/>
  <c r="F74" i="5"/>
  <c r="C86" i="5"/>
  <c r="D86" i="5"/>
  <c r="E86" i="5"/>
  <c r="F86" i="5"/>
  <c r="G86" i="5"/>
  <c r="I86" i="5"/>
  <c r="J86" i="5"/>
  <c r="K86" i="5"/>
  <c r="L86" i="5"/>
  <c r="M86" i="5"/>
  <c r="N86" i="5"/>
  <c r="P86" i="5"/>
  <c r="Q86" i="5"/>
  <c r="R86" i="5"/>
  <c r="S86" i="5"/>
  <c r="T86" i="5"/>
  <c r="U86" i="5"/>
  <c r="W86" i="5"/>
  <c r="X86" i="5"/>
  <c r="Y86" i="5"/>
  <c r="Z86" i="5"/>
  <c r="AA86" i="5"/>
  <c r="AB86" i="5"/>
  <c r="AD86" i="5"/>
  <c r="AE86" i="5"/>
  <c r="AF86" i="5"/>
  <c r="AG86" i="5"/>
  <c r="AH86" i="5"/>
  <c r="AI86" i="5"/>
  <c r="C87" i="5"/>
  <c r="D87" i="5"/>
  <c r="E87" i="5"/>
  <c r="F87" i="5"/>
  <c r="G87" i="5"/>
  <c r="I87" i="5"/>
  <c r="J87" i="5"/>
  <c r="K87" i="5"/>
  <c r="L87" i="5"/>
  <c r="M87" i="5"/>
  <c r="N87" i="5"/>
  <c r="P87" i="5"/>
  <c r="Q87" i="5"/>
  <c r="R87" i="5"/>
  <c r="S87" i="5"/>
  <c r="T87" i="5"/>
  <c r="U87" i="5"/>
  <c r="W87" i="5"/>
  <c r="X87" i="5"/>
  <c r="Y87" i="5"/>
  <c r="Z87" i="5"/>
  <c r="AA87" i="5"/>
  <c r="AB87" i="5"/>
  <c r="AD87" i="5"/>
  <c r="AE87" i="5"/>
  <c r="AF87" i="5"/>
  <c r="AG87" i="5"/>
  <c r="AH87" i="5"/>
  <c r="AI87" i="5"/>
  <c r="C88" i="5"/>
  <c r="D88" i="5"/>
  <c r="E88" i="5"/>
  <c r="F88" i="5"/>
  <c r="G88" i="5"/>
  <c r="I88" i="5"/>
  <c r="J88" i="5"/>
  <c r="K88" i="5"/>
  <c r="L88" i="5"/>
  <c r="M88" i="5"/>
  <c r="N88" i="5"/>
  <c r="P88" i="5"/>
  <c r="Q88" i="5"/>
  <c r="R88" i="5"/>
  <c r="S88" i="5"/>
  <c r="T88" i="5"/>
  <c r="U88" i="5"/>
  <c r="W88" i="5"/>
  <c r="X88" i="5"/>
  <c r="Y88" i="5"/>
  <c r="Z88" i="5"/>
  <c r="AA88" i="5"/>
  <c r="AB88" i="5"/>
  <c r="AD88" i="5"/>
  <c r="AE88" i="5"/>
  <c r="AF88" i="5"/>
  <c r="AG88" i="5"/>
  <c r="AH88" i="5"/>
  <c r="AI88" i="5"/>
  <c r="C89" i="5"/>
  <c r="D89" i="5"/>
  <c r="E89" i="5"/>
  <c r="F89" i="5"/>
  <c r="G89" i="5"/>
  <c r="I89" i="5"/>
  <c r="J89" i="5"/>
  <c r="K89" i="5"/>
  <c r="L89" i="5"/>
  <c r="M89" i="5"/>
  <c r="N89" i="5"/>
  <c r="P89" i="5"/>
  <c r="Q89" i="5"/>
  <c r="R89" i="5"/>
  <c r="S89" i="5"/>
  <c r="T89" i="5"/>
  <c r="U89" i="5"/>
  <c r="W89" i="5"/>
  <c r="X89" i="5"/>
  <c r="Y89" i="5"/>
  <c r="Z89" i="5"/>
  <c r="AA89" i="5"/>
  <c r="AB89" i="5"/>
  <c r="AD89" i="5"/>
  <c r="AE89" i="5"/>
  <c r="AF89" i="5"/>
  <c r="AG89" i="5"/>
  <c r="AH89" i="5"/>
  <c r="AI89" i="5"/>
  <c r="B89" i="5"/>
  <c r="B88" i="5"/>
  <c r="B87" i="5"/>
  <c r="B86" i="5"/>
  <c r="AI74" i="5"/>
  <c r="AI75" i="5"/>
  <c r="AI76" i="5"/>
  <c r="AI77" i="5"/>
  <c r="C74" i="5"/>
  <c r="D74" i="5"/>
  <c r="E74" i="5"/>
  <c r="G74" i="5"/>
  <c r="I74" i="5"/>
  <c r="J74" i="5"/>
  <c r="J78" i="5" s="1"/>
  <c r="K74" i="5"/>
  <c r="L74" i="5"/>
  <c r="M74" i="5"/>
  <c r="N74" i="5"/>
  <c r="P74" i="5"/>
  <c r="Q74" i="5"/>
  <c r="R74" i="5"/>
  <c r="S74" i="5"/>
  <c r="S78" i="5" s="1"/>
  <c r="T74" i="5"/>
  <c r="U74" i="5"/>
  <c r="W74" i="5"/>
  <c r="X74" i="5"/>
  <c r="Y74" i="5"/>
  <c r="Z74" i="5"/>
  <c r="AA74" i="5"/>
  <c r="AB74" i="5"/>
  <c r="AD74" i="5"/>
  <c r="AE74" i="5"/>
  <c r="AF74" i="5"/>
  <c r="AG74" i="5"/>
  <c r="AG78" i="5" s="1"/>
  <c r="AH74" i="5"/>
  <c r="C75" i="5"/>
  <c r="D75" i="5"/>
  <c r="E75" i="5"/>
  <c r="F75" i="5"/>
  <c r="G75" i="5"/>
  <c r="I75" i="5"/>
  <c r="J75" i="5"/>
  <c r="K75" i="5"/>
  <c r="L75" i="5"/>
  <c r="M75" i="5"/>
  <c r="N75" i="5"/>
  <c r="N78" i="5" s="1"/>
  <c r="P75" i="5"/>
  <c r="Q75" i="5"/>
  <c r="R75" i="5"/>
  <c r="S75" i="5"/>
  <c r="T75" i="5"/>
  <c r="U75" i="5"/>
  <c r="W75" i="5"/>
  <c r="X75" i="5"/>
  <c r="Y75" i="5"/>
  <c r="Z75" i="5"/>
  <c r="AA75" i="5"/>
  <c r="AB75" i="5"/>
  <c r="AD75" i="5"/>
  <c r="AE75" i="5"/>
  <c r="AF75" i="5"/>
  <c r="AG75" i="5"/>
  <c r="AH75" i="5"/>
  <c r="C76" i="5"/>
  <c r="D76" i="5"/>
  <c r="E76" i="5"/>
  <c r="F76" i="5"/>
  <c r="G76" i="5"/>
  <c r="I76" i="5"/>
  <c r="J76" i="5"/>
  <c r="K76" i="5"/>
  <c r="L76" i="5"/>
  <c r="M76" i="5"/>
  <c r="N76" i="5"/>
  <c r="P76" i="5"/>
  <c r="Q76" i="5"/>
  <c r="R76" i="5"/>
  <c r="S76" i="5"/>
  <c r="T76" i="5"/>
  <c r="U76" i="5"/>
  <c r="W76" i="5"/>
  <c r="X76" i="5"/>
  <c r="Y76" i="5"/>
  <c r="Z76" i="5"/>
  <c r="AA76" i="5"/>
  <c r="AB76" i="5"/>
  <c r="AD76" i="5"/>
  <c r="AE76" i="5"/>
  <c r="AF76" i="5"/>
  <c r="AG76" i="5"/>
  <c r="AH76" i="5"/>
  <c r="C77" i="5"/>
  <c r="D77" i="5"/>
  <c r="E77" i="5"/>
  <c r="F77" i="5"/>
  <c r="G77" i="5"/>
  <c r="I77" i="5"/>
  <c r="J77" i="5"/>
  <c r="K77" i="5"/>
  <c r="L77" i="5"/>
  <c r="M77" i="5"/>
  <c r="N77" i="5"/>
  <c r="P77" i="5"/>
  <c r="Q77" i="5"/>
  <c r="R77" i="5"/>
  <c r="S77" i="5"/>
  <c r="T77" i="5"/>
  <c r="U77" i="5"/>
  <c r="W77" i="5"/>
  <c r="X77" i="5"/>
  <c r="Y77" i="5"/>
  <c r="Z77" i="5"/>
  <c r="AA77" i="5"/>
  <c r="AB77" i="5"/>
  <c r="AD77" i="5"/>
  <c r="AE77" i="5"/>
  <c r="AF77" i="5"/>
  <c r="AG77" i="5"/>
  <c r="AH77" i="5"/>
  <c r="E78" i="5"/>
  <c r="B77" i="5"/>
  <c r="B76" i="5"/>
  <c r="B75" i="5"/>
  <c r="B74" i="5"/>
  <c r="C62" i="5"/>
  <c r="D62" i="5"/>
  <c r="E62" i="5"/>
  <c r="F62" i="5"/>
  <c r="G62" i="5"/>
  <c r="I62" i="5"/>
  <c r="J62" i="5"/>
  <c r="K62" i="5"/>
  <c r="L62" i="5"/>
  <c r="M62" i="5"/>
  <c r="N62" i="5"/>
  <c r="P62" i="5"/>
  <c r="Q62" i="5"/>
  <c r="R62" i="5"/>
  <c r="S62" i="5"/>
  <c r="T62" i="5"/>
  <c r="U62" i="5"/>
  <c r="W62" i="5"/>
  <c r="X62" i="5"/>
  <c r="Y62" i="5"/>
  <c r="Z62" i="5"/>
  <c r="AA62" i="5"/>
  <c r="AB62" i="5"/>
  <c r="AD62" i="5"/>
  <c r="AE62" i="5"/>
  <c r="AF62" i="5"/>
  <c r="AG62" i="5"/>
  <c r="AH62" i="5"/>
  <c r="AI62" i="5"/>
  <c r="C63" i="5"/>
  <c r="D63" i="5"/>
  <c r="E63" i="5"/>
  <c r="F63" i="5"/>
  <c r="G63" i="5"/>
  <c r="I63" i="5"/>
  <c r="J63" i="5"/>
  <c r="K63" i="5"/>
  <c r="L63" i="5"/>
  <c r="M63" i="5"/>
  <c r="N63" i="5"/>
  <c r="P63" i="5"/>
  <c r="Q63" i="5"/>
  <c r="R63" i="5"/>
  <c r="S63" i="5"/>
  <c r="T63" i="5"/>
  <c r="U63" i="5"/>
  <c r="W63" i="5"/>
  <c r="X63" i="5"/>
  <c r="Y63" i="5"/>
  <c r="Z63" i="5"/>
  <c r="AA63" i="5"/>
  <c r="AB63" i="5"/>
  <c r="AD63" i="5"/>
  <c r="AE63" i="5"/>
  <c r="AF63" i="5"/>
  <c r="AG63" i="5"/>
  <c r="AH63" i="5"/>
  <c r="AI63" i="5"/>
  <c r="C64" i="5"/>
  <c r="D64" i="5"/>
  <c r="E64" i="5"/>
  <c r="F64" i="5"/>
  <c r="G64" i="5"/>
  <c r="I64" i="5"/>
  <c r="J64" i="5"/>
  <c r="K64" i="5"/>
  <c r="L64" i="5"/>
  <c r="M64" i="5"/>
  <c r="N64" i="5"/>
  <c r="P64" i="5"/>
  <c r="Q64" i="5"/>
  <c r="R64" i="5"/>
  <c r="S64" i="5"/>
  <c r="T64" i="5"/>
  <c r="U64" i="5"/>
  <c r="W64" i="5"/>
  <c r="X64" i="5"/>
  <c r="Y64" i="5"/>
  <c r="Z64" i="5"/>
  <c r="AA64" i="5"/>
  <c r="AB64" i="5"/>
  <c r="AD64" i="5"/>
  <c r="AE64" i="5"/>
  <c r="AF64" i="5"/>
  <c r="AG64" i="5"/>
  <c r="AH64" i="5"/>
  <c r="AI64" i="5"/>
  <c r="C65" i="5"/>
  <c r="D65" i="5"/>
  <c r="E65" i="5"/>
  <c r="F65" i="5"/>
  <c r="G65" i="5"/>
  <c r="I65" i="5"/>
  <c r="J65" i="5"/>
  <c r="K65" i="5"/>
  <c r="L65" i="5"/>
  <c r="M65" i="5"/>
  <c r="N65" i="5"/>
  <c r="P65" i="5"/>
  <c r="Q65" i="5"/>
  <c r="R65" i="5"/>
  <c r="S65" i="5"/>
  <c r="T65" i="5"/>
  <c r="U65" i="5"/>
  <c r="W65" i="5"/>
  <c r="X65" i="5"/>
  <c r="Y65" i="5"/>
  <c r="Z65" i="5"/>
  <c r="AA65" i="5"/>
  <c r="AB65" i="5"/>
  <c r="AD65" i="5"/>
  <c r="AE65" i="5"/>
  <c r="AF65" i="5"/>
  <c r="AG65" i="5"/>
  <c r="AH65" i="5"/>
  <c r="AI65" i="5"/>
  <c r="B65" i="5"/>
  <c r="B64" i="5"/>
  <c r="B63" i="5"/>
  <c r="B62" i="5"/>
  <c r="AF99" i="1"/>
  <c r="AI50" i="5"/>
  <c r="C50" i="5"/>
  <c r="D50" i="5"/>
  <c r="E50" i="5"/>
  <c r="F50" i="5"/>
  <c r="G50" i="5"/>
  <c r="I50" i="5"/>
  <c r="J50" i="5"/>
  <c r="K50" i="5"/>
  <c r="L50" i="5"/>
  <c r="M50" i="5"/>
  <c r="N50" i="5"/>
  <c r="P50" i="5"/>
  <c r="Q50" i="5"/>
  <c r="R50" i="5"/>
  <c r="S50" i="5"/>
  <c r="T50" i="5"/>
  <c r="U50" i="5"/>
  <c r="W50" i="5"/>
  <c r="X50" i="5"/>
  <c r="Y50" i="5"/>
  <c r="Z50" i="5"/>
  <c r="AA50" i="5"/>
  <c r="AB50" i="5"/>
  <c r="AD50" i="5"/>
  <c r="AE50" i="5"/>
  <c r="AF50" i="5"/>
  <c r="AG50" i="5"/>
  <c r="AH50" i="5"/>
  <c r="C51" i="5"/>
  <c r="D51" i="5"/>
  <c r="E51" i="5"/>
  <c r="F51" i="5"/>
  <c r="G51" i="5"/>
  <c r="I51" i="5"/>
  <c r="J51" i="5"/>
  <c r="K51" i="5"/>
  <c r="L51" i="5"/>
  <c r="M51" i="5"/>
  <c r="N51" i="5"/>
  <c r="P51" i="5"/>
  <c r="Q51" i="5"/>
  <c r="R51" i="5"/>
  <c r="S51" i="5"/>
  <c r="T51" i="5"/>
  <c r="U51" i="5"/>
  <c r="W51" i="5"/>
  <c r="X51" i="5"/>
  <c r="Y51" i="5"/>
  <c r="Z51" i="5"/>
  <c r="AA51" i="5"/>
  <c r="AB51" i="5"/>
  <c r="AD51" i="5"/>
  <c r="AE51" i="5"/>
  <c r="AF51" i="5"/>
  <c r="AG51" i="5"/>
  <c r="AH51" i="5"/>
  <c r="AI51" i="5"/>
  <c r="C52" i="5"/>
  <c r="D52" i="5"/>
  <c r="E52" i="5"/>
  <c r="F52" i="5"/>
  <c r="G52" i="5"/>
  <c r="I52" i="5"/>
  <c r="J52" i="5"/>
  <c r="K52" i="5"/>
  <c r="L52" i="5"/>
  <c r="M52" i="5"/>
  <c r="N52" i="5"/>
  <c r="P52" i="5"/>
  <c r="Q52" i="5"/>
  <c r="R52" i="5"/>
  <c r="S52" i="5"/>
  <c r="T52" i="5"/>
  <c r="U52" i="5"/>
  <c r="W52" i="5"/>
  <c r="X52" i="5"/>
  <c r="Y52" i="5"/>
  <c r="Z52" i="5"/>
  <c r="AA52" i="5"/>
  <c r="AB52" i="5"/>
  <c r="AD52" i="5"/>
  <c r="AE52" i="5"/>
  <c r="AF52" i="5"/>
  <c r="AG52" i="5"/>
  <c r="AH52" i="5"/>
  <c r="AI52" i="5"/>
  <c r="C53" i="5"/>
  <c r="D53" i="5"/>
  <c r="E53" i="5"/>
  <c r="F53" i="5"/>
  <c r="G53" i="5"/>
  <c r="I53" i="5"/>
  <c r="J53" i="5"/>
  <c r="K53" i="5"/>
  <c r="L53" i="5"/>
  <c r="M53" i="5"/>
  <c r="N53" i="5"/>
  <c r="P53" i="5"/>
  <c r="Q53" i="5"/>
  <c r="R53" i="5"/>
  <c r="S53" i="5"/>
  <c r="T53" i="5"/>
  <c r="U53" i="5"/>
  <c r="W53" i="5"/>
  <c r="X53" i="5"/>
  <c r="Y53" i="5"/>
  <c r="Z53" i="5"/>
  <c r="AA53" i="5"/>
  <c r="AB53" i="5"/>
  <c r="AD53" i="5"/>
  <c r="AE53" i="5"/>
  <c r="AF53" i="5"/>
  <c r="AG53" i="5"/>
  <c r="AH53" i="5"/>
  <c r="AI53" i="5"/>
  <c r="B53" i="5"/>
  <c r="B52" i="5"/>
  <c r="B51" i="5"/>
  <c r="B50" i="5"/>
  <c r="C38" i="5"/>
  <c r="D38" i="5"/>
  <c r="E38" i="5"/>
  <c r="F38" i="5"/>
  <c r="G38" i="5"/>
  <c r="I38" i="5"/>
  <c r="J38" i="5"/>
  <c r="K38" i="5"/>
  <c r="L38" i="5"/>
  <c r="M38" i="5"/>
  <c r="N38" i="5"/>
  <c r="P38" i="5"/>
  <c r="Q38" i="5"/>
  <c r="R38" i="5"/>
  <c r="S38" i="5"/>
  <c r="T38" i="5"/>
  <c r="U38" i="5"/>
  <c r="W38" i="5"/>
  <c r="X38" i="5"/>
  <c r="Y38" i="5"/>
  <c r="Z38" i="5"/>
  <c r="AA38" i="5"/>
  <c r="AB38" i="5"/>
  <c r="AD38" i="5"/>
  <c r="AE38" i="5"/>
  <c r="AF38" i="5"/>
  <c r="AG38" i="5"/>
  <c r="AH38" i="5"/>
  <c r="AI38" i="5"/>
  <c r="C39" i="5"/>
  <c r="D39" i="5"/>
  <c r="E39" i="5"/>
  <c r="F39" i="5"/>
  <c r="G39" i="5"/>
  <c r="I39" i="5"/>
  <c r="J39" i="5"/>
  <c r="K39" i="5"/>
  <c r="L39" i="5"/>
  <c r="M39" i="5"/>
  <c r="N39" i="5"/>
  <c r="P39" i="5"/>
  <c r="Q39" i="5"/>
  <c r="R39" i="5"/>
  <c r="S39" i="5"/>
  <c r="T39" i="5"/>
  <c r="U39" i="5"/>
  <c r="W39" i="5"/>
  <c r="X39" i="5"/>
  <c r="Y39" i="5"/>
  <c r="Z39" i="5"/>
  <c r="AA39" i="5"/>
  <c r="AB39" i="5"/>
  <c r="AD39" i="5"/>
  <c r="AE39" i="5"/>
  <c r="AF39" i="5"/>
  <c r="AG39" i="5"/>
  <c r="AH39" i="5"/>
  <c r="AI39" i="5"/>
  <c r="C40" i="5"/>
  <c r="D40" i="5"/>
  <c r="E40" i="5"/>
  <c r="F40" i="5"/>
  <c r="G40" i="5"/>
  <c r="I40" i="5"/>
  <c r="J40" i="5"/>
  <c r="K40" i="5"/>
  <c r="L40" i="5"/>
  <c r="M40" i="5"/>
  <c r="N40" i="5"/>
  <c r="P40" i="5"/>
  <c r="Q40" i="5"/>
  <c r="R40" i="5"/>
  <c r="S40" i="5"/>
  <c r="T40" i="5"/>
  <c r="U40" i="5"/>
  <c r="W40" i="5"/>
  <c r="X40" i="5"/>
  <c r="Y40" i="5"/>
  <c r="Z40" i="5"/>
  <c r="AA40" i="5"/>
  <c r="AB40" i="5"/>
  <c r="AD40" i="5"/>
  <c r="AE40" i="5"/>
  <c r="AF40" i="5"/>
  <c r="AG40" i="5"/>
  <c r="AH40" i="5"/>
  <c r="AI40" i="5"/>
  <c r="C41" i="5"/>
  <c r="D41" i="5"/>
  <c r="E41" i="5"/>
  <c r="F41" i="5"/>
  <c r="G41" i="5"/>
  <c r="I41" i="5"/>
  <c r="J41" i="5"/>
  <c r="K41" i="5"/>
  <c r="L41" i="5"/>
  <c r="M41" i="5"/>
  <c r="N41" i="5"/>
  <c r="P41" i="5"/>
  <c r="Q41" i="5"/>
  <c r="R41" i="5"/>
  <c r="S41" i="5"/>
  <c r="T41" i="5"/>
  <c r="U41" i="5"/>
  <c r="W41" i="5"/>
  <c r="X41" i="5"/>
  <c r="Y41" i="5"/>
  <c r="Z41" i="5"/>
  <c r="AA41" i="5"/>
  <c r="AB41" i="5"/>
  <c r="AD41" i="5"/>
  <c r="AE41" i="5"/>
  <c r="AF41" i="5"/>
  <c r="AG41" i="5"/>
  <c r="AH41" i="5"/>
  <c r="AI41" i="5"/>
  <c r="B41" i="5"/>
  <c r="B40" i="5"/>
  <c r="B39" i="5"/>
  <c r="B38" i="5"/>
  <c r="C26" i="5"/>
  <c r="D26" i="5"/>
  <c r="E26" i="5"/>
  <c r="F26" i="5"/>
  <c r="G26" i="5"/>
  <c r="I26" i="5"/>
  <c r="J26" i="5"/>
  <c r="K26" i="5"/>
  <c r="L26" i="5"/>
  <c r="M26" i="5"/>
  <c r="N26" i="5"/>
  <c r="P26" i="5"/>
  <c r="Q26" i="5"/>
  <c r="R26" i="5"/>
  <c r="S26" i="5"/>
  <c r="T26" i="5"/>
  <c r="U26" i="5"/>
  <c r="W26" i="5"/>
  <c r="X26" i="5"/>
  <c r="Y26" i="5"/>
  <c r="Z26" i="5"/>
  <c r="AA26" i="5"/>
  <c r="AB26" i="5"/>
  <c r="AD26" i="5"/>
  <c r="AE26" i="5"/>
  <c r="AF26" i="5"/>
  <c r="AG26" i="5"/>
  <c r="AH26" i="5"/>
  <c r="AI26" i="5"/>
  <c r="C27" i="5"/>
  <c r="D27" i="5"/>
  <c r="E27" i="5"/>
  <c r="F27" i="5"/>
  <c r="G27" i="5"/>
  <c r="I27" i="5"/>
  <c r="J27" i="5"/>
  <c r="K27" i="5"/>
  <c r="L27" i="5"/>
  <c r="M27" i="5"/>
  <c r="N27" i="5"/>
  <c r="P27" i="5"/>
  <c r="Q27" i="5"/>
  <c r="R27" i="5"/>
  <c r="S27" i="5"/>
  <c r="T27" i="5"/>
  <c r="U27" i="5"/>
  <c r="W27" i="5"/>
  <c r="X27" i="5"/>
  <c r="Y27" i="5"/>
  <c r="Z27" i="5"/>
  <c r="AA27" i="5"/>
  <c r="AB27" i="5"/>
  <c r="AD27" i="5"/>
  <c r="AE27" i="5"/>
  <c r="AF27" i="5"/>
  <c r="AG27" i="5"/>
  <c r="AH27" i="5"/>
  <c r="AI27" i="5"/>
  <c r="C28" i="5"/>
  <c r="D28" i="5"/>
  <c r="E28" i="5"/>
  <c r="F28" i="5"/>
  <c r="G28" i="5"/>
  <c r="I28" i="5"/>
  <c r="J28" i="5"/>
  <c r="K28" i="5"/>
  <c r="L28" i="5"/>
  <c r="M28" i="5"/>
  <c r="N28" i="5"/>
  <c r="P28" i="5"/>
  <c r="Q28" i="5"/>
  <c r="R28" i="5"/>
  <c r="S28" i="5"/>
  <c r="T28" i="5"/>
  <c r="U28" i="5"/>
  <c r="W28" i="5"/>
  <c r="X28" i="5"/>
  <c r="Y28" i="5"/>
  <c r="Z28" i="5"/>
  <c r="AA28" i="5"/>
  <c r="AB28" i="5"/>
  <c r="AD28" i="5"/>
  <c r="AE28" i="5"/>
  <c r="AF28" i="5"/>
  <c r="AG28" i="5"/>
  <c r="AH28" i="5"/>
  <c r="AI28" i="5"/>
  <c r="C29" i="5"/>
  <c r="D29" i="5"/>
  <c r="E29" i="5"/>
  <c r="F29" i="5"/>
  <c r="G29" i="5"/>
  <c r="I29" i="5"/>
  <c r="J29" i="5"/>
  <c r="K29" i="5"/>
  <c r="L29" i="5"/>
  <c r="M29" i="5"/>
  <c r="N29" i="5"/>
  <c r="P29" i="5"/>
  <c r="Q29" i="5"/>
  <c r="R29" i="5"/>
  <c r="S29" i="5"/>
  <c r="T29" i="5"/>
  <c r="U29" i="5"/>
  <c r="W29" i="5"/>
  <c r="X29" i="5"/>
  <c r="Y29" i="5"/>
  <c r="Z29" i="5"/>
  <c r="AA29" i="5"/>
  <c r="AB29" i="5"/>
  <c r="AD29" i="5"/>
  <c r="AE29" i="5"/>
  <c r="AF29" i="5"/>
  <c r="AG29" i="5"/>
  <c r="AH29" i="5"/>
  <c r="AI29" i="5"/>
  <c r="B29" i="5"/>
  <c r="B28" i="5"/>
  <c r="B27" i="5"/>
  <c r="B26" i="5"/>
  <c r="D14" i="5"/>
  <c r="E14" i="5"/>
  <c r="F14" i="5"/>
  <c r="G14" i="5"/>
  <c r="I14" i="5"/>
  <c r="J14" i="5"/>
  <c r="K14" i="5"/>
  <c r="L14" i="5"/>
  <c r="M14" i="5"/>
  <c r="N14" i="5"/>
  <c r="P14" i="5"/>
  <c r="Q14" i="5"/>
  <c r="R14" i="5"/>
  <c r="S14" i="5"/>
  <c r="T14" i="5"/>
  <c r="U14" i="5"/>
  <c r="W14" i="5"/>
  <c r="X14" i="5"/>
  <c r="Y14" i="5"/>
  <c r="Z14" i="5"/>
  <c r="AA14" i="5"/>
  <c r="AB14" i="5"/>
  <c r="AD14" i="5"/>
  <c r="AE14" i="5"/>
  <c r="AF14" i="5"/>
  <c r="AG14" i="5"/>
  <c r="AH14" i="5"/>
  <c r="AI14" i="5"/>
  <c r="D15" i="5"/>
  <c r="D18" i="5" s="1"/>
  <c r="E15" i="5"/>
  <c r="F15" i="5"/>
  <c r="G15" i="5"/>
  <c r="I15" i="5"/>
  <c r="J15" i="5"/>
  <c r="K15" i="5"/>
  <c r="L15" i="5"/>
  <c r="M15" i="5"/>
  <c r="N15" i="5"/>
  <c r="P15" i="5"/>
  <c r="Q15" i="5"/>
  <c r="R15" i="5"/>
  <c r="S15" i="5"/>
  <c r="T15" i="5"/>
  <c r="U15" i="5"/>
  <c r="W15" i="5"/>
  <c r="X15" i="5"/>
  <c r="Y15" i="5"/>
  <c r="Z15" i="5"/>
  <c r="AA15" i="5"/>
  <c r="AB15" i="5"/>
  <c r="AD15" i="5"/>
  <c r="AE15" i="5"/>
  <c r="AF15" i="5"/>
  <c r="AG15" i="5"/>
  <c r="AH15" i="5"/>
  <c r="AI15" i="5"/>
  <c r="D16" i="5"/>
  <c r="E16" i="5"/>
  <c r="F16" i="5"/>
  <c r="G16" i="5"/>
  <c r="I16" i="5"/>
  <c r="J16" i="5"/>
  <c r="K16" i="5"/>
  <c r="L16" i="5"/>
  <c r="M16" i="5"/>
  <c r="N16" i="5"/>
  <c r="P16" i="5"/>
  <c r="Q16" i="5"/>
  <c r="R16" i="5"/>
  <c r="S16" i="5"/>
  <c r="T16" i="5"/>
  <c r="U16" i="5"/>
  <c r="W16" i="5"/>
  <c r="X16" i="5"/>
  <c r="Y16" i="5"/>
  <c r="Z16" i="5"/>
  <c r="AA16" i="5"/>
  <c r="AB16" i="5"/>
  <c r="AD16" i="5"/>
  <c r="AE16" i="5"/>
  <c r="AF16" i="5"/>
  <c r="AG16" i="5"/>
  <c r="AH16" i="5"/>
  <c r="AI16" i="5"/>
  <c r="D17" i="5"/>
  <c r="E17" i="5"/>
  <c r="F17" i="5"/>
  <c r="G17" i="5"/>
  <c r="I17" i="5"/>
  <c r="J17" i="5"/>
  <c r="K17" i="5"/>
  <c r="L17" i="5"/>
  <c r="M17" i="5"/>
  <c r="N17" i="5"/>
  <c r="P17" i="5"/>
  <c r="Q17" i="5"/>
  <c r="R17" i="5"/>
  <c r="S17" i="5"/>
  <c r="T17" i="5"/>
  <c r="U17" i="5"/>
  <c r="W17" i="5"/>
  <c r="X17" i="5"/>
  <c r="Y17" i="5"/>
  <c r="Z17" i="5"/>
  <c r="AA17" i="5"/>
  <c r="AB17" i="5"/>
  <c r="AD17" i="5"/>
  <c r="AE17" i="5"/>
  <c r="AF17" i="5"/>
  <c r="AG17" i="5"/>
  <c r="AH17" i="5"/>
  <c r="AI17" i="5"/>
  <c r="C14" i="5"/>
  <c r="C15" i="5"/>
  <c r="C16" i="5"/>
  <c r="C17" i="5"/>
  <c r="B17" i="5"/>
  <c r="B16" i="5"/>
  <c r="B15" i="5"/>
  <c r="B14" i="5"/>
  <c r="Y2" i="5"/>
  <c r="Z2" i="5"/>
  <c r="AA2" i="5"/>
  <c r="AB2" i="5"/>
  <c r="AD2" i="5"/>
  <c r="AE2" i="5"/>
  <c r="AF2" i="5"/>
  <c r="AG2" i="5"/>
  <c r="AH2" i="5"/>
  <c r="AI2" i="5"/>
  <c r="Y3" i="5"/>
  <c r="Z3" i="5"/>
  <c r="AA3" i="5"/>
  <c r="AB3" i="5"/>
  <c r="AD3" i="5"/>
  <c r="AE3" i="5"/>
  <c r="AF3" i="5"/>
  <c r="AG3" i="5"/>
  <c r="AH3" i="5"/>
  <c r="AI3" i="5"/>
  <c r="Y4" i="5"/>
  <c r="Z4" i="5"/>
  <c r="AA4" i="5"/>
  <c r="AB4" i="5"/>
  <c r="AD4" i="5"/>
  <c r="AE4" i="5"/>
  <c r="AF4" i="5"/>
  <c r="AG4" i="5"/>
  <c r="AH4" i="5"/>
  <c r="AI4" i="5"/>
  <c r="Y5" i="5"/>
  <c r="Z5" i="5"/>
  <c r="AA5" i="5"/>
  <c r="AB5" i="5"/>
  <c r="AD5" i="5"/>
  <c r="AE5" i="5"/>
  <c r="AF5" i="5"/>
  <c r="AG5" i="5"/>
  <c r="AH5" i="5"/>
  <c r="AI5" i="5"/>
  <c r="P2" i="5"/>
  <c r="Q2" i="5"/>
  <c r="R2" i="5"/>
  <c r="S2" i="5"/>
  <c r="T2" i="5"/>
  <c r="U2" i="5"/>
  <c r="W2" i="5"/>
  <c r="X2" i="5"/>
  <c r="P3" i="5"/>
  <c r="Q3" i="5"/>
  <c r="R3" i="5"/>
  <c r="S3" i="5"/>
  <c r="T3" i="5"/>
  <c r="U3" i="5"/>
  <c r="W3" i="5"/>
  <c r="X3" i="5"/>
  <c r="P4" i="5"/>
  <c r="Q4" i="5"/>
  <c r="R4" i="5"/>
  <c r="S4" i="5"/>
  <c r="T4" i="5"/>
  <c r="U4" i="5"/>
  <c r="W4" i="5"/>
  <c r="X4" i="5"/>
  <c r="P5" i="5"/>
  <c r="Q5" i="5"/>
  <c r="R5" i="5"/>
  <c r="R6" i="5" s="1"/>
  <c r="S5" i="5"/>
  <c r="T5" i="5"/>
  <c r="T6" i="5" s="1"/>
  <c r="U5" i="5"/>
  <c r="U6" i="5" s="1"/>
  <c r="W5" i="5"/>
  <c r="X5" i="5"/>
  <c r="P6" i="5"/>
  <c r="Q6" i="5"/>
  <c r="S6" i="5"/>
  <c r="I2" i="5"/>
  <c r="J2" i="5"/>
  <c r="K2" i="5"/>
  <c r="L2" i="5"/>
  <c r="M2" i="5"/>
  <c r="N2" i="5"/>
  <c r="I3" i="5"/>
  <c r="J3" i="5"/>
  <c r="K3" i="5"/>
  <c r="L3" i="5"/>
  <c r="M3" i="5"/>
  <c r="N3" i="5"/>
  <c r="I4" i="5"/>
  <c r="J4" i="5"/>
  <c r="K4" i="5"/>
  <c r="L4" i="5"/>
  <c r="M4" i="5"/>
  <c r="N4" i="5"/>
  <c r="I5" i="5"/>
  <c r="J5" i="5"/>
  <c r="K5" i="5"/>
  <c r="L5" i="5"/>
  <c r="M5" i="5"/>
  <c r="N5" i="5"/>
  <c r="E2" i="5"/>
  <c r="F2" i="5"/>
  <c r="G2" i="5"/>
  <c r="E3" i="5"/>
  <c r="F3" i="5"/>
  <c r="G3" i="5"/>
  <c r="E4" i="5"/>
  <c r="F4" i="5"/>
  <c r="G4" i="5"/>
  <c r="E5" i="5"/>
  <c r="F5" i="5"/>
  <c r="G5" i="5"/>
  <c r="D2" i="5"/>
  <c r="D3" i="5"/>
  <c r="D4" i="5"/>
  <c r="D5" i="5"/>
  <c r="C5" i="5"/>
  <c r="C4" i="5"/>
  <c r="C3" i="5"/>
  <c r="C2" i="5"/>
  <c r="B5" i="5"/>
  <c r="B4" i="5"/>
  <c r="B3" i="5"/>
  <c r="B2" i="5"/>
  <c r="Q90" i="5" l="1"/>
  <c r="AA90" i="5"/>
  <c r="R90" i="5"/>
  <c r="I90" i="5"/>
  <c r="Z90" i="5"/>
  <c r="Y90" i="5"/>
  <c r="K78" i="5"/>
  <c r="S90" i="5"/>
  <c r="AH90" i="5"/>
  <c r="AB42" i="5"/>
  <c r="AB78" i="5"/>
  <c r="AI90" i="5"/>
  <c r="AB90" i="5"/>
  <c r="J90" i="5"/>
  <c r="B54" i="5"/>
  <c r="AA78" i="5"/>
  <c r="S42" i="5"/>
  <c r="P90" i="5"/>
  <c r="X78" i="5"/>
  <c r="L78" i="5"/>
  <c r="G54" i="5"/>
  <c r="F90" i="5"/>
  <c r="AI54" i="5"/>
  <c r="AB66" i="5"/>
  <c r="S66" i="5"/>
  <c r="J66" i="5"/>
  <c r="AH66" i="5"/>
  <c r="Y66" i="5"/>
  <c r="P66" i="5"/>
  <c r="F66" i="5"/>
  <c r="AA66" i="5"/>
  <c r="R66" i="5"/>
  <c r="I66" i="5"/>
  <c r="AG66" i="5"/>
  <c r="X66" i="5"/>
  <c r="N66" i="5"/>
  <c r="E66" i="5"/>
  <c r="AD66" i="5"/>
  <c r="T66" i="5"/>
  <c r="K66" i="5"/>
  <c r="R78" i="5"/>
  <c r="I78" i="5"/>
  <c r="AE78" i="5"/>
  <c r="U78" i="5"/>
  <c r="C78" i="5"/>
  <c r="AD78" i="5"/>
  <c r="T78" i="5"/>
  <c r="Z54" i="5"/>
  <c r="Q54" i="5"/>
  <c r="G90" i="5"/>
  <c r="AE90" i="5"/>
  <c r="U90" i="5"/>
  <c r="L90" i="5"/>
  <c r="AD90" i="5"/>
  <c r="T90" i="5"/>
  <c r="K90" i="5"/>
  <c r="AE54" i="5"/>
  <c r="U54" i="5"/>
  <c r="L54" i="5"/>
  <c r="C54" i="5"/>
  <c r="M54" i="5"/>
  <c r="S54" i="5"/>
  <c r="Y54" i="5"/>
  <c r="AD54" i="5"/>
  <c r="AA54" i="5"/>
  <c r="R54" i="5"/>
  <c r="I54" i="5"/>
  <c r="AG54" i="5"/>
  <c r="X54" i="5"/>
  <c r="N54" i="5"/>
  <c r="E54" i="5"/>
  <c r="Z78" i="5"/>
  <c r="Q78" i="5"/>
  <c r="G78" i="5"/>
  <c r="W54" i="5"/>
  <c r="AB54" i="5"/>
  <c r="AH54" i="5"/>
  <c r="F54" i="5"/>
  <c r="K54" i="5"/>
  <c r="AH78" i="5"/>
  <c r="Y78" i="5"/>
  <c r="P78" i="5"/>
  <c r="F78" i="5"/>
  <c r="AF54" i="5"/>
  <c r="D54" i="5"/>
  <c r="J54" i="5"/>
  <c r="P54" i="5"/>
  <c r="T54" i="5"/>
  <c r="AI42" i="5"/>
  <c r="Z42" i="5"/>
  <c r="Q42" i="5"/>
  <c r="G42" i="5"/>
  <c r="AI66" i="5"/>
  <c r="Z66" i="5"/>
  <c r="Q66" i="5"/>
  <c r="G66" i="5"/>
  <c r="AF66" i="5"/>
  <c r="W66" i="5"/>
  <c r="M66" i="5"/>
  <c r="D66" i="5"/>
  <c r="AG90" i="5"/>
  <c r="X90" i="5"/>
  <c r="N90" i="5"/>
  <c r="E90" i="5"/>
  <c r="AE66" i="5"/>
  <c r="U66" i="5"/>
  <c r="L66" i="5"/>
  <c r="C66" i="5"/>
  <c r="AF78" i="5"/>
  <c r="W78" i="5"/>
  <c r="M78" i="5"/>
  <c r="D78" i="5"/>
  <c r="AF90" i="5"/>
  <c r="W90" i="5"/>
  <c r="M90" i="5"/>
  <c r="D90" i="5"/>
  <c r="AI78" i="5"/>
  <c r="C90" i="5"/>
  <c r="B90" i="5"/>
  <c r="B78" i="5"/>
  <c r="B66" i="5"/>
  <c r="L18" i="5"/>
  <c r="I42" i="5"/>
  <c r="W6" i="5"/>
  <c r="R42" i="5"/>
  <c r="AG42" i="5"/>
  <c r="X42" i="5"/>
  <c r="N42" i="5"/>
  <c r="E42" i="5"/>
  <c r="AD42" i="5"/>
  <c r="T42" i="5"/>
  <c r="K42" i="5"/>
  <c r="AA42" i="5"/>
  <c r="AD18" i="5"/>
  <c r="T18" i="5"/>
  <c r="K18" i="5"/>
  <c r="W30" i="5"/>
  <c r="M18" i="5"/>
  <c r="J42" i="5"/>
  <c r="AH42" i="5"/>
  <c r="Y42" i="5"/>
  <c r="P42" i="5"/>
  <c r="F42" i="5"/>
  <c r="U18" i="5"/>
  <c r="AF18" i="5"/>
  <c r="AE18" i="5"/>
  <c r="M30" i="5"/>
  <c r="AH30" i="5"/>
  <c r="Y30" i="5"/>
  <c r="P30" i="5"/>
  <c r="AE30" i="5"/>
  <c r="U30" i="5"/>
  <c r="L30" i="5"/>
  <c r="C30" i="5"/>
  <c r="AA30" i="5"/>
  <c r="R30" i="5"/>
  <c r="I30" i="5"/>
  <c r="D30" i="5"/>
  <c r="AG30" i="5"/>
  <c r="X30" i="5"/>
  <c r="N30" i="5"/>
  <c r="E30" i="5"/>
  <c r="AF30" i="5"/>
  <c r="AF42" i="5"/>
  <c r="W42" i="5"/>
  <c r="M42" i="5"/>
  <c r="D42" i="5"/>
  <c r="W18" i="5"/>
  <c r="AE42" i="5"/>
  <c r="U42" i="5"/>
  <c r="L42" i="5"/>
  <c r="C42" i="5"/>
  <c r="B42" i="5"/>
  <c r="AH6" i="5"/>
  <c r="Y6" i="5"/>
  <c r="AA6" i="5"/>
  <c r="AI18" i="5"/>
  <c r="Z18" i="5"/>
  <c r="Q18" i="5"/>
  <c r="G18" i="5"/>
  <c r="C18" i="5"/>
  <c r="S18" i="5"/>
  <c r="J18" i="5"/>
  <c r="AB30" i="5"/>
  <c r="S30" i="5"/>
  <c r="F30" i="5"/>
  <c r="AD30" i="5"/>
  <c r="T30" i="5"/>
  <c r="K30" i="5"/>
  <c r="AI30" i="5"/>
  <c r="Z30" i="5"/>
  <c r="Q30" i="5"/>
  <c r="G30" i="5"/>
  <c r="X6" i="5"/>
  <c r="AH18" i="5"/>
  <c r="Y18" i="5"/>
  <c r="P18" i="5"/>
  <c r="F18" i="5"/>
  <c r="AG18" i="5"/>
  <c r="X18" i="5"/>
  <c r="N18" i="5"/>
  <c r="E18" i="5"/>
  <c r="AB18" i="5"/>
  <c r="AA18" i="5"/>
  <c r="R18" i="5"/>
  <c r="I18" i="5"/>
  <c r="J30" i="5"/>
  <c r="B30" i="5"/>
  <c r="B18" i="5"/>
  <c r="AE6" i="5"/>
  <c r="AI6" i="5"/>
  <c r="D6" i="5"/>
  <c r="Z6" i="5"/>
  <c r="C6" i="5"/>
  <c r="M6" i="5"/>
  <c r="N6" i="5"/>
  <c r="AD6" i="5"/>
  <c r="G6" i="5"/>
  <c r="E6" i="5"/>
  <c r="AG6" i="5"/>
  <c r="F6" i="5"/>
  <c r="L6" i="5"/>
  <c r="J6" i="5"/>
  <c r="AF6" i="5"/>
  <c r="K6" i="5"/>
  <c r="I6" i="5"/>
  <c r="AB6" i="5"/>
  <c r="B6" i="5"/>
  <c r="AH155" i="1"/>
  <c r="AJ155" i="1"/>
  <c r="AI155" i="1"/>
  <c r="D159" i="1" l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59" i="1"/>
  <c r="AF133" i="1"/>
  <c r="AF131" i="1"/>
  <c r="AE133" i="1"/>
  <c r="AE131" i="1"/>
  <c r="AD133" i="1"/>
  <c r="AD131" i="1"/>
  <c r="AC133" i="1"/>
  <c r="AC131" i="1"/>
  <c r="AB131" i="1"/>
  <c r="AB133" i="1"/>
  <c r="AA133" i="1"/>
  <c r="AA131" i="1"/>
  <c r="Z133" i="1"/>
  <c r="Z131" i="1"/>
  <c r="Y133" i="1"/>
  <c r="Y131" i="1"/>
  <c r="V133" i="1"/>
  <c r="V131" i="1"/>
  <c r="X139" i="1"/>
  <c r="X133" i="1"/>
  <c r="X131" i="1"/>
  <c r="W133" i="1"/>
  <c r="W131" i="1"/>
  <c r="U133" i="1"/>
  <c r="U131" i="1"/>
  <c r="T133" i="1"/>
  <c r="T131" i="1"/>
  <c r="S133" i="1"/>
  <c r="S131" i="1"/>
  <c r="R133" i="1"/>
  <c r="R131" i="1"/>
  <c r="Q133" i="1"/>
  <c r="Q131" i="1"/>
  <c r="P133" i="1"/>
  <c r="P131" i="1"/>
  <c r="O133" i="1"/>
  <c r="O131" i="1"/>
  <c r="N131" i="1"/>
  <c r="N133" i="1"/>
  <c r="M133" i="1"/>
  <c r="M131" i="1"/>
  <c r="L133" i="1"/>
  <c r="L131" i="1"/>
  <c r="K133" i="1"/>
  <c r="K131" i="1"/>
  <c r="J133" i="1"/>
  <c r="J131" i="1"/>
  <c r="I139" i="1"/>
  <c r="I133" i="1"/>
  <c r="I131" i="1"/>
  <c r="H133" i="1" l="1"/>
  <c r="H131" i="1"/>
  <c r="G133" i="1"/>
  <c r="G131" i="1"/>
  <c r="F139" i="1"/>
  <c r="F133" i="1"/>
  <c r="F131" i="1"/>
  <c r="E133" i="1"/>
  <c r="E131" i="1"/>
  <c r="E139" i="1"/>
  <c r="G139" i="1"/>
  <c r="H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Y139" i="1"/>
  <c r="Z139" i="1"/>
  <c r="AA139" i="1"/>
  <c r="AB139" i="1"/>
  <c r="AC139" i="1"/>
  <c r="AD139" i="1"/>
  <c r="AE139" i="1"/>
  <c r="AF139" i="1"/>
  <c r="D139" i="1"/>
  <c r="D133" i="1"/>
  <c r="D131" i="1"/>
  <c r="C139" i="1"/>
  <c r="C133" i="1"/>
  <c r="C131" i="1"/>
  <c r="R99" i="1" l="1"/>
  <c r="S99" i="1"/>
  <c r="T99" i="1"/>
  <c r="U99" i="1"/>
  <c r="V99" i="1"/>
  <c r="W99" i="1"/>
  <c r="X99" i="1"/>
  <c r="Y99" i="1"/>
  <c r="AF113" i="1"/>
  <c r="AF111" i="1"/>
  <c r="AE113" i="1"/>
  <c r="AE111" i="1"/>
  <c r="AD113" i="1"/>
  <c r="AD111" i="1"/>
  <c r="AC113" i="1"/>
  <c r="AC111" i="1"/>
  <c r="AB113" i="1"/>
  <c r="AB111" i="1"/>
  <c r="AA113" i="1"/>
  <c r="AA111" i="1"/>
  <c r="Z113" i="1"/>
  <c r="Z111" i="1"/>
  <c r="Y113" i="1"/>
  <c r="Y111" i="1"/>
  <c r="X113" i="1"/>
  <c r="X111" i="1"/>
  <c r="W113" i="1"/>
  <c r="W111" i="1"/>
  <c r="V113" i="1"/>
  <c r="V111" i="1"/>
  <c r="U113" i="1"/>
  <c r="U111" i="1"/>
  <c r="T113" i="1"/>
  <c r="T111" i="1"/>
  <c r="S113" i="1"/>
  <c r="S111" i="1"/>
  <c r="R113" i="1"/>
  <c r="R111" i="1"/>
  <c r="Q113" i="1"/>
  <c r="Q111" i="1"/>
  <c r="P113" i="1"/>
  <c r="P111" i="1"/>
  <c r="O113" i="1"/>
  <c r="O111" i="1"/>
  <c r="N113" i="1"/>
  <c r="N111" i="1"/>
  <c r="M113" i="1"/>
  <c r="M111" i="1"/>
  <c r="J113" i="1"/>
  <c r="L113" i="1"/>
  <c r="L111" i="1"/>
  <c r="K113" i="1"/>
  <c r="K111" i="1"/>
  <c r="J111" i="1"/>
  <c r="I113" i="1"/>
  <c r="I111" i="1"/>
  <c r="H113" i="1"/>
  <c r="H111" i="1"/>
  <c r="G113" i="1"/>
  <c r="G111" i="1"/>
  <c r="F113" i="1"/>
  <c r="F111" i="1"/>
  <c r="E113" i="1"/>
  <c r="E111" i="1"/>
  <c r="D113" i="1"/>
  <c r="D111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19" i="1"/>
  <c r="C113" i="1"/>
  <c r="C111" i="1"/>
  <c r="AF73" i="1"/>
  <c r="AF71" i="1"/>
  <c r="AE73" i="1"/>
  <c r="AE71" i="1"/>
  <c r="AD73" i="1"/>
  <c r="AD71" i="1"/>
  <c r="AC73" i="1"/>
  <c r="AC71" i="1"/>
  <c r="AB73" i="1"/>
  <c r="AB71" i="1"/>
  <c r="AA73" i="1"/>
  <c r="AA71" i="1"/>
  <c r="Z73" i="1"/>
  <c r="Z71" i="1"/>
  <c r="Y73" i="1"/>
  <c r="Y71" i="1"/>
  <c r="X73" i="1"/>
  <c r="X71" i="1"/>
  <c r="W73" i="1"/>
  <c r="W71" i="1"/>
  <c r="V73" i="1"/>
  <c r="V71" i="1"/>
  <c r="U73" i="1"/>
  <c r="U71" i="1"/>
  <c r="T73" i="1"/>
  <c r="T71" i="1"/>
  <c r="S73" i="1"/>
  <c r="S71" i="1"/>
  <c r="R73" i="1"/>
  <c r="R71" i="1"/>
  <c r="Q73" i="1"/>
  <c r="Q71" i="1"/>
  <c r="P73" i="1"/>
  <c r="P71" i="1"/>
  <c r="O73" i="1"/>
  <c r="O71" i="1"/>
  <c r="N73" i="1"/>
  <c r="N71" i="1"/>
  <c r="M73" i="1"/>
  <c r="M71" i="1"/>
  <c r="L73" i="1"/>
  <c r="L71" i="1"/>
  <c r="K79" i="1"/>
  <c r="K73" i="1"/>
  <c r="K71" i="1"/>
  <c r="J79" i="1"/>
  <c r="J73" i="1"/>
  <c r="J71" i="1"/>
  <c r="I73" i="1"/>
  <c r="I71" i="1"/>
  <c r="H73" i="1"/>
  <c r="H71" i="1"/>
  <c r="G71" i="1" l="1"/>
  <c r="F79" i="1"/>
  <c r="F73" i="1"/>
  <c r="E79" i="1"/>
  <c r="C79" i="1"/>
  <c r="D79" i="1"/>
  <c r="AC59" i="1" l="1"/>
  <c r="T39" i="1"/>
  <c r="Y59" i="1"/>
  <c r="S59" i="1"/>
  <c r="O99" i="1"/>
  <c r="O59" i="1"/>
  <c r="J99" i="1"/>
  <c r="D39" i="1"/>
  <c r="E39" i="1"/>
  <c r="F39" i="1"/>
  <c r="G39" i="1"/>
  <c r="H39" i="1"/>
  <c r="I39" i="1"/>
  <c r="J39" i="1"/>
  <c r="K39" i="1"/>
  <c r="L39" i="1"/>
  <c r="M39" i="1"/>
  <c r="N39" i="1"/>
  <c r="O39" i="1"/>
  <c r="G99" i="1"/>
  <c r="E99" i="1"/>
  <c r="D99" i="1"/>
  <c r="C99" i="1"/>
  <c r="AE99" i="1"/>
  <c r="AD99" i="1"/>
  <c r="AC99" i="1"/>
  <c r="AB99" i="1"/>
  <c r="AA99" i="1"/>
  <c r="Z99" i="1"/>
  <c r="Q99" i="1"/>
  <c r="P99" i="1"/>
  <c r="N99" i="1"/>
  <c r="M99" i="1"/>
  <c r="L99" i="1"/>
  <c r="K99" i="1"/>
  <c r="I99" i="1"/>
  <c r="H99" i="1"/>
  <c r="F9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I79" i="1"/>
  <c r="H79" i="1"/>
  <c r="G79" i="1"/>
  <c r="AF59" i="1"/>
  <c r="AE59" i="1"/>
  <c r="AD59" i="1"/>
  <c r="AB59" i="1"/>
  <c r="AA59" i="1"/>
  <c r="Z59" i="1"/>
  <c r="X59" i="1"/>
  <c r="W59" i="1"/>
  <c r="V59" i="1"/>
  <c r="U59" i="1"/>
  <c r="T59" i="1"/>
  <c r="R59" i="1"/>
  <c r="Q59" i="1"/>
  <c r="P59" i="1"/>
  <c r="N59" i="1"/>
  <c r="M59" i="1"/>
  <c r="L59" i="1"/>
  <c r="K59" i="1"/>
  <c r="J59" i="1"/>
  <c r="I59" i="1"/>
  <c r="H59" i="1"/>
  <c r="G59" i="1"/>
  <c r="F59" i="1"/>
  <c r="E59" i="1"/>
  <c r="D59" i="1"/>
  <c r="C59" i="1"/>
  <c r="AF39" i="1"/>
  <c r="AE39" i="1"/>
  <c r="AD39" i="1"/>
  <c r="AC39" i="1"/>
  <c r="AB39" i="1"/>
  <c r="AA39" i="1"/>
  <c r="Z39" i="1"/>
  <c r="Y39" i="1"/>
  <c r="X39" i="1"/>
  <c r="W39" i="1"/>
  <c r="V39" i="1"/>
  <c r="U39" i="1"/>
  <c r="S39" i="1"/>
  <c r="R39" i="1"/>
  <c r="Q39" i="1"/>
  <c r="P39" i="1"/>
  <c r="C39" i="1"/>
  <c r="AE19" i="1"/>
  <c r="V19" i="1"/>
  <c r="P19" i="1"/>
  <c r="N19" i="1" l="1"/>
  <c r="L19" i="1"/>
  <c r="K19" i="1"/>
  <c r="F19" i="1"/>
  <c r="G19" i="1"/>
  <c r="H19" i="1"/>
  <c r="I19" i="1"/>
  <c r="J19" i="1"/>
  <c r="M19" i="1"/>
  <c r="O19" i="1"/>
  <c r="Q19" i="1"/>
  <c r="R19" i="1"/>
  <c r="S19" i="1"/>
  <c r="T19" i="1"/>
  <c r="U19" i="1"/>
  <c r="W19" i="1"/>
  <c r="X19" i="1"/>
  <c r="Y19" i="1"/>
  <c r="Z19" i="1"/>
  <c r="AA19" i="1"/>
  <c r="AB19" i="1"/>
  <c r="AC19" i="1"/>
  <c r="AD19" i="1"/>
  <c r="AF19" i="1"/>
  <c r="E19" i="1"/>
  <c r="D19" i="1"/>
  <c r="C19" i="1"/>
</calcChain>
</file>

<file path=xl/sharedStrings.xml><?xml version="1.0" encoding="utf-8"?>
<sst xmlns="http://schemas.openxmlformats.org/spreadsheetml/2006/main" count="2212" uniqueCount="345">
  <si>
    <t>Machine</t>
  </si>
  <si>
    <t>error operator</t>
  </si>
  <si>
    <t>validating</t>
  </si>
  <si>
    <t>in queue</t>
  </si>
  <si>
    <t>running</t>
  </si>
  <si>
    <t>total</t>
  </si>
  <si>
    <t>job id</t>
  </si>
  <si>
    <t>ibmqx2</t>
  </si>
  <si>
    <t>I</t>
  </si>
  <si>
    <t>5f47a695b0a192001a923168</t>
  </si>
  <si>
    <t>input bits</t>
  </si>
  <si>
    <t>no. of shots</t>
  </si>
  <si>
    <t>type</t>
  </si>
  <si>
    <t>Circuit Info</t>
  </si>
  <si>
    <t>CNOT</t>
  </si>
  <si>
    <t>single-q</t>
  </si>
  <si>
    <t>00000</t>
  </si>
  <si>
    <t>Results</t>
  </si>
  <si>
    <t>00010</t>
  </si>
  <si>
    <t>01010</t>
  </si>
  <si>
    <t>01000</t>
  </si>
  <si>
    <t>BASIC</t>
  </si>
  <si>
    <t>Total Error</t>
  </si>
  <si>
    <t>5f47a6b34ee009001bd70ca7</t>
  </si>
  <si>
    <t>5f47a6d5b0a192001a92316c</t>
  </si>
  <si>
    <t>5f47a71640e90c0019cbd022</t>
  </si>
  <si>
    <t>STANDARD</t>
  </si>
  <si>
    <t>H</t>
  </si>
  <si>
    <t>X</t>
  </si>
  <si>
    <t>Y</t>
  </si>
  <si>
    <t>Z</t>
  </si>
  <si>
    <t>5f47a73bee4713001af7fe6f</t>
  </si>
  <si>
    <t>5f47a75fee4713001af7fe71</t>
  </si>
  <si>
    <t>5f47a7a8d46b130019d918b3</t>
  </si>
  <si>
    <t>5f47a7c818274f001b146161</t>
  </si>
  <si>
    <t>5f47a7eb0259ed001a2aa0cb</t>
  </si>
  <si>
    <t>5f47a8119412d600195801d7</t>
  </si>
  <si>
    <t>5f47a832b0a192001a923182</t>
  </si>
  <si>
    <t>5f47a866de9dc7001a1f921c</t>
  </si>
  <si>
    <t>5f47a890de9dc7001a1f921f</t>
  </si>
  <si>
    <t>5f47a8b2de9dc7001a1f9222</t>
  </si>
  <si>
    <t>5f47a8d5b0a192001a92318a</t>
  </si>
  <si>
    <t>time taken (sec)</t>
  </si>
  <si>
    <t>5f47a8fc4ee009001bd70cce</t>
  </si>
  <si>
    <t>5f47a91cde9dc7001a1f9229</t>
  </si>
  <si>
    <t>5f47a94006a6ac001a3ca412</t>
  </si>
  <si>
    <t>5f47a96ede9dc7001a1f9230</t>
  </si>
  <si>
    <t>5f47a99806a6ac001a3ca417</t>
  </si>
  <si>
    <t>5f47a9c2b0a192001a923199</t>
  </si>
  <si>
    <t>5f47aa0606a6ac001a3ca41f</t>
  </si>
  <si>
    <t>5f47aa26b0a192001a92319e</t>
  </si>
  <si>
    <t>5f47aa4bee4713001af7feab</t>
  </si>
  <si>
    <t>5f47aa6f18274f001b146186</t>
  </si>
  <si>
    <t>5f47aa90de9dc7001a1f9246</t>
  </si>
  <si>
    <t>5f47aab3d46b130019d918ed</t>
  </si>
  <si>
    <t>5f47aadab0a192001a9231aa</t>
  </si>
  <si>
    <t>5f47aafb9412d60019580206</t>
  </si>
  <si>
    <t>5f47ab1fb0a192001a9231b0</t>
  </si>
  <si>
    <t>ibmq_vigo</t>
  </si>
  <si>
    <t>ibmq_valencia</t>
  </si>
  <si>
    <t>ibmq_santiago</t>
  </si>
  <si>
    <t>5f47ae51b0a192001a9231f2</t>
  </si>
  <si>
    <t>5f47ae7f06a6ac001a3ca479</t>
  </si>
  <si>
    <t>5f47aed4de9dc7001a1f92a7</t>
  </si>
  <si>
    <t>5f47aef64ee009001bd70d43</t>
  </si>
  <si>
    <t>5f47af4818274f001b1461dc</t>
  </si>
  <si>
    <t>5f47af529412d60019580253</t>
  </si>
  <si>
    <t>5f47af609412d60019580256</t>
  </si>
  <si>
    <t>5f47af6c0259ed001a2aa15d</t>
  </si>
  <si>
    <t>5f47af73d46b130019d9195c</t>
  </si>
  <si>
    <t>5f47afe24ee009001bd70d53</t>
  </si>
  <si>
    <t>5f47afe7ee4713001af7ff0f</t>
  </si>
  <si>
    <t>5f47b0180259ed001a2aa16c</t>
  </si>
  <si>
    <t>ibmq_london</t>
  </si>
  <si>
    <t>5f47b03306a6ac001a3ca49f</t>
  </si>
  <si>
    <t>5f47b03eee4713001af7ff19</t>
  </si>
  <si>
    <t>5f47b04f40e90c0019cbd0c6</t>
  </si>
  <si>
    <t>5f47b0780259ed001a2aa178</t>
  </si>
  <si>
    <t>5f47b07c0259ed001a2aa179</t>
  </si>
  <si>
    <t>5f47b0afb0a192001a923219</t>
  </si>
  <si>
    <t>5f47b0d618274f001b1461f1</t>
  </si>
  <si>
    <t>5f47b0e2d46b130019d91976</t>
  </si>
  <si>
    <t>5f47b0e506a6ac001a3ca4af</t>
  </si>
  <si>
    <t>5f47b10b4ee009001bd70d6a</t>
  </si>
  <si>
    <t>5f47b149b0a192001a923225</t>
  </si>
  <si>
    <t>5f47b15240e90c0019cbd0d6</t>
  </si>
  <si>
    <t>5f47b17c0259ed001a2aa187</t>
  </si>
  <si>
    <t>5f47b1a206a6ac001a3ca4bf</t>
  </si>
  <si>
    <t>5f47b1a49412d60019580284</t>
  </si>
  <si>
    <t>5f47b1fede9dc7001a1f92e7</t>
  </si>
  <si>
    <t>5f47b210d46b130019d9198c</t>
  </si>
  <si>
    <t>5f47b25b0259ed001a2aa194</t>
  </si>
  <si>
    <t>5f47b27c40e90c0019cbd0ea</t>
  </si>
  <si>
    <t>5f47b2b440e90c0019cbd0ed</t>
  </si>
  <si>
    <t>5f47b2ea06a6ac001a3ca4d7</t>
  </si>
  <si>
    <t>5f47b30d9412d6001958029a</t>
  </si>
  <si>
    <t>5f47b35806a6ac001a3ca4e0</t>
  </si>
  <si>
    <t>5f47b369ee4713001af7ff53</t>
  </si>
  <si>
    <t>5f47b37a06a6ac001a3ca4e4</t>
  </si>
  <si>
    <t>5f47b3d94ee009001bd70d94</t>
  </si>
  <si>
    <t>5f47b3e59412d600195802a4</t>
  </si>
  <si>
    <t>5f47b40940e90c0019cbd108</t>
  </si>
  <si>
    <t>5f47b435d46b130019d919b2</t>
  </si>
  <si>
    <t>5f47b48e18274f001b146231</t>
  </si>
  <si>
    <t>5f47b494d46b130019d919b6</t>
  </si>
  <si>
    <t>5f47b4ed18274f001b14623a</t>
  </si>
  <si>
    <t>5f47b4fb18274f001b14623c</t>
  </si>
  <si>
    <t>5f47b545ee4713001af7ff71</t>
  </si>
  <si>
    <t>5f47b5689412d600195802bf</t>
  </si>
  <si>
    <t>5f47b58a9412d600195802c1</t>
  </si>
  <si>
    <t>5f47b5f74ee009001bd70dbb</t>
  </si>
  <si>
    <t>5f47b62bde9dc7001a1f9330</t>
  </si>
  <si>
    <t>5f47b6644ee009001bd70dc3</t>
  </si>
  <si>
    <t>5f47b6854ee009001bd70dc7</t>
  </si>
  <si>
    <t>5f47b69d18274f001b146265</t>
  </si>
  <si>
    <t>5f47b6e040e90c0019cbd13a</t>
  </si>
  <si>
    <t>5f47b70906a6ac001a3ca527</t>
  </si>
  <si>
    <t>5f47b737ee4713001af7ff94</t>
  </si>
  <si>
    <t>5f47b77506a6ac001a3ca530</t>
  </si>
  <si>
    <t>5f47b79218274f001b146274</t>
  </si>
  <si>
    <t>5f47b7ddd46b130019d919f3</t>
  </si>
  <si>
    <t>5f47b7ef9412d600195802f2</t>
  </si>
  <si>
    <t>5f47b85f40e90c0019cbd156</t>
  </si>
  <si>
    <t>5f47c7410259ed001a2aa32f</t>
  </si>
  <si>
    <t>5f47c7209412d6001958043b</t>
  </si>
  <si>
    <t>5f47c700ee4713001af800f3</t>
  </si>
  <si>
    <t>5f47c6de40e90c0019cbd28f</t>
  </si>
  <si>
    <t>5f47c6bdb0a192001a9233d7</t>
  </si>
  <si>
    <t>5f47c69d18274f001b1463a2</t>
  </si>
  <si>
    <t>5f47c67a06a6ac001a3ca67b</t>
  </si>
  <si>
    <t>5f47c65a40e90c0019cbd27b</t>
  </si>
  <si>
    <t>5f47c63ad46b130019d91b30</t>
  </si>
  <si>
    <t>5f47c6190259ed001a2aa315</t>
  </si>
  <si>
    <t>5f47c5f8b0a192001a9233c1</t>
  </si>
  <si>
    <t>5f47c5d79412d60019580413</t>
  </si>
  <si>
    <t>5f47c50f0259ed001a2aa2fe</t>
  </si>
  <si>
    <t>5f47c4e6ee4713001af800c9</t>
  </si>
  <si>
    <t>5f47c4c4de9dc7001a1f9464</t>
  </si>
  <si>
    <t>5f47c3f806a6ac001a3ca645</t>
  </si>
  <si>
    <t>5f47c3c54ee009001bd70ec4</t>
  </si>
  <si>
    <t>5f47bc9318274f001b1462ca</t>
  </si>
  <si>
    <t>5f47bbbd0259ed001a2aa235</t>
  </si>
  <si>
    <t>5f47bb9bee4713001af7ffe8</t>
  </si>
  <si>
    <t>5f47ba1cee4713001af7ffcb</t>
  </si>
  <si>
    <t>5f47b95d4ee009001bd70dfb</t>
  </si>
  <si>
    <t>5f47bbffde9dc7001a1f9399</t>
  </si>
  <si>
    <t>5f47c08b4ee009001bd70e7f</t>
  </si>
  <si>
    <t>5f47c3ce18274f001b146360</t>
  </si>
  <si>
    <t>5f47c788ee4713001af800fe</t>
  </si>
  <si>
    <t>5f47cab206a6ac001a3ca6eb</t>
  </si>
  <si>
    <t>5f47ce539412d600195804d6</t>
  </si>
  <si>
    <t>5f47d1d24ee009001bd70fee</t>
  </si>
  <si>
    <t>5f47d6c50259ed001a2aa491</t>
  </si>
  <si>
    <t>5f47daafee4713001af802a4</t>
  </si>
  <si>
    <t>5f47dfd1d46b130019d91d36</t>
  </si>
  <si>
    <t>5f47e3d1b0a192001a923644</t>
  </si>
  <si>
    <t>5f47e6ead46b130019d91dcf</t>
  </si>
  <si>
    <t>5f47ea730259ed001a2aa630</t>
  </si>
  <si>
    <t>5f47eeac4ee009001bd71261</t>
  </si>
  <si>
    <t>5f47f317de9dc7001a1f9879</t>
  </si>
  <si>
    <t>5f47f6d6b0a192001a923838</t>
  </si>
  <si>
    <t>5f47fc5b9412d6001958097e</t>
  </si>
  <si>
    <t>5f47fff006a6ac001a3cac79</t>
  </si>
  <si>
    <t>5f4804439412d60019580a98</t>
  </si>
  <si>
    <t>5f4807e1b0a192001a923a91</t>
  </si>
  <si>
    <t>5f480cd09412d60019580bb0</t>
  </si>
  <si>
    <t>5f481068ee4713001af80884</t>
  </si>
  <si>
    <t>5f48161a18274f001b146c2e</t>
  </si>
  <si>
    <t>5f48190140e90c0019cbdb67</t>
  </si>
  <si>
    <t>5f481bd218274f001b146ccf</t>
  </si>
  <si>
    <t>5f481f0cd46b130019d9248b</t>
  </si>
  <si>
    <t>5f482182d46b130019d924ce</t>
  </si>
  <si>
    <t>5f4824ecde9dc7001a1f9e4b</t>
  </si>
  <si>
    <t>5f4827ba06a6ac001a3cb120</t>
  </si>
  <si>
    <t>ibmq_Ourense</t>
  </si>
  <si>
    <t>5f47bfd5b0a192001a923331</t>
  </si>
  <si>
    <t>5f47c2249412d600195803c5</t>
  </si>
  <si>
    <t>5f47c466b0a192001a92339a</t>
  </si>
  <si>
    <t>5f47c6f106a6ac001a3ca688</t>
  </si>
  <si>
    <t>5f47c978de9dc7001a1f94dc</t>
  </si>
  <si>
    <t>5f47cc2d40e90c0019cbd30c</t>
  </si>
  <si>
    <t>5f47cebed46b130019d91bd9</t>
  </si>
  <si>
    <t>5f47d15cd46b130019d91c18</t>
  </si>
  <si>
    <t>5f47d3e940e90c0019cbd3ab</t>
  </si>
  <si>
    <t>5f47d676d46b130019d91c76</t>
  </si>
  <si>
    <t>5f47d8ff4ee009001bd71089</t>
  </si>
  <si>
    <t>5f47daf618274f001b146571</t>
  </si>
  <si>
    <t>5f47dd924ee009001bd710e4</t>
  </si>
  <si>
    <t>5f47e0140259ed001a2aa556</t>
  </si>
  <si>
    <t>5f47e209de9dc7001a1f9700</t>
  </si>
  <si>
    <t>5f47e400d46b130019d91d8f</t>
  </si>
  <si>
    <t>5f47e5f3de9dc7001a1f9757</t>
  </si>
  <si>
    <t>5f47e80a06a6ac001a3ca975</t>
  </si>
  <si>
    <t>5f47eb30ee4713001af803f0</t>
  </si>
  <si>
    <t>5f47ede54ee009001bd71250</t>
  </si>
  <si>
    <t>5f47f10d9412d600195807d5</t>
  </si>
  <si>
    <t>5f47f3b1b0a192001a9237c3</t>
  </si>
  <si>
    <t>5f47f6470259ed001a2aa760</t>
  </si>
  <si>
    <t>5f47f8ebee4713001af8056a</t>
  </si>
  <si>
    <t>5f47fc2cb0a192001a9238fa</t>
  </si>
  <si>
    <t>5f47fecc0259ed001a2aa8b1</t>
  </si>
  <si>
    <t>5f4801f4de9dc7001a1f9a68</t>
  </si>
  <si>
    <t>5f4804094ee009001bd71554</t>
  </si>
  <si>
    <t>5f48072dd46b130019d921c4</t>
  </si>
  <si>
    <t>5f4809a2de9dc7001a1f9b5e</t>
  </si>
  <si>
    <t>5f47b5c406a6ac001a3ca50c</t>
  </si>
  <si>
    <t>5f47b8bab0a192001a9232ad</t>
  </si>
  <si>
    <t>5f47b917de9dc7001a1f935e</t>
  </si>
  <si>
    <t>5f47b96f06a6ac001a3ca54e</t>
  </si>
  <si>
    <t>5f47b9ccb0a192001a9232c3</t>
  </si>
  <si>
    <t>5f47ba239412d6001958031a</t>
  </si>
  <si>
    <t>5f47ba944ee009001bd70e16</t>
  </si>
  <si>
    <t>5f47baeb18274f001b1462af</t>
  </si>
  <si>
    <t>ibmq_essex</t>
  </si>
  <si>
    <t>5f47c0ef06a6ac001a3ca60a</t>
  </si>
  <si>
    <t>5f47c2b7d46b130019d91ad3</t>
  </si>
  <si>
    <t>5f47c4ccee4713001af800c5</t>
  </si>
  <si>
    <t>5f47c6f0ee4713001af800f0</t>
  </si>
  <si>
    <t>5f47c9169412d6001958046c</t>
  </si>
  <si>
    <t>5f47cb3e0259ed001a2aa392</t>
  </si>
  <si>
    <t>5f47cd6d0259ed001a2aa3ca</t>
  </si>
  <si>
    <t>5f47cf96ee4713001af801b8</t>
  </si>
  <si>
    <t>5f47d1dcee4713001af801eb</t>
  </si>
  <si>
    <t>5f47d40d40e90c0019cbd3b0</t>
  </si>
  <si>
    <t>5f47d62918274f001b146502</t>
  </si>
  <si>
    <t>5f47d83240e90c0019cbd401</t>
  </si>
  <si>
    <t>5f47da5c06a6ac001a3ca841</t>
  </si>
  <si>
    <t>5f47dc6e18274f001b14658d</t>
  </si>
  <si>
    <t>5f47de9706a6ac001a3ca8a5</t>
  </si>
  <si>
    <t>5f47e0cf0259ed001a2aa567</t>
  </si>
  <si>
    <t>5f47e2f20259ed001a2aa59e</t>
  </si>
  <si>
    <t>5f47e53040e90c0019cbd508</t>
  </si>
  <si>
    <t>5f47e7b40259ed001a2aa602</t>
  </si>
  <si>
    <t>5f47ed0518274f001b1466f1</t>
  </si>
  <si>
    <t>5f47f023de9dc7001a1f983e</t>
  </si>
  <si>
    <t>5f47eaa2d46b130019d91e25</t>
  </si>
  <si>
    <t>5f47f2b0d46b130019d91edb</t>
  </si>
  <si>
    <t>5f47f5a306a6ac001a3caae5</t>
  </si>
  <si>
    <t>5f47f803b0a192001a923865</t>
  </si>
  <si>
    <t>5f47fb0240e90c0019cbd7bc</t>
  </si>
  <si>
    <t>5f47fd919412d600195809a8</t>
  </si>
  <si>
    <t>5f4800ab0259ed001a2aa8f0</t>
  </si>
  <si>
    <t>5f48032cde9dc7001a1f9a8f</t>
  </si>
  <si>
    <t>5f4806224ee009001bd7159d</t>
  </si>
  <si>
    <t>5f47c08706a6ac001a3ca5fb</t>
  </si>
  <si>
    <t>ibmq_burlington</t>
  </si>
  <si>
    <t>5f47c0aa18274f001b146317</t>
  </si>
  <si>
    <t>5f47c0e8b0a192001a923347</t>
  </si>
  <si>
    <t>5f47c11bde9dc7001a1f940f</t>
  </si>
  <si>
    <t>5f47c14e06a6ac001a3ca613</t>
  </si>
  <si>
    <t>5f47c17dee4713001af8007a</t>
  </si>
  <si>
    <t>5f47c1b418274f001b14632d</t>
  </si>
  <si>
    <t>5f47c1e318274f001b146332</t>
  </si>
  <si>
    <t>5f47c219d46b130019d91ac8</t>
  </si>
  <si>
    <t>5f47c24d0259ed001a2aa2bf</t>
  </si>
  <si>
    <t>5f47c28206a6ac001a3ca628</t>
  </si>
  <si>
    <t>5f47c2b518274f001b146346</t>
  </si>
  <si>
    <t>5f47c2ef40e90c0019cbd230</t>
  </si>
  <si>
    <t>5f47c320d46b130019d91ae0</t>
  </si>
  <si>
    <t>5f47c35518274f001b146353</t>
  </si>
  <si>
    <t>5f47c38ad46b130019d91aed</t>
  </si>
  <si>
    <t>5f47c3bd06a6ac001a3ca642</t>
  </si>
  <si>
    <t>5f47c3e8b0a192001a92338f</t>
  </si>
  <si>
    <t>5f47c417de9dc7001a1f9452</t>
  </si>
  <si>
    <t>5f47c443de9dc7001a1f9457</t>
  </si>
  <si>
    <t>5f47c47506a6ac001a3ca652</t>
  </si>
  <si>
    <t>5f47c4ae18274f001b146370</t>
  </si>
  <si>
    <t>5f47c4e3de9dc7001a1f9468</t>
  </si>
  <si>
    <t>5f47c51ab0a192001a9233ae</t>
  </si>
  <si>
    <t>5f47c55818274f001b146383</t>
  </si>
  <si>
    <t>5f47c58840e90c0019cbd269</t>
  </si>
  <si>
    <t>5f47c5c018274f001b14638b</t>
  </si>
  <si>
    <t>5f47c5fa4ee009001bd70ee5</t>
  </si>
  <si>
    <t>5f47c635de9dc7001a1f9485</t>
  </si>
  <si>
    <t>5f47c673ee4713001af800e7</t>
  </si>
  <si>
    <t>* Yorktown follows our decomposition faithfully</t>
  </si>
  <si>
    <t>*Santiago gives average best results</t>
  </si>
  <si>
    <t>OBSERVATIONS:</t>
  </si>
  <si>
    <t>max 00000</t>
  </si>
  <si>
    <t>min 00000</t>
  </si>
  <si>
    <t>ave 00000</t>
  </si>
  <si>
    <t>Yorktown</t>
  </si>
  <si>
    <t>Vigo</t>
  </si>
  <si>
    <t>Valencia</t>
  </si>
  <si>
    <t>Santiago</t>
  </si>
  <si>
    <t>London</t>
  </si>
  <si>
    <t>Ourense</t>
  </si>
  <si>
    <t>Essex</t>
  </si>
  <si>
    <t>Burlington</t>
  </si>
  <si>
    <t>BEST</t>
  </si>
  <si>
    <t>MIDDLE</t>
  </si>
  <si>
    <t>WORST</t>
  </si>
  <si>
    <t>CNOT vs RESULTS comparison</t>
  </si>
  <si>
    <t>ibmq_ourense</t>
  </si>
  <si>
    <t>W=I</t>
  </si>
  <si>
    <t>W=H</t>
  </si>
  <si>
    <t>arranged</t>
  </si>
  <si>
    <t>santiago</t>
  </si>
  <si>
    <t>london</t>
  </si>
  <si>
    <t>yorktown</t>
  </si>
  <si>
    <t>ourense</t>
  </si>
  <si>
    <t>valencia</t>
  </si>
  <si>
    <t>essex</t>
  </si>
  <si>
    <t>vigo</t>
  </si>
  <si>
    <t>burlington</t>
  </si>
  <si>
    <t>W=X</t>
  </si>
  <si>
    <t>W=Y</t>
  </si>
  <si>
    <t xml:space="preserve">london </t>
  </si>
  <si>
    <t>W=Z</t>
  </si>
  <si>
    <t>yortown</t>
  </si>
  <si>
    <t>ORDERED</t>
  </si>
  <si>
    <t>Single-q gates vs RESULTS comparison</t>
  </si>
  <si>
    <t>Run time</t>
  </si>
  <si>
    <t>3 qubit experiments</t>
  </si>
  <si>
    <t>000</t>
  </si>
  <si>
    <t>010</t>
  </si>
  <si>
    <t>100</t>
  </si>
  <si>
    <t>110</t>
  </si>
  <si>
    <t>5f3c84ea29e95b0013d9f8ef</t>
  </si>
  <si>
    <t>BASIC Herror</t>
  </si>
  <si>
    <t>5f3c857d959027001275c631</t>
  </si>
  <si>
    <t>5f3c8698c1ef4e001396240d</t>
  </si>
  <si>
    <t>5f3c86a96d358b001351977e</t>
  </si>
  <si>
    <t>5f3c86bd474efe001553d874</t>
  </si>
  <si>
    <t>5f3c8739ba57970013bbb8af</t>
  </si>
  <si>
    <t>5f3c8947c1ef4e001396242a</t>
  </si>
  <si>
    <t>5f3c8b62ba57970013bbb8cf</t>
  </si>
  <si>
    <t>STANDARD Herror</t>
  </si>
  <si>
    <t>5f3ed60034e8310012024a88</t>
  </si>
  <si>
    <t>5f3ed642959027001275e2ed</t>
  </si>
  <si>
    <t>5f3ed66c1e7af1001298056f</t>
  </si>
  <si>
    <t>5f3ed8b1f668140012eeeaef</t>
  </si>
  <si>
    <t>5f3eda40804d6b0012eeffd7</t>
  </si>
  <si>
    <t>5f3edaec34e8310012024ab7</t>
  </si>
  <si>
    <t>5f3f1ef74727e500140ec0f5</t>
  </si>
  <si>
    <t>5f3f1ff9ef910e0012bcbe71</t>
  </si>
  <si>
    <t>AVE ERROR</t>
  </si>
  <si>
    <t>No. of CNOTS</t>
  </si>
  <si>
    <t>Error*</t>
  </si>
  <si>
    <t>No. of SQG</t>
  </si>
  <si>
    <t>Running Time (sec)</t>
  </si>
  <si>
    <t>*Note that error here is 1-Probability(|00000&gt;)=P(|00010&gt;)+P(|01000&gt;)+P(|01010&gt;)</t>
  </si>
  <si>
    <t>Run Time (sec)</t>
  </si>
  <si>
    <t>Errror vs CNOTS, SQG, RunTime</t>
  </si>
  <si>
    <t>AUGUST 27 IBMQ Experiments 5-qubit QECC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</si>
</sst>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161616"/>
      <name val="Arial"/>
      <family val="2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/>
    <xf numFmtId="49" fontId="1" fillId="0" borderId="0" xfId="0" applyNumberFormat="1" applyFont="1"/>
    <xf numFmtId="0" fontId="3" fillId="0" borderId="0" xfId="0" applyFont="1"/>
    <xf numFmtId="0" fontId="4" fillId="0" borderId="0" xfId="0" applyFont="1"/>
    <xf numFmtId="0" fontId="0" fillId="2" borderId="0" xfId="0" applyFill="1"/>
    <xf numFmtId="49" fontId="0" fillId="2" borderId="0" xfId="0" applyNumberFormat="1" applyFill="1"/>
    <xf numFmtId="0" fontId="3" fillId="2" borderId="0" xfId="0" applyFont="1" applyFill="1"/>
    <xf numFmtId="0" fontId="0" fillId="3" borderId="0" xfId="0" applyFill="1"/>
    <xf numFmtId="49" fontId="0" fillId="3" borderId="0" xfId="0" applyNumberFormat="1" applyFill="1"/>
    <xf numFmtId="0" fontId="3" fillId="3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Fill="1"/>
    <xf numFmtId="1" fontId="0" fillId="0" borderId="0" xfId="0" applyNumberFormat="1" applyFill="1"/>
    <xf numFmtId="0" fontId="5" fillId="0" borderId="0" xfId="0" applyFont="1"/>
    <xf numFmtId="0" fontId="7" fillId="0" borderId="0" xfId="0" applyFont="1"/>
    <xf numFmtId="1" fontId="0" fillId="0" borderId="0" xfId="0" applyNumberFormat="1"/>
    <xf numFmtId="0" fontId="1" fillId="0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6" fillId="0" borderId="0" xfId="0" applyFont="1"/>
    <xf numFmtId="0" fontId="6" fillId="5" borderId="0" xfId="0" applyFont="1" applyFill="1"/>
    <xf numFmtId="1" fontId="0" fillId="4" borderId="0" xfId="0" applyNumberFormat="1" applyFill="1"/>
    <xf numFmtId="1" fontId="0" fillId="5" borderId="0" xfId="0" applyNumberFormat="1" applyFill="1"/>
    <xf numFmtId="0" fontId="0" fillId="6" borderId="0" xfId="0" applyFill="1"/>
    <xf numFmtId="0" fontId="0" fillId="0" borderId="0" xfId="0" applyFont="1"/>
    <xf numFmtId="0" fontId="0" fillId="0" borderId="1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9" xfId="0" applyFill="1" applyBorder="1"/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8" borderId="5" xfId="0" applyFill="1" applyBorder="1"/>
    <xf numFmtId="0" fontId="0" fillId="8" borderId="1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6" xfId="0" applyFill="1" applyBorder="1"/>
    <xf numFmtId="0" fontId="5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v>ibmq_santiago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'Factor 1 CNOTS'!$B$23:$AE$23</c:f>
              <c:numCache>
                <c:formatCode>General</c:formatCode>
                <c:ptCount val="30"/>
                <c:pt idx="0">
                  <c:v>46</c:v>
                </c:pt>
                <c:pt idx="1">
                  <c:v>39</c:v>
                </c:pt>
                <c:pt idx="2">
                  <c:v>70</c:v>
                </c:pt>
                <c:pt idx="3">
                  <c:v>45</c:v>
                </c:pt>
                <c:pt idx="4">
                  <c:v>47</c:v>
                </c:pt>
                <c:pt idx="5">
                  <c:v>64</c:v>
                </c:pt>
                <c:pt idx="6">
                  <c:v>42</c:v>
                </c:pt>
                <c:pt idx="7">
                  <c:v>37</c:v>
                </c:pt>
                <c:pt idx="8">
                  <c:v>37</c:v>
                </c:pt>
                <c:pt idx="9">
                  <c:v>56</c:v>
                </c:pt>
                <c:pt idx="10">
                  <c:v>76</c:v>
                </c:pt>
                <c:pt idx="11">
                  <c:v>43</c:v>
                </c:pt>
                <c:pt idx="12">
                  <c:v>98</c:v>
                </c:pt>
                <c:pt idx="13">
                  <c:v>89</c:v>
                </c:pt>
                <c:pt idx="14">
                  <c:v>39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42</c:v>
                </c:pt>
                <c:pt idx="19">
                  <c:v>39</c:v>
                </c:pt>
                <c:pt idx="20">
                  <c:v>98</c:v>
                </c:pt>
                <c:pt idx="21">
                  <c:v>81</c:v>
                </c:pt>
                <c:pt idx="22">
                  <c:v>90</c:v>
                </c:pt>
                <c:pt idx="23">
                  <c:v>64</c:v>
                </c:pt>
                <c:pt idx="24">
                  <c:v>36</c:v>
                </c:pt>
                <c:pt idx="25">
                  <c:v>86</c:v>
                </c:pt>
                <c:pt idx="26">
                  <c:v>47</c:v>
                </c:pt>
                <c:pt idx="27">
                  <c:v>41</c:v>
                </c:pt>
                <c:pt idx="28">
                  <c:v>75</c:v>
                </c:pt>
                <c:pt idx="29">
                  <c:v>45</c:v>
                </c:pt>
              </c:numCache>
            </c:numRef>
          </c:xVal>
          <c:yVal>
            <c:numRef>
              <c:f>'Factor 1 CNOTS'!$B$26:$AE$26</c:f>
              <c:numCache>
                <c:formatCode>General</c:formatCode>
                <c:ptCount val="30"/>
                <c:pt idx="0">
                  <c:v>0.52807999999999988</c:v>
                </c:pt>
                <c:pt idx="1">
                  <c:v>0.36523000000000005</c:v>
                </c:pt>
                <c:pt idx="2">
                  <c:v>0.45972000000000002</c:v>
                </c:pt>
                <c:pt idx="3">
                  <c:v>0.35779000000000005</c:v>
                </c:pt>
                <c:pt idx="4">
                  <c:v>0.24755000000000002</c:v>
                </c:pt>
                <c:pt idx="5">
                  <c:v>0.33849000000000001</c:v>
                </c:pt>
                <c:pt idx="6">
                  <c:v>0.36963000000000001</c:v>
                </c:pt>
                <c:pt idx="7">
                  <c:v>0.47997999999999996</c:v>
                </c:pt>
                <c:pt idx="8">
                  <c:v>0.48816000000000004</c:v>
                </c:pt>
                <c:pt idx="9">
                  <c:v>8.9969999999999994E-2</c:v>
                </c:pt>
                <c:pt idx="10">
                  <c:v>0.43847000000000003</c:v>
                </c:pt>
                <c:pt idx="11">
                  <c:v>0.26659999999999995</c:v>
                </c:pt>
                <c:pt idx="12">
                  <c:v>0.50768999999999997</c:v>
                </c:pt>
                <c:pt idx="13">
                  <c:v>0.49084000000000005</c:v>
                </c:pt>
                <c:pt idx="14">
                  <c:v>0.41808999999999996</c:v>
                </c:pt>
                <c:pt idx="15">
                  <c:v>0.34558</c:v>
                </c:pt>
                <c:pt idx="16">
                  <c:v>0.27209</c:v>
                </c:pt>
                <c:pt idx="17">
                  <c:v>0.27466000000000002</c:v>
                </c:pt>
                <c:pt idx="18">
                  <c:v>0.45057000000000003</c:v>
                </c:pt>
                <c:pt idx="19">
                  <c:v>0.37706999999999996</c:v>
                </c:pt>
                <c:pt idx="20">
                  <c:v>0.51819000000000004</c:v>
                </c:pt>
                <c:pt idx="21">
                  <c:v>0.42932999999999999</c:v>
                </c:pt>
                <c:pt idx="22">
                  <c:v>0.47802</c:v>
                </c:pt>
                <c:pt idx="23">
                  <c:v>0.4486</c:v>
                </c:pt>
                <c:pt idx="24">
                  <c:v>0.27685999999999999</c:v>
                </c:pt>
                <c:pt idx="25">
                  <c:v>0.49268000000000001</c:v>
                </c:pt>
                <c:pt idx="26">
                  <c:v>0.30688000000000004</c:v>
                </c:pt>
                <c:pt idx="27">
                  <c:v>0.40258999999999995</c:v>
                </c:pt>
                <c:pt idx="28">
                  <c:v>0.40745999999999993</c:v>
                </c:pt>
                <c:pt idx="29">
                  <c:v>0.37963999999999998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C73-488C-AA16-6EF45A07F819}"/>
            </c:ext>
          </c:extLst>
        </c:ser>
        <c:ser>
          <c:idx val="6"/>
          <c:order val="1"/>
          <c:tx>
            <c:v>ibmq_ourense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'Factor 1 CNOTS'!$B$35:$AE$35</c:f>
              <c:numCache>
                <c:formatCode>General</c:formatCode>
                <c:ptCount val="30"/>
                <c:pt idx="0">
                  <c:v>79</c:v>
                </c:pt>
                <c:pt idx="1">
                  <c:v>76</c:v>
                </c:pt>
                <c:pt idx="2">
                  <c:v>44</c:v>
                </c:pt>
                <c:pt idx="3">
                  <c:v>55</c:v>
                </c:pt>
                <c:pt idx="4">
                  <c:v>54</c:v>
                </c:pt>
                <c:pt idx="5">
                  <c:v>58</c:v>
                </c:pt>
                <c:pt idx="6">
                  <c:v>70</c:v>
                </c:pt>
                <c:pt idx="7">
                  <c:v>77</c:v>
                </c:pt>
                <c:pt idx="8">
                  <c:v>73</c:v>
                </c:pt>
                <c:pt idx="9">
                  <c:v>51</c:v>
                </c:pt>
                <c:pt idx="10">
                  <c:v>51</c:v>
                </c:pt>
                <c:pt idx="11">
                  <c:v>74</c:v>
                </c:pt>
                <c:pt idx="12">
                  <c:v>67</c:v>
                </c:pt>
                <c:pt idx="13">
                  <c:v>83</c:v>
                </c:pt>
                <c:pt idx="14">
                  <c:v>55</c:v>
                </c:pt>
                <c:pt idx="15">
                  <c:v>51</c:v>
                </c:pt>
                <c:pt idx="16">
                  <c:v>54</c:v>
                </c:pt>
                <c:pt idx="17">
                  <c:v>75</c:v>
                </c:pt>
                <c:pt idx="18">
                  <c:v>77</c:v>
                </c:pt>
                <c:pt idx="19">
                  <c:v>70</c:v>
                </c:pt>
                <c:pt idx="20">
                  <c:v>77</c:v>
                </c:pt>
                <c:pt idx="21">
                  <c:v>50</c:v>
                </c:pt>
                <c:pt idx="22">
                  <c:v>75</c:v>
                </c:pt>
                <c:pt idx="23">
                  <c:v>67</c:v>
                </c:pt>
                <c:pt idx="24">
                  <c:v>79</c:v>
                </c:pt>
                <c:pt idx="25">
                  <c:v>82</c:v>
                </c:pt>
                <c:pt idx="26">
                  <c:v>43</c:v>
                </c:pt>
                <c:pt idx="27">
                  <c:v>57</c:v>
                </c:pt>
                <c:pt idx="28">
                  <c:v>73</c:v>
                </c:pt>
                <c:pt idx="29">
                  <c:v>75</c:v>
                </c:pt>
              </c:numCache>
            </c:numRef>
          </c:xVal>
          <c:yVal>
            <c:numRef>
              <c:f>'Factor 1 CNOTS'!$B$38:$AE$38</c:f>
              <c:numCache>
                <c:formatCode>General</c:formatCode>
                <c:ptCount val="30"/>
                <c:pt idx="0">
                  <c:v>0.62146000000000001</c:v>
                </c:pt>
                <c:pt idx="1">
                  <c:v>0.66332999999999998</c:v>
                </c:pt>
                <c:pt idx="2">
                  <c:v>0.52661000000000002</c:v>
                </c:pt>
                <c:pt idx="3">
                  <c:v>0.50341999999999998</c:v>
                </c:pt>
                <c:pt idx="4">
                  <c:v>0.46521000000000001</c:v>
                </c:pt>
                <c:pt idx="5">
                  <c:v>0.44519000000000003</c:v>
                </c:pt>
                <c:pt idx="6">
                  <c:v>0.64563000000000004</c:v>
                </c:pt>
                <c:pt idx="7">
                  <c:v>0.66406999999999994</c:v>
                </c:pt>
                <c:pt idx="8">
                  <c:v>0.66150000000000009</c:v>
                </c:pt>
                <c:pt idx="9">
                  <c:v>0.5103700000000001</c:v>
                </c:pt>
                <c:pt idx="10">
                  <c:v>0.53198999999999996</c:v>
                </c:pt>
                <c:pt idx="11">
                  <c:v>0.66540999999999995</c:v>
                </c:pt>
                <c:pt idx="12">
                  <c:v>0.55139000000000005</c:v>
                </c:pt>
                <c:pt idx="13">
                  <c:v>0.67968999999999991</c:v>
                </c:pt>
                <c:pt idx="14">
                  <c:v>0.59900999999999993</c:v>
                </c:pt>
                <c:pt idx="15">
                  <c:v>0.47558</c:v>
                </c:pt>
                <c:pt idx="16">
                  <c:v>0.47606999999999999</c:v>
                </c:pt>
                <c:pt idx="17">
                  <c:v>0.58545000000000003</c:v>
                </c:pt>
                <c:pt idx="18">
                  <c:v>0.61182000000000003</c:v>
                </c:pt>
                <c:pt idx="19">
                  <c:v>0.61487000000000003</c:v>
                </c:pt>
                <c:pt idx="20">
                  <c:v>0.63</c:v>
                </c:pt>
                <c:pt idx="21">
                  <c:v>0.48536000000000001</c:v>
                </c:pt>
                <c:pt idx="22">
                  <c:v>0.59704999999999997</c:v>
                </c:pt>
                <c:pt idx="23">
                  <c:v>0.51270000000000004</c:v>
                </c:pt>
                <c:pt idx="24">
                  <c:v>0.66126000000000007</c:v>
                </c:pt>
                <c:pt idx="25">
                  <c:v>0.65759000000000001</c:v>
                </c:pt>
                <c:pt idx="26">
                  <c:v>0.51085999999999998</c:v>
                </c:pt>
                <c:pt idx="27">
                  <c:v>0.51136000000000004</c:v>
                </c:pt>
                <c:pt idx="28">
                  <c:v>0.60350999999999999</c:v>
                </c:pt>
                <c:pt idx="29">
                  <c:v>0.58118000000000003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C73-488C-AA16-6EF45A07F819}"/>
            </c:ext>
          </c:extLst>
        </c:ser>
        <c:ser>
          <c:idx val="1"/>
          <c:order val="2"/>
          <c:tx>
            <c:v>ibmq_5_yorktown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'Factor 1 CNOTS'!$B$5:$AE$5</c:f>
              <c:numCache>
                <c:formatCode>General</c:formatCode>
                <c:ptCount val="3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</c:numCache>
            </c:numRef>
          </c:xVal>
          <c:yVal>
            <c:numRef>
              <c:f>'Factor 1 CNOTS'!$B$8:$AE$8</c:f>
              <c:numCache>
                <c:formatCode>General</c:formatCode>
                <c:ptCount val="30"/>
                <c:pt idx="0">
                  <c:v>0.53661999999999999</c:v>
                </c:pt>
                <c:pt idx="1">
                  <c:v>0.52954000000000001</c:v>
                </c:pt>
                <c:pt idx="2">
                  <c:v>0.53674000000000011</c:v>
                </c:pt>
                <c:pt idx="3">
                  <c:v>0.46460000000000001</c:v>
                </c:pt>
                <c:pt idx="4">
                  <c:v>0.44483000000000006</c:v>
                </c:pt>
                <c:pt idx="5">
                  <c:v>0.45740000000000003</c:v>
                </c:pt>
                <c:pt idx="6">
                  <c:v>0.57886000000000004</c:v>
                </c:pt>
                <c:pt idx="7">
                  <c:v>0.59143000000000001</c:v>
                </c:pt>
                <c:pt idx="8">
                  <c:v>0.59948999999999997</c:v>
                </c:pt>
                <c:pt idx="9">
                  <c:v>0.56969999999999998</c:v>
                </c:pt>
                <c:pt idx="10">
                  <c:v>0.57239000000000007</c:v>
                </c:pt>
                <c:pt idx="11">
                  <c:v>0.57702000000000009</c:v>
                </c:pt>
                <c:pt idx="12">
                  <c:v>0.57189999999999996</c:v>
                </c:pt>
                <c:pt idx="13">
                  <c:v>0.55212000000000006</c:v>
                </c:pt>
                <c:pt idx="14">
                  <c:v>0.59118000000000004</c:v>
                </c:pt>
                <c:pt idx="15">
                  <c:v>0.55138999999999994</c:v>
                </c:pt>
                <c:pt idx="16">
                  <c:v>0.53491</c:v>
                </c:pt>
                <c:pt idx="17">
                  <c:v>0.57091999999999998</c:v>
                </c:pt>
                <c:pt idx="18">
                  <c:v>0.56031000000000009</c:v>
                </c:pt>
                <c:pt idx="19">
                  <c:v>0.56469999999999998</c:v>
                </c:pt>
                <c:pt idx="20">
                  <c:v>0.58617999999999992</c:v>
                </c:pt>
                <c:pt idx="21">
                  <c:v>0.5577399999999999</c:v>
                </c:pt>
                <c:pt idx="22">
                  <c:v>0.55127999999999999</c:v>
                </c:pt>
                <c:pt idx="23">
                  <c:v>0.55248999999999993</c:v>
                </c:pt>
                <c:pt idx="24">
                  <c:v>0.51978000000000002</c:v>
                </c:pt>
                <c:pt idx="25">
                  <c:v>0.50670999999999999</c:v>
                </c:pt>
                <c:pt idx="26">
                  <c:v>0.53271000000000002</c:v>
                </c:pt>
                <c:pt idx="27">
                  <c:v>0.45362000000000002</c:v>
                </c:pt>
                <c:pt idx="28">
                  <c:v>0.44666000000000006</c:v>
                </c:pt>
                <c:pt idx="29">
                  <c:v>0.44994999999999996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C73-488C-AA16-6EF45A07F819}"/>
            </c:ext>
          </c:extLst>
        </c:ser>
        <c:ser>
          <c:idx val="3"/>
          <c:order val="3"/>
          <c:tx>
            <c:v>ibmq_valencia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'Factor 1 CNOTS'!$B$17:$AE$17</c:f>
              <c:numCache>
                <c:formatCode>General</c:formatCode>
                <c:ptCount val="30"/>
                <c:pt idx="0">
                  <c:v>77</c:v>
                </c:pt>
                <c:pt idx="1">
                  <c:v>57</c:v>
                </c:pt>
                <c:pt idx="2">
                  <c:v>48</c:v>
                </c:pt>
                <c:pt idx="3">
                  <c:v>73</c:v>
                </c:pt>
                <c:pt idx="4">
                  <c:v>61</c:v>
                </c:pt>
                <c:pt idx="5">
                  <c:v>51</c:v>
                </c:pt>
                <c:pt idx="6">
                  <c:v>76</c:v>
                </c:pt>
                <c:pt idx="7">
                  <c:v>76</c:v>
                </c:pt>
                <c:pt idx="8">
                  <c:v>52</c:v>
                </c:pt>
                <c:pt idx="9">
                  <c:v>50</c:v>
                </c:pt>
                <c:pt idx="10">
                  <c:v>75</c:v>
                </c:pt>
                <c:pt idx="11">
                  <c:v>61</c:v>
                </c:pt>
                <c:pt idx="12">
                  <c:v>57</c:v>
                </c:pt>
                <c:pt idx="13">
                  <c:v>76</c:v>
                </c:pt>
                <c:pt idx="14">
                  <c:v>58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79</c:v>
                </c:pt>
                <c:pt idx="19">
                  <c:v>82</c:v>
                </c:pt>
                <c:pt idx="20">
                  <c:v>55</c:v>
                </c:pt>
                <c:pt idx="21">
                  <c:v>52</c:v>
                </c:pt>
                <c:pt idx="22">
                  <c:v>54</c:v>
                </c:pt>
                <c:pt idx="23">
                  <c:v>75</c:v>
                </c:pt>
                <c:pt idx="24">
                  <c:v>57</c:v>
                </c:pt>
                <c:pt idx="25">
                  <c:v>78</c:v>
                </c:pt>
                <c:pt idx="26">
                  <c:v>79</c:v>
                </c:pt>
                <c:pt idx="27">
                  <c:v>73</c:v>
                </c:pt>
                <c:pt idx="28">
                  <c:v>58</c:v>
                </c:pt>
                <c:pt idx="29">
                  <c:v>67</c:v>
                </c:pt>
              </c:numCache>
            </c:numRef>
          </c:xVal>
          <c:yVal>
            <c:numRef>
              <c:f>'Factor 1 CNOTS'!$B$20:$AE$20</c:f>
              <c:numCache>
                <c:formatCode>General</c:formatCode>
                <c:ptCount val="30"/>
                <c:pt idx="0">
                  <c:v>0.62121000000000004</c:v>
                </c:pt>
                <c:pt idx="1">
                  <c:v>0.61817000000000011</c:v>
                </c:pt>
                <c:pt idx="2">
                  <c:v>0.60865000000000002</c:v>
                </c:pt>
                <c:pt idx="3">
                  <c:v>0.55610000000000004</c:v>
                </c:pt>
                <c:pt idx="4">
                  <c:v>0.48778999999999995</c:v>
                </c:pt>
                <c:pt idx="5">
                  <c:v>0.50719999999999998</c:v>
                </c:pt>
                <c:pt idx="6">
                  <c:v>0.46509</c:v>
                </c:pt>
                <c:pt idx="7">
                  <c:v>0.64087000000000005</c:v>
                </c:pt>
                <c:pt idx="8">
                  <c:v>0.64539000000000002</c:v>
                </c:pt>
                <c:pt idx="9">
                  <c:v>0.55688999999999989</c:v>
                </c:pt>
                <c:pt idx="10">
                  <c:v>0.67784999999999995</c:v>
                </c:pt>
                <c:pt idx="11">
                  <c:v>0.55737000000000003</c:v>
                </c:pt>
                <c:pt idx="12">
                  <c:v>0.54565999999999992</c:v>
                </c:pt>
                <c:pt idx="13">
                  <c:v>0.6551499999999999</c:v>
                </c:pt>
                <c:pt idx="14">
                  <c:v>0.56810999999999989</c:v>
                </c:pt>
                <c:pt idx="15">
                  <c:v>0.55394999999999994</c:v>
                </c:pt>
                <c:pt idx="16">
                  <c:v>0.57727000000000006</c:v>
                </c:pt>
                <c:pt idx="17">
                  <c:v>0.54015999999999997</c:v>
                </c:pt>
                <c:pt idx="18">
                  <c:v>0.60192999999999997</c:v>
                </c:pt>
                <c:pt idx="19">
                  <c:v>0.62414000000000003</c:v>
                </c:pt>
                <c:pt idx="20">
                  <c:v>0.57018000000000002</c:v>
                </c:pt>
                <c:pt idx="21">
                  <c:v>0.50683</c:v>
                </c:pt>
                <c:pt idx="22">
                  <c:v>0.44652999999999998</c:v>
                </c:pt>
                <c:pt idx="23">
                  <c:v>0.56420000000000003</c:v>
                </c:pt>
                <c:pt idx="24">
                  <c:v>0.59423000000000004</c:v>
                </c:pt>
                <c:pt idx="25">
                  <c:v>0.63269000000000009</c:v>
                </c:pt>
                <c:pt idx="26">
                  <c:v>0.62792999999999988</c:v>
                </c:pt>
                <c:pt idx="27">
                  <c:v>0.56652999999999998</c:v>
                </c:pt>
                <c:pt idx="28">
                  <c:v>0.48951000000000006</c:v>
                </c:pt>
                <c:pt idx="29">
                  <c:v>0.59655999999999998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DC73-488C-AA16-6EF45A07F819}"/>
            </c:ext>
          </c:extLst>
        </c:ser>
        <c:ser>
          <c:idx val="5"/>
          <c:order val="4"/>
          <c:tx>
            <c:v>ibmq_london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'Factor 1 CNOTS'!$B$29:$AE$29</c:f>
              <c:numCache>
                <c:formatCode>General</c:formatCode>
                <c:ptCount val="30"/>
                <c:pt idx="0">
                  <c:v>60</c:v>
                </c:pt>
                <c:pt idx="1">
                  <c:v>70</c:v>
                </c:pt>
                <c:pt idx="2">
                  <c:v>68</c:v>
                </c:pt>
                <c:pt idx="3">
                  <c:v>75</c:v>
                </c:pt>
                <c:pt idx="4">
                  <c:v>70</c:v>
                </c:pt>
                <c:pt idx="5">
                  <c:v>51</c:v>
                </c:pt>
                <c:pt idx="6">
                  <c:v>85</c:v>
                </c:pt>
                <c:pt idx="7">
                  <c:v>73</c:v>
                </c:pt>
                <c:pt idx="8">
                  <c:v>78</c:v>
                </c:pt>
                <c:pt idx="9">
                  <c:v>56</c:v>
                </c:pt>
                <c:pt idx="10">
                  <c:v>56</c:v>
                </c:pt>
                <c:pt idx="11">
                  <c:v>75</c:v>
                </c:pt>
                <c:pt idx="12">
                  <c:v>57</c:v>
                </c:pt>
                <c:pt idx="13">
                  <c:v>49</c:v>
                </c:pt>
                <c:pt idx="14">
                  <c:v>49</c:v>
                </c:pt>
                <c:pt idx="15">
                  <c:v>56</c:v>
                </c:pt>
                <c:pt idx="16">
                  <c:v>75</c:v>
                </c:pt>
                <c:pt idx="17">
                  <c:v>69</c:v>
                </c:pt>
                <c:pt idx="18">
                  <c:v>77</c:v>
                </c:pt>
                <c:pt idx="19">
                  <c:v>76</c:v>
                </c:pt>
                <c:pt idx="20">
                  <c:v>61</c:v>
                </c:pt>
                <c:pt idx="21">
                  <c:v>51</c:v>
                </c:pt>
                <c:pt idx="22">
                  <c:v>55</c:v>
                </c:pt>
                <c:pt idx="23">
                  <c:v>84</c:v>
                </c:pt>
                <c:pt idx="24">
                  <c:v>77</c:v>
                </c:pt>
                <c:pt idx="25">
                  <c:v>76</c:v>
                </c:pt>
                <c:pt idx="26">
                  <c:v>77</c:v>
                </c:pt>
                <c:pt idx="27">
                  <c:v>73</c:v>
                </c:pt>
                <c:pt idx="28">
                  <c:v>73</c:v>
                </c:pt>
                <c:pt idx="29">
                  <c:v>71</c:v>
                </c:pt>
              </c:numCache>
            </c:numRef>
          </c:xVal>
          <c:yVal>
            <c:numRef>
              <c:f>'Factor 1 CNOTS'!$B$32:$AE$32</c:f>
              <c:numCache>
                <c:formatCode>General</c:formatCode>
                <c:ptCount val="30"/>
                <c:pt idx="0">
                  <c:v>0.62988</c:v>
                </c:pt>
                <c:pt idx="1">
                  <c:v>0.69873999999999992</c:v>
                </c:pt>
                <c:pt idx="2">
                  <c:v>0.63488</c:v>
                </c:pt>
                <c:pt idx="3">
                  <c:v>0.63574000000000008</c:v>
                </c:pt>
                <c:pt idx="4">
                  <c:v>0.61828000000000005</c:v>
                </c:pt>
                <c:pt idx="5">
                  <c:v>0.42480999999999997</c:v>
                </c:pt>
                <c:pt idx="6">
                  <c:v>0.70373999999999992</c:v>
                </c:pt>
                <c:pt idx="7">
                  <c:v>0.67186999999999997</c:v>
                </c:pt>
                <c:pt idx="8">
                  <c:v>0.75379000000000007</c:v>
                </c:pt>
                <c:pt idx="9">
                  <c:v>0.6666200000000001</c:v>
                </c:pt>
                <c:pt idx="10">
                  <c:v>0.60388000000000008</c:v>
                </c:pt>
                <c:pt idx="11">
                  <c:v>0.67662999999999995</c:v>
                </c:pt>
                <c:pt idx="12">
                  <c:v>0.6164599999999999</c:v>
                </c:pt>
                <c:pt idx="13">
                  <c:v>0.62097000000000002</c:v>
                </c:pt>
                <c:pt idx="14">
                  <c:v>0.6196299999999999</c:v>
                </c:pt>
                <c:pt idx="15">
                  <c:v>0.57495000000000007</c:v>
                </c:pt>
                <c:pt idx="16">
                  <c:v>0.58960000000000001</c:v>
                </c:pt>
                <c:pt idx="17">
                  <c:v>0.53808999999999996</c:v>
                </c:pt>
                <c:pt idx="18">
                  <c:v>0.70909999999999995</c:v>
                </c:pt>
                <c:pt idx="19">
                  <c:v>0.71545000000000003</c:v>
                </c:pt>
                <c:pt idx="20">
                  <c:v>0.68847000000000014</c:v>
                </c:pt>
                <c:pt idx="21">
                  <c:v>0.46582999999999997</c:v>
                </c:pt>
                <c:pt idx="22">
                  <c:v>0.53125999999999995</c:v>
                </c:pt>
                <c:pt idx="23">
                  <c:v>0.70263999999999993</c:v>
                </c:pt>
                <c:pt idx="24">
                  <c:v>0.73962000000000006</c:v>
                </c:pt>
                <c:pt idx="25">
                  <c:v>0.70727000000000007</c:v>
                </c:pt>
                <c:pt idx="26">
                  <c:v>0.72277000000000002</c:v>
                </c:pt>
                <c:pt idx="27">
                  <c:v>0.61389000000000005</c:v>
                </c:pt>
                <c:pt idx="28">
                  <c:v>0.65587999999999991</c:v>
                </c:pt>
                <c:pt idx="29">
                  <c:v>0.72364000000000006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C73-488C-AA16-6EF45A07F819}"/>
            </c:ext>
          </c:extLst>
        </c:ser>
        <c:ser>
          <c:idx val="7"/>
          <c:order val="5"/>
          <c:tx>
            <c:v>ibmq_essex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'Factor 1 CNOTS'!$B$41:$AE$41</c:f>
              <c:numCache>
                <c:formatCode>General</c:formatCode>
                <c:ptCount val="30"/>
                <c:pt idx="0">
                  <c:v>61</c:v>
                </c:pt>
                <c:pt idx="1">
                  <c:v>70</c:v>
                </c:pt>
                <c:pt idx="2">
                  <c:v>77</c:v>
                </c:pt>
                <c:pt idx="3">
                  <c:v>53</c:v>
                </c:pt>
                <c:pt idx="4">
                  <c:v>79</c:v>
                </c:pt>
                <c:pt idx="5">
                  <c:v>66</c:v>
                </c:pt>
                <c:pt idx="6">
                  <c:v>78</c:v>
                </c:pt>
                <c:pt idx="7">
                  <c:v>57</c:v>
                </c:pt>
                <c:pt idx="8">
                  <c:v>76</c:v>
                </c:pt>
                <c:pt idx="9">
                  <c:v>73</c:v>
                </c:pt>
                <c:pt idx="10">
                  <c:v>56</c:v>
                </c:pt>
                <c:pt idx="11">
                  <c:v>65</c:v>
                </c:pt>
                <c:pt idx="12">
                  <c:v>70</c:v>
                </c:pt>
                <c:pt idx="13">
                  <c:v>57</c:v>
                </c:pt>
                <c:pt idx="14">
                  <c:v>70</c:v>
                </c:pt>
                <c:pt idx="15">
                  <c:v>75</c:v>
                </c:pt>
                <c:pt idx="16">
                  <c:v>73</c:v>
                </c:pt>
                <c:pt idx="17">
                  <c:v>66</c:v>
                </c:pt>
                <c:pt idx="18">
                  <c:v>79</c:v>
                </c:pt>
                <c:pt idx="19">
                  <c:v>55</c:v>
                </c:pt>
                <c:pt idx="20">
                  <c:v>84</c:v>
                </c:pt>
                <c:pt idx="21">
                  <c:v>59</c:v>
                </c:pt>
                <c:pt idx="22">
                  <c:v>54</c:v>
                </c:pt>
                <c:pt idx="23">
                  <c:v>73</c:v>
                </c:pt>
                <c:pt idx="24">
                  <c:v>76</c:v>
                </c:pt>
                <c:pt idx="25">
                  <c:v>57</c:v>
                </c:pt>
                <c:pt idx="26">
                  <c:v>55</c:v>
                </c:pt>
                <c:pt idx="27">
                  <c:v>72</c:v>
                </c:pt>
                <c:pt idx="28">
                  <c:v>56</c:v>
                </c:pt>
                <c:pt idx="29">
                  <c:v>74</c:v>
                </c:pt>
              </c:numCache>
            </c:numRef>
          </c:xVal>
          <c:yVal>
            <c:numRef>
              <c:f>'Factor 1 CNOTS'!$B$44:$AE$44</c:f>
              <c:numCache>
                <c:formatCode>General</c:formatCode>
                <c:ptCount val="30"/>
                <c:pt idx="0">
                  <c:v>0.63611000000000006</c:v>
                </c:pt>
                <c:pt idx="1">
                  <c:v>0.61572000000000005</c:v>
                </c:pt>
                <c:pt idx="2">
                  <c:v>0.69323000000000012</c:v>
                </c:pt>
                <c:pt idx="3">
                  <c:v>0.49804999999999999</c:v>
                </c:pt>
                <c:pt idx="4">
                  <c:v>0.64807000000000003</c:v>
                </c:pt>
                <c:pt idx="5">
                  <c:v>0.61621000000000004</c:v>
                </c:pt>
                <c:pt idx="6">
                  <c:v>0.65844999999999998</c:v>
                </c:pt>
                <c:pt idx="7">
                  <c:v>0.71862999999999999</c:v>
                </c:pt>
                <c:pt idx="8">
                  <c:v>0.67787000000000008</c:v>
                </c:pt>
                <c:pt idx="9">
                  <c:v>0.66564999999999996</c:v>
                </c:pt>
                <c:pt idx="10">
                  <c:v>0.62451000000000012</c:v>
                </c:pt>
                <c:pt idx="11">
                  <c:v>0.71521000000000001</c:v>
                </c:pt>
                <c:pt idx="12">
                  <c:v>0.60021999999999998</c:v>
                </c:pt>
                <c:pt idx="13">
                  <c:v>0.61547000000000007</c:v>
                </c:pt>
                <c:pt idx="14">
                  <c:v>0.60949000000000009</c:v>
                </c:pt>
                <c:pt idx="15">
                  <c:v>0.58582000000000012</c:v>
                </c:pt>
                <c:pt idx="16">
                  <c:v>0.59495999999999993</c:v>
                </c:pt>
                <c:pt idx="17">
                  <c:v>0.57995000000000008</c:v>
                </c:pt>
                <c:pt idx="18">
                  <c:v>0.64734999999999998</c:v>
                </c:pt>
                <c:pt idx="19">
                  <c:v>0.6458799999999999</c:v>
                </c:pt>
                <c:pt idx="20">
                  <c:v>0.52673000000000003</c:v>
                </c:pt>
                <c:pt idx="21">
                  <c:v>0.50977000000000006</c:v>
                </c:pt>
                <c:pt idx="22">
                  <c:v>0.50977000000000006</c:v>
                </c:pt>
                <c:pt idx="23">
                  <c:v>0.63977000000000006</c:v>
                </c:pt>
                <c:pt idx="24">
                  <c:v>0.65465999999999991</c:v>
                </c:pt>
                <c:pt idx="25">
                  <c:v>0.58776000000000006</c:v>
                </c:pt>
                <c:pt idx="26">
                  <c:v>0.58055999999999996</c:v>
                </c:pt>
                <c:pt idx="27">
                  <c:v>0.61485999999999996</c:v>
                </c:pt>
                <c:pt idx="28">
                  <c:v>0.46703000000000006</c:v>
                </c:pt>
                <c:pt idx="29">
                  <c:v>0.68432000000000004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C73-488C-AA16-6EF45A07F819}"/>
            </c:ext>
          </c:extLst>
        </c:ser>
        <c:ser>
          <c:idx val="2"/>
          <c:order val="6"/>
          <c:tx>
            <c:v>ibmq_vigo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'Factor 1 CNOTS'!$B$11:$AE$11</c:f>
              <c:numCache>
                <c:formatCode>General</c:formatCode>
                <c:ptCount val="30"/>
                <c:pt idx="0">
                  <c:v>85</c:v>
                </c:pt>
                <c:pt idx="1">
                  <c:v>75</c:v>
                </c:pt>
                <c:pt idx="2">
                  <c:v>55</c:v>
                </c:pt>
                <c:pt idx="3">
                  <c:v>51</c:v>
                </c:pt>
                <c:pt idx="4">
                  <c:v>56</c:v>
                </c:pt>
                <c:pt idx="5">
                  <c:v>52</c:v>
                </c:pt>
                <c:pt idx="6">
                  <c:v>65</c:v>
                </c:pt>
                <c:pt idx="7">
                  <c:v>82</c:v>
                </c:pt>
                <c:pt idx="8">
                  <c:v>57</c:v>
                </c:pt>
                <c:pt idx="9">
                  <c:v>66</c:v>
                </c:pt>
                <c:pt idx="10">
                  <c:v>71</c:v>
                </c:pt>
                <c:pt idx="11">
                  <c:v>50</c:v>
                </c:pt>
                <c:pt idx="12">
                  <c:v>79</c:v>
                </c:pt>
                <c:pt idx="13">
                  <c:v>63</c:v>
                </c:pt>
                <c:pt idx="14">
                  <c:v>57</c:v>
                </c:pt>
                <c:pt idx="15">
                  <c:v>70</c:v>
                </c:pt>
                <c:pt idx="16">
                  <c:v>75</c:v>
                </c:pt>
                <c:pt idx="17">
                  <c:v>59</c:v>
                </c:pt>
                <c:pt idx="18">
                  <c:v>46</c:v>
                </c:pt>
                <c:pt idx="19">
                  <c:v>76</c:v>
                </c:pt>
                <c:pt idx="20">
                  <c:v>77</c:v>
                </c:pt>
                <c:pt idx="21">
                  <c:v>50</c:v>
                </c:pt>
                <c:pt idx="22">
                  <c:v>55</c:v>
                </c:pt>
                <c:pt idx="23">
                  <c:v>56</c:v>
                </c:pt>
                <c:pt idx="24">
                  <c:v>76</c:v>
                </c:pt>
                <c:pt idx="25">
                  <c:v>78</c:v>
                </c:pt>
                <c:pt idx="26">
                  <c:v>83</c:v>
                </c:pt>
                <c:pt idx="27">
                  <c:v>74</c:v>
                </c:pt>
                <c:pt idx="28">
                  <c:v>61</c:v>
                </c:pt>
                <c:pt idx="29">
                  <c:v>75</c:v>
                </c:pt>
              </c:numCache>
            </c:numRef>
          </c:xVal>
          <c:yVal>
            <c:numRef>
              <c:f>'Factor 1 CNOTS'!$B$14:$AE$14</c:f>
              <c:numCache>
                <c:formatCode>General</c:formatCode>
                <c:ptCount val="30"/>
                <c:pt idx="0">
                  <c:v>0.71852000000000005</c:v>
                </c:pt>
                <c:pt idx="1">
                  <c:v>0.69811999999999996</c:v>
                </c:pt>
                <c:pt idx="2">
                  <c:v>0.63647000000000009</c:v>
                </c:pt>
                <c:pt idx="3">
                  <c:v>0.61817000000000011</c:v>
                </c:pt>
                <c:pt idx="4">
                  <c:v>0.65393000000000001</c:v>
                </c:pt>
                <c:pt idx="5">
                  <c:v>0.59411000000000003</c:v>
                </c:pt>
                <c:pt idx="6">
                  <c:v>0.65563000000000005</c:v>
                </c:pt>
                <c:pt idx="7">
                  <c:v>0.71263999999999994</c:v>
                </c:pt>
                <c:pt idx="8">
                  <c:v>0.68066000000000004</c:v>
                </c:pt>
                <c:pt idx="9">
                  <c:v>0.68579000000000012</c:v>
                </c:pt>
                <c:pt idx="10">
                  <c:v>0.71861999999999993</c:v>
                </c:pt>
                <c:pt idx="11">
                  <c:v>0.67162999999999995</c:v>
                </c:pt>
                <c:pt idx="12">
                  <c:v>0.71972999999999998</c:v>
                </c:pt>
                <c:pt idx="13">
                  <c:v>0.66198000000000012</c:v>
                </c:pt>
                <c:pt idx="14">
                  <c:v>0.62390000000000001</c:v>
                </c:pt>
                <c:pt idx="15">
                  <c:v>0.65856999999999999</c:v>
                </c:pt>
                <c:pt idx="16">
                  <c:v>0.67016000000000009</c:v>
                </c:pt>
                <c:pt idx="17">
                  <c:v>0.64087000000000005</c:v>
                </c:pt>
                <c:pt idx="18">
                  <c:v>0.63781999999999994</c:v>
                </c:pt>
                <c:pt idx="19">
                  <c:v>0.70861999999999992</c:v>
                </c:pt>
                <c:pt idx="20">
                  <c:v>0.70641999999999994</c:v>
                </c:pt>
                <c:pt idx="21">
                  <c:v>0.5895999999999999</c:v>
                </c:pt>
                <c:pt idx="22">
                  <c:v>0.67944999999999989</c:v>
                </c:pt>
                <c:pt idx="23">
                  <c:v>0.63573999999999997</c:v>
                </c:pt>
                <c:pt idx="24">
                  <c:v>0.69225999999999999</c:v>
                </c:pt>
                <c:pt idx="25">
                  <c:v>0.72840000000000005</c:v>
                </c:pt>
                <c:pt idx="26">
                  <c:v>0.72742000000000007</c:v>
                </c:pt>
                <c:pt idx="27">
                  <c:v>0.62060999999999999</c:v>
                </c:pt>
                <c:pt idx="28">
                  <c:v>0.65942999999999996</c:v>
                </c:pt>
                <c:pt idx="29">
                  <c:v>0.67688000000000004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DC73-488C-AA16-6EF45A07F819}"/>
            </c:ext>
          </c:extLst>
        </c:ser>
        <c:ser>
          <c:idx val="0"/>
          <c:order val="7"/>
          <c:tx>
            <c:v>ibmq_burlington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'Factor 1 CNOTS'!$B$47:$AE$47</c:f>
              <c:numCache>
                <c:formatCode>General</c:formatCode>
                <c:ptCount val="30"/>
                <c:pt idx="0">
                  <c:v>70</c:v>
                </c:pt>
                <c:pt idx="1">
                  <c:v>70</c:v>
                </c:pt>
                <c:pt idx="2">
                  <c:v>75</c:v>
                </c:pt>
                <c:pt idx="3">
                  <c:v>54</c:v>
                </c:pt>
                <c:pt idx="4">
                  <c:v>76</c:v>
                </c:pt>
                <c:pt idx="5">
                  <c:v>74</c:v>
                </c:pt>
                <c:pt idx="6">
                  <c:v>76</c:v>
                </c:pt>
                <c:pt idx="7">
                  <c:v>58</c:v>
                </c:pt>
                <c:pt idx="8">
                  <c:v>76</c:v>
                </c:pt>
                <c:pt idx="9">
                  <c:v>54</c:v>
                </c:pt>
                <c:pt idx="10">
                  <c:v>75</c:v>
                </c:pt>
                <c:pt idx="11">
                  <c:v>84</c:v>
                </c:pt>
                <c:pt idx="12">
                  <c:v>55</c:v>
                </c:pt>
                <c:pt idx="13">
                  <c:v>76</c:v>
                </c:pt>
                <c:pt idx="14">
                  <c:v>61</c:v>
                </c:pt>
                <c:pt idx="15">
                  <c:v>70</c:v>
                </c:pt>
                <c:pt idx="16">
                  <c:v>74</c:v>
                </c:pt>
                <c:pt idx="17">
                  <c:v>56</c:v>
                </c:pt>
                <c:pt idx="18">
                  <c:v>79</c:v>
                </c:pt>
                <c:pt idx="19">
                  <c:v>76</c:v>
                </c:pt>
                <c:pt idx="20">
                  <c:v>67</c:v>
                </c:pt>
                <c:pt idx="21">
                  <c:v>66</c:v>
                </c:pt>
                <c:pt idx="22">
                  <c:v>74</c:v>
                </c:pt>
                <c:pt idx="23">
                  <c:v>74</c:v>
                </c:pt>
                <c:pt idx="24">
                  <c:v>61</c:v>
                </c:pt>
                <c:pt idx="25">
                  <c:v>63</c:v>
                </c:pt>
                <c:pt idx="26">
                  <c:v>63</c:v>
                </c:pt>
                <c:pt idx="27">
                  <c:v>71</c:v>
                </c:pt>
                <c:pt idx="28">
                  <c:v>84</c:v>
                </c:pt>
                <c:pt idx="29">
                  <c:v>61</c:v>
                </c:pt>
              </c:numCache>
            </c:numRef>
          </c:xVal>
          <c:yVal>
            <c:numRef>
              <c:f>'Factor 1 CNOTS'!$B$50:$AE$50</c:f>
              <c:numCache>
                <c:formatCode>General</c:formatCode>
                <c:ptCount val="30"/>
                <c:pt idx="0">
                  <c:v>0.67883000000000004</c:v>
                </c:pt>
                <c:pt idx="1">
                  <c:v>0.70667000000000002</c:v>
                </c:pt>
                <c:pt idx="2">
                  <c:v>0.70787999999999995</c:v>
                </c:pt>
                <c:pt idx="3">
                  <c:v>0.67150999999999994</c:v>
                </c:pt>
                <c:pt idx="4">
                  <c:v>0.68897000000000008</c:v>
                </c:pt>
                <c:pt idx="5">
                  <c:v>0.68115000000000014</c:v>
                </c:pt>
                <c:pt idx="6">
                  <c:v>0.72790999999999995</c:v>
                </c:pt>
                <c:pt idx="7">
                  <c:v>0.71289000000000002</c:v>
                </c:pt>
                <c:pt idx="8">
                  <c:v>0.77649000000000001</c:v>
                </c:pt>
                <c:pt idx="9">
                  <c:v>0.66919000000000006</c:v>
                </c:pt>
                <c:pt idx="10">
                  <c:v>0.72448999999999997</c:v>
                </c:pt>
                <c:pt idx="11">
                  <c:v>0.74365999999999999</c:v>
                </c:pt>
                <c:pt idx="12">
                  <c:v>0.73253999999999986</c:v>
                </c:pt>
                <c:pt idx="13">
                  <c:v>0.7434099999999999</c:v>
                </c:pt>
                <c:pt idx="14">
                  <c:v>0.71935999999999989</c:v>
                </c:pt>
                <c:pt idx="15">
                  <c:v>0.71997</c:v>
                </c:pt>
                <c:pt idx="16">
                  <c:v>0.67956000000000005</c:v>
                </c:pt>
                <c:pt idx="17">
                  <c:v>0.64013999999999993</c:v>
                </c:pt>
                <c:pt idx="18">
                  <c:v>0.72620000000000007</c:v>
                </c:pt>
                <c:pt idx="19">
                  <c:v>0.73790999999999995</c:v>
                </c:pt>
                <c:pt idx="20">
                  <c:v>0.59753000000000012</c:v>
                </c:pt>
                <c:pt idx="21">
                  <c:v>0.65490999999999999</c:v>
                </c:pt>
                <c:pt idx="22">
                  <c:v>0.67774000000000001</c:v>
                </c:pt>
                <c:pt idx="23">
                  <c:v>0.68225000000000013</c:v>
                </c:pt>
                <c:pt idx="24">
                  <c:v>0.71728999999999998</c:v>
                </c:pt>
                <c:pt idx="25">
                  <c:v>0.6916500000000001</c:v>
                </c:pt>
                <c:pt idx="26">
                  <c:v>0.6855500000000001</c:v>
                </c:pt>
                <c:pt idx="27">
                  <c:v>0.71105999999999991</c:v>
                </c:pt>
                <c:pt idx="28">
                  <c:v>0.69677999999999995</c:v>
                </c:pt>
                <c:pt idx="29">
                  <c:v>0.69542999999999988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DC73-488C-AA16-6EF45A07F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05312"/>
        <c:axId val="250047456"/>
      </c:scatterChart>
      <c:valAx>
        <c:axId val="628005312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 of CNOTs in the Circuit</a:t>
                </a:r>
              </a:p>
            </c:rich>
          </c:tx>
          <c:layout>
            <c:manualLayout>
              <c:xMode val="edge"/>
              <c:yMode val="edge"/>
              <c:x val="0.33488746039841888"/>
              <c:y val="0.93426477353029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47456"/>
        <c:crosses val="autoZero"/>
        <c:crossBetween val="midCat"/>
      </c:valAx>
      <c:valAx>
        <c:axId val="2500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Output Percentage Error</a:t>
                </a:r>
              </a:p>
            </c:rich>
          </c:tx>
          <c:layout>
            <c:manualLayout>
              <c:xMode val="edge"/>
              <c:yMode val="edge"/>
              <c:x val="1.3624537777211067E-2"/>
              <c:y val="0.296540088967379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0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0743890795335"/>
          <c:y val="0.19124765218026624"/>
          <c:w val="0.1409039662982676"/>
          <c:h val="0.36705632096747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v>ibmq_santiago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'Factor 2 SQG'!$B$12:$AE$12</c:f>
              <c:numCache>
                <c:formatCode>General</c:formatCode>
                <c:ptCount val="3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42</c:v>
                </c:pt>
                <c:pt idx="4">
                  <c:v>42</c:v>
                </c:pt>
                <c:pt idx="5">
                  <c:v>44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48</c:v>
                </c:pt>
                <c:pt idx="10">
                  <c:v>49</c:v>
                </c:pt>
                <c:pt idx="11">
                  <c:v>47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47</c:v>
                </c:pt>
                <c:pt idx="28">
                  <c:v>48</c:v>
                </c:pt>
                <c:pt idx="29">
                  <c:v>47</c:v>
                </c:pt>
              </c:numCache>
            </c:numRef>
          </c:xVal>
          <c:yVal>
            <c:numRef>
              <c:f>'Factor 2 SQG'!$B$13:$AE$13</c:f>
              <c:numCache>
                <c:formatCode>General</c:formatCode>
                <c:ptCount val="30"/>
                <c:pt idx="0">
                  <c:v>0.52807999999999988</c:v>
                </c:pt>
                <c:pt idx="1">
                  <c:v>0.36523000000000005</c:v>
                </c:pt>
                <c:pt idx="2">
                  <c:v>0.45972000000000002</c:v>
                </c:pt>
                <c:pt idx="3">
                  <c:v>0.35779000000000005</c:v>
                </c:pt>
                <c:pt idx="4">
                  <c:v>0.24755000000000002</c:v>
                </c:pt>
                <c:pt idx="5">
                  <c:v>0.33849000000000001</c:v>
                </c:pt>
                <c:pt idx="6">
                  <c:v>0.36963000000000001</c:v>
                </c:pt>
                <c:pt idx="7">
                  <c:v>0.47997999999999996</c:v>
                </c:pt>
                <c:pt idx="8">
                  <c:v>0.48816000000000004</c:v>
                </c:pt>
                <c:pt idx="9">
                  <c:v>8.9969999999999994E-2</c:v>
                </c:pt>
                <c:pt idx="10">
                  <c:v>0.43847000000000003</c:v>
                </c:pt>
                <c:pt idx="11">
                  <c:v>0.26659999999999995</c:v>
                </c:pt>
                <c:pt idx="12">
                  <c:v>0.50768999999999997</c:v>
                </c:pt>
                <c:pt idx="13">
                  <c:v>0.49084000000000005</c:v>
                </c:pt>
                <c:pt idx="14">
                  <c:v>0.41808999999999996</c:v>
                </c:pt>
                <c:pt idx="15">
                  <c:v>0.34558</c:v>
                </c:pt>
                <c:pt idx="16">
                  <c:v>0.27209</c:v>
                </c:pt>
                <c:pt idx="17">
                  <c:v>0.27466000000000002</c:v>
                </c:pt>
                <c:pt idx="18">
                  <c:v>0.45057000000000003</c:v>
                </c:pt>
                <c:pt idx="19">
                  <c:v>0.37706999999999996</c:v>
                </c:pt>
                <c:pt idx="20">
                  <c:v>0.51819000000000004</c:v>
                </c:pt>
                <c:pt idx="21">
                  <c:v>0.42932999999999999</c:v>
                </c:pt>
                <c:pt idx="22">
                  <c:v>0.47802</c:v>
                </c:pt>
                <c:pt idx="23">
                  <c:v>0.4486</c:v>
                </c:pt>
                <c:pt idx="24">
                  <c:v>0.27685999999999999</c:v>
                </c:pt>
                <c:pt idx="25">
                  <c:v>0.49268000000000001</c:v>
                </c:pt>
                <c:pt idx="26">
                  <c:v>0.30688000000000004</c:v>
                </c:pt>
                <c:pt idx="27">
                  <c:v>0.40258999999999995</c:v>
                </c:pt>
                <c:pt idx="28">
                  <c:v>0.40745999999999993</c:v>
                </c:pt>
                <c:pt idx="29">
                  <c:v>0.37963999999999998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8E1-4654-ADB7-1FF20DAE8D13}"/>
            </c:ext>
          </c:extLst>
        </c:ser>
        <c:ser>
          <c:idx val="6"/>
          <c:order val="1"/>
          <c:tx>
            <c:v>ibmq_ourense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'Factor 2 SQG'!$B$18:$AE$18</c:f>
              <c:numCache>
                <c:formatCode>General</c:formatCode>
                <c:ptCount val="3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48</c:v>
                </c:pt>
                <c:pt idx="28">
                  <c:v>47</c:v>
                </c:pt>
                <c:pt idx="29">
                  <c:v>48</c:v>
                </c:pt>
              </c:numCache>
            </c:numRef>
          </c:xVal>
          <c:yVal>
            <c:numRef>
              <c:f>'Factor 2 SQG'!$B$19:$AE$19</c:f>
              <c:numCache>
                <c:formatCode>General</c:formatCode>
                <c:ptCount val="30"/>
                <c:pt idx="0">
                  <c:v>0.62146000000000001</c:v>
                </c:pt>
                <c:pt idx="1">
                  <c:v>0.66332999999999998</c:v>
                </c:pt>
                <c:pt idx="2">
                  <c:v>0.52661000000000002</c:v>
                </c:pt>
                <c:pt idx="3">
                  <c:v>0.50341999999999998</c:v>
                </c:pt>
                <c:pt idx="4">
                  <c:v>0.46521000000000001</c:v>
                </c:pt>
                <c:pt idx="5">
                  <c:v>0.44519000000000003</c:v>
                </c:pt>
                <c:pt idx="6">
                  <c:v>0.64563000000000004</c:v>
                </c:pt>
                <c:pt idx="7">
                  <c:v>0.66406999999999994</c:v>
                </c:pt>
                <c:pt idx="8">
                  <c:v>0.66150000000000009</c:v>
                </c:pt>
                <c:pt idx="9">
                  <c:v>0.5103700000000001</c:v>
                </c:pt>
                <c:pt idx="10">
                  <c:v>0.53198999999999996</c:v>
                </c:pt>
                <c:pt idx="11">
                  <c:v>0.66540999999999995</c:v>
                </c:pt>
                <c:pt idx="12">
                  <c:v>0.55139000000000005</c:v>
                </c:pt>
                <c:pt idx="13">
                  <c:v>0.67968999999999991</c:v>
                </c:pt>
                <c:pt idx="14">
                  <c:v>0.59900999999999993</c:v>
                </c:pt>
                <c:pt idx="15">
                  <c:v>0.47558</c:v>
                </c:pt>
                <c:pt idx="16">
                  <c:v>0.47606999999999999</c:v>
                </c:pt>
                <c:pt idx="17">
                  <c:v>0.58545000000000003</c:v>
                </c:pt>
                <c:pt idx="18">
                  <c:v>0.61182000000000003</c:v>
                </c:pt>
                <c:pt idx="19">
                  <c:v>0.61487000000000003</c:v>
                </c:pt>
                <c:pt idx="20">
                  <c:v>0.63</c:v>
                </c:pt>
                <c:pt idx="21">
                  <c:v>0.48536000000000001</c:v>
                </c:pt>
                <c:pt idx="22">
                  <c:v>0.59704999999999997</c:v>
                </c:pt>
                <c:pt idx="23">
                  <c:v>0.51270000000000004</c:v>
                </c:pt>
                <c:pt idx="24">
                  <c:v>0.66126000000000007</c:v>
                </c:pt>
                <c:pt idx="25">
                  <c:v>0.65759000000000001</c:v>
                </c:pt>
                <c:pt idx="26">
                  <c:v>0.51085999999999998</c:v>
                </c:pt>
                <c:pt idx="27">
                  <c:v>0.51136000000000004</c:v>
                </c:pt>
                <c:pt idx="28">
                  <c:v>0.60350999999999999</c:v>
                </c:pt>
                <c:pt idx="29">
                  <c:v>0.58118000000000003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A8E1-4654-ADB7-1FF20DAE8D13}"/>
            </c:ext>
          </c:extLst>
        </c:ser>
        <c:ser>
          <c:idx val="1"/>
          <c:order val="2"/>
          <c:tx>
            <c:v>ibmq_5_yorktown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'Factor 2 SQG'!$B$3:$AE$3</c:f>
              <c:numCache>
                <c:formatCode>General</c:formatCode>
                <c:ptCount val="3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</c:numCache>
            </c:numRef>
          </c:xVal>
          <c:yVal>
            <c:numRef>
              <c:f>'Factor 2 SQG'!$B$4:$AE$4</c:f>
              <c:numCache>
                <c:formatCode>General</c:formatCode>
                <c:ptCount val="30"/>
                <c:pt idx="0">
                  <c:v>0.53661999999999999</c:v>
                </c:pt>
                <c:pt idx="1">
                  <c:v>0.52954000000000001</c:v>
                </c:pt>
                <c:pt idx="2">
                  <c:v>0.53674000000000011</c:v>
                </c:pt>
                <c:pt idx="3">
                  <c:v>0.46460000000000001</c:v>
                </c:pt>
                <c:pt idx="4">
                  <c:v>0.44483000000000006</c:v>
                </c:pt>
                <c:pt idx="5">
                  <c:v>0.45740000000000003</c:v>
                </c:pt>
                <c:pt idx="6">
                  <c:v>0.57886000000000004</c:v>
                </c:pt>
                <c:pt idx="7">
                  <c:v>0.59143000000000001</c:v>
                </c:pt>
                <c:pt idx="8">
                  <c:v>0.59948999999999997</c:v>
                </c:pt>
                <c:pt idx="9">
                  <c:v>0.56969999999999998</c:v>
                </c:pt>
                <c:pt idx="10">
                  <c:v>0.57239000000000007</c:v>
                </c:pt>
                <c:pt idx="11">
                  <c:v>0.57702000000000009</c:v>
                </c:pt>
                <c:pt idx="12">
                  <c:v>0.57189999999999996</c:v>
                </c:pt>
                <c:pt idx="13">
                  <c:v>0.55212000000000006</c:v>
                </c:pt>
                <c:pt idx="14">
                  <c:v>0.59118000000000004</c:v>
                </c:pt>
                <c:pt idx="15">
                  <c:v>0.55138999999999994</c:v>
                </c:pt>
                <c:pt idx="16">
                  <c:v>0.53491</c:v>
                </c:pt>
                <c:pt idx="17">
                  <c:v>0.57091999999999998</c:v>
                </c:pt>
                <c:pt idx="18">
                  <c:v>0.56031000000000009</c:v>
                </c:pt>
                <c:pt idx="19">
                  <c:v>0.56469999999999998</c:v>
                </c:pt>
                <c:pt idx="20">
                  <c:v>0.58617999999999992</c:v>
                </c:pt>
                <c:pt idx="21">
                  <c:v>0.5577399999999999</c:v>
                </c:pt>
                <c:pt idx="22">
                  <c:v>0.55127999999999999</c:v>
                </c:pt>
                <c:pt idx="23">
                  <c:v>0.55248999999999993</c:v>
                </c:pt>
                <c:pt idx="24">
                  <c:v>0.51978000000000002</c:v>
                </c:pt>
                <c:pt idx="25">
                  <c:v>0.50670999999999999</c:v>
                </c:pt>
                <c:pt idx="26">
                  <c:v>0.53271000000000002</c:v>
                </c:pt>
                <c:pt idx="27">
                  <c:v>0.45362000000000002</c:v>
                </c:pt>
                <c:pt idx="28">
                  <c:v>0.44666000000000006</c:v>
                </c:pt>
                <c:pt idx="29">
                  <c:v>0.44994999999999996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8E1-4654-ADB7-1FF20DAE8D13}"/>
            </c:ext>
          </c:extLst>
        </c:ser>
        <c:ser>
          <c:idx val="3"/>
          <c:order val="3"/>
          <c:tx>
            <c:v>ibmq_valencia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'Factor 2 SQG'!$B$9:$AE$9</c:f>
              <c:numCache>
                <c:formatCode>General</c:formatCode>
                <c:ptCount val="3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47</c:v>
                </c:pt>
                <c:pt idx="16">
                  <c:v>47</c:v>
                </c:pt>
                <c:pt idx="17">
                  <c:v>48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48</c:v>
                </c:pt>
                <c:pt idx="22">
                  <c:v>47</c:v>
                </c:pt>
                <c:pt idx="23">
                  <c:v>48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48</c:v>
                </c:pt>
                <c:pt idx="28">
                  <c:v>48</c:v>
                </c:pt>
                <c:pt idx="29">
                  <c:v>47</c:v>
                </c:pt>
              </c:numCache>
            </c:numRef>
          </c:xVal>
          <c:yVal>
            <c:numRef>
              <c:f>'Factor 2 SQG'!$B$10:$AE$10</c:f>
              <c:numCache>
                <c:formatCode>General</c:formatCode>
                <c:ptCount val="30"/>
                <c:pt idx="0">
                  <c:v>0.62121000000000004</c:v>
                </c:pt>
                <c:pt idx="1">
                  <c:v>0.61817000000000011</c:v>
                </c:pt>
                <c:pt idx="2">
                  <c:v>0.60865000000000002</c:v>
                </c:pt>
                <c:pt idx="3">
                  <c:v>0.55610000000000004</c:v>
                </c:pt>
                <c:pt idx="4">
                  <c:v>0.48778999999999995</c:v>
                </c:pt>
                <c:pt idx="5">
                  <c:v>0.50719999999999998</c:v>
                </c:pt>
                <c:pt idx="6">
                  <c:v>0.46509</c:v>
                </c:pt>
                <c:pt idx="7">
                  <c:v>0.64087000000000005</c:v>
                </c:pt>
                <c:pt idx="8">
                  <c:v>0.64539000000000002</c:v>
                </c:pt>
                <c:pt idx="9">
                  <c:v>0.55688999999999989</c:v>
                </c:pt>
                <c:pt idx="10">
                  <c:v>0.67784999999999995</c:v>
                </c:pt>
                <c:pt idx="11">
                  <c:v>0.55737000000000003</c:v>
                </c:pt>
                <c:pt idx="12">
                  <c:v>0.54565999999999992</c:v>
                </c:pt>
                <c:pt idx="13">
                  <c:v>0.6551499999999999</c:v>
                </c:pt>
                <c:pt idx="14">
                  <c:v>0.56810999999999989</c:v>
                </c:pt>
                <c:pt idx="15">
                  <c:v>0.55394999999999994</c:v>
                </c:pt>
                <c:pt idx="16">
                  <c:v>0.57727000000000006</c:v>
                </c:pt>
                <c:pt idx="17">
                  <c:v>0.54015999999999997</c:v>
                </c:pt>
                <c:pt idx="18">
                  <c:v>0.60192999999999997</c:v>
                </c:pt>
                <c:pt idx="19">
                  <c:v>0.62414000000000003</c:v>
                </c:pt>
                <c:pt idx="20">
                  <c:v>0.57018000000000002</c:v>
                </c:pt>
                <c:pt idx="21">
                  <c:v>0.50683</c:v>
                </c:pt>
                <c:pt idx="22">
                  <c:v>0.44652999999999998</c:v>
                </c:pt>
                <c:pt idx="23">
                  <c:v>0.56420000000000003</c:v>
                </c:pt>
                <c:pt idx="24">
                  <c:v>0.59423000000000004</c:v>
                </c:pt>
                <c:pt idx="25">
                  <c:v>0.63269000000000009</c:v>
                </c:pt>
                <c:pt idx="26">
                  <c:v>0.62792999999999988</c:v>
                </c:pt>
                <c:pt idx="27">
                  <c:v>0.56652999999999998</c:v>
                </c:pt>
                <c:pt idx="28">
                  <c:v>0.48951000000000006</c:v>
                </c:pt>
                <c:pt idx="29">
                  <c:v>0.59655999999999998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8E1-4654-ADB7-1FF20DAE8D13}"/>
            </c:ext>
          </c:extLst>
        </c:ser>
        <c:ser>
          <c:idx val="5"/>
          <c:order val="4"/>
          <c:tx>
            <c:v>ibmq_london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'Factor 2 SQG'!$B$15:$AE$15</c:f>
              <c:numCache>
                <c:formatCode>General</c:formatCode>
                <c:ptCount val="3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43</c:v>
                </c:pt>
                <c:pt idx="4">
                  <c:v>42</c:v>
                </c:pt>
                <c:pt idx="5">
                  <c:v>43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47</c:v>
                </c:pt>
                <c:pt idx="16">
                  <c:v>48</c:v>
                </c:pt>
                <c:pt idx="17">
                  <c:v>48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48</c:v>
                </c:pt>
                <c:pt idx="22">
                  <c:v>48</c:v>
                </c:pt>
                <c:pt idx="23">
                  <c:v>49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47</c:v>
                </c:pt>
                <c:pt idx="28">
                  <c:v>48</c:v>
                </c:pt>
                <c:pt idx="29">
                  <c:v>47</c:v>
                </c:pt>
              </c:numCache>
            </c:numRef>
          </c:xVal>
          <c:yVal>
            <c:numRef>
              <c:f>'Factor 2 SQG'!$B$16:$AE$16</c:f>
              <c:numCache>
                <c:formatCode>General</c:formatCode>
                <c:ptCount val="30"/>
                <c:pt idx="0">
                  <c:v>0.62988</c:v>
                </c:pt>
                <c:pt idx="1">
                  <c:v>0.69873999999999992</c:v>
                </c:pt>
                <c:pt idx="2">
                  <c:v>0.63488</c:v>
                </c:pt>
                <c:pt idx="3">
                  <c:v>0.63574000000000008</c:v>
                </c:pt>
                <c:pt idx="4">
                  <c:v>0.61828000000000005</c:v>
                </c:pt>
                <c:pt idx="5">
                  <c:v>0.42480999999999997</c:v>
                </c:pt>
                <c:pt idx="6">
                  <c:v>0.70373999999999992</c:v>
                </c:pt>
                <c:pt idx="7">
                  <c:v>0.67186999999999997</c:v>
                </c:pt>
                <c:pt idx="8">
                  <c:v>0.75379000000000007</c:v>
                </c:pt>
                <c:pt idx="9">
                  <c:v>0.6666200000000001</c:v>
                </c:pt>
                <c:pt idx="10">
                  <c:v>0.60388000000000008</c:v>
                </c:pt>
                <c:pt idx="11">
                  <c:v>0.67662999999999995</c:v>
                </c:pt>
                <c:pt idx="12">
                  <c:v>0.6164599999999999</c:v>
                </c:pt>
                <c:pt idx="13">
                  <c:v>0.62097000000000002</c:v>
                </c:pt>
                <c:pt idx="14">
                  <c:v>0.6196299999999999</c:v>
                </c:pt>
                <c:pt idx="15">
                  <c:v>0.57495000000000007</c:v>
                </c:pt>
                <c:pt idx="16">
                  <c:v>0.58960000000000001</c:v>
                </c:pt>
                <c:pt idx="17">
                  <c:v>0.53808999999999996</c:v>
                </c:pt>
                <c:pt idx="18">
                  <c:v>0.70909999999999995</c:v>
                </c:pt>
                <c:pt idx="19">
                  <c:v>0.71545000000000003</c:v>
                </c:pt>
                <c:pt idx="20">
                  <c:v>0.68847000000000014</c:v>
                </c:pt>
                <c:pt idx="21">
                  <c:v>0.46582999999999997</c:v>
                </c:pt>
                <c:pt idx="22">
                  <c:v>0.53125999999999995</c:v>
                </c:pt>
                <c:pt idx="23">
                  <c:v>0.70263999999999993</c:v>
                </c:pt>
                <c:pt idx="24">
                  <c:v>0.73962000000000006</c:v>
                </c:pt>
                <c:pt idx="25">
                  <c:v>0.70727000000000007</c:v>
                </c:pt>
                <c:pt idx="26">
                  <c:v>0.72277000000000002</c:v>
                </c:pt>
                <c:pt idx="27">
                  <c:v>0.61389000000000005</c:v>
                </c:pt>
                <c:pt idx="28">
                  <c:v>0.65587999999999991</c:v>
                </c:pt>
                <c:pt idx="29">
                  <c:v>0.72364000000000006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8E1-4654-ADB7-1FF20DAE8D13}"/>
            </c:ext>
          </c:extLst>
        </c:ser>
        <c:ser>
          <c:idx val="7"/>
          <c:order val="5"/>
          <c:tx>
            <c:v>ibmq_essex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'Factor 2 SQG'!$B$21:$AE$21</c:f>
              <c:numCache>
                <c:formatCode>General</c:formatCode>
                <c:ptCount val="3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44</c:v>
                </c:pt>
                <c:pt idx="4">
                  <c:v>44</c:v>
                </c:pt>
                <c:pt idx="5">
                  <c:v>42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47</c:v>
                </c:pt>
                <c:pt idx="10">
                  <c:v>48</c:v>
                </c:pt>
                <c:pt idx="11">
                  <c:v>47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48</c:v>
                </c:pt>
                <c:pt idx="16">
                  <c:v>47</c:v>
                </c:pt>
                <c:pt idx="17">
                  <c:v>47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47</c:v>
                </c:pt>
                <c:pt idx="22">
                  <c:v>48</c:v>
                </c:pt>
                <c:pt idx="23">
                  <c:v>48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48</c:v>
                </c:pt>
                <c:pt idx="28">
                  <c:v>48</c:v>
                </c:pt>
                <c:pt idx="29">
                  <c:v>47</c:v>
                </c:pt>
              </c:numCache>
            </c:numRef>
          </c:xVal>
          <c:yVal>
            <c:numRef>
              <c:f>'Factor 2 SQG'!$B$22:$AE$22</c:f>
              <c:numCache>
                <c:formatCode>General</c:formatCode>
                <c:ptCount val="30"/>
                <c:pt idx="0">
                  <c:v>0.63611000000000006</c:v>
                </c:pt>
                <c:pt idx="1">
                  <c:v>0.61572000000000005</c:v>
                </c:pt>
                <c:pt idx="2">
                  <c:v>0.69323000000000012</c:v>
                </c:pt>
                <c:pt idx="3">
                  <c:v>0.49804999999999999</c:v>
                </c:pt>
                <c:pt idx="4">
                  <c:v>0.64807000000000003</c:v>
                </c:pt>
                <c:pt idx="5">
                  <c:v>0.61621000000000004</c:v>
                </c:pt>
                <c:pt idx="6">
                  <c:v>0.65844999999999998</c:v>
                </c:pt>
                <c:pt idx="7">
                  <c:v>0.71862999999999999</c:v>
                </c:pt>
                <c:pt idx="8">
                  <c:v>0.67787000000000008</c:v>
                </c:pt>
                <c:pt idx="9">
                  <c:v>0.66564999999999996</c:v>
                </c:pt>
                <c:pt idx="10">
                  <c:v>0.62451000000000012</c:v>
                </c:pt>
                <c:pt idx="11">
                  <c:v>0.71521000000000001</c:v>
                </c:pt>
                <c:pt idx="12">
                  <c:v>0.60021999999999998</c:v>
                </c:pt>
                <c:pt idx="13">
                  <c:v>0.61547000000000007</c:v>
                </c:pt>
                <c:pt idx="14">
                  <c:v>0.60949000000000009</c:v>
                </c:pt>
                <c:pt idx="15">
                  <c:v>0.58582000000000012</c:v>
                </c:pt>
                <c:pt idx="16">
                  <c:v>0.59495999999999993</c:v>
                </c:pt>
                <c:pt idx="17">
                  <c:v>0.57995000000000008</c:v>
                </c:pt>
                <c:pt idx="18">
                  <c:v>0.64734999999999998</c:v>
                </c:pt>
                <c:pt idx="19">
                  <c:v>0.6458799999999999</c:v>
                </c:pt>
                <c:pt idx="20">
                  <c:v>0.52673000000000003</c:v>
                </c:pt>
                <c:pt idx="21">
                  <c:v>0.50977000000000006</c:v>
                </c:pt>
                <c:pt idx="22">
                  <c:v>0.50977000000000006</c:v>
                </c:pt>
                <c:pt idx="23">
                  <c:v>0.63977000000000006</c:v>
                </c:pt>
                <c:pt idx="24">
                  <c:v>0.65465999999999991</c:v>
                </c:pt>
                <c:pt idx="25">
                  <c:v>0.58776000000000006</c:v>
                </c:pt>
                <c:pt idx="26">
                  <c:v>0.58055999999999996</c:v>
                </c:pt>
                <c:pt idx="27">
                  <c:v>0.61485999999999996</c:v>
                </c:pt>
                <c:pt idx="28">
                  <c:v>0.46703000000000006</c:v>
                </c:pt>
                <c:pt idx="29">
                  <c:v>0.68432000000000004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8E1-4654-ADB7-1FF20DAE8D13}"/>
            </c:ext>
          </c:extLst>
        </c:ser>
        <c:ser>
          <c:idx val="2"/>
          <c:order val="6"/>
          <c:tx>
            <c:v>ibmq_vigo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'Factor 2 SQG'!$B$6:$AE$6</c:f>
              <c:numCache>
                <c:formatCode>General</c:formatCode>
                <c:ptCount val="3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47</c:v>
                </c:pt>
                <c:pt idx="10">
                  <c:v>47</c:v>
                </c:pt>
                <c:pt idx="11">
                  <c:v>48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47</c:v>
                </c:pt>
                <c:pt idx="16">
                  <c:v>48</c:v>
                </c:pt>
                <c:pt idx="17">
                  <c:v>47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</c:numCache>
            </c:numRef>
          </c:xVal>
          <c:yVal>
            <c:numRef>
              <c:f>'Factor 2 SQG'!$B$7:$AE$7</c:f>
              <c:numCache>
                <c:formatCode>General</c:formatCode>
                <c:ptCount val="30"/>
                <c:pt idx="0">
                  <c:v>0.71852000000000005</c:v>
                </c:pt>
                <c:pt idx="1">
                  <c:v>0.69811999999999996</c:v>
                </c:pt>
                <c:pt idx="2">
                  <c:v>0.63647000000000009</c:v>
                </c:pt>
                <c:pt idx="3">
                  <c:v>0.61817000000000011</c:v>
                </c:pt>
                <c:pt idx="4">
                  <c:v>0.65393000000000001</c:v>
                </c:pt>
                <c:pt idx="5">
                  <c:v>0.59411000000000003</c:v>
                </c:pt>
                <c:pt idx="6">
                  <c:v>0.65563000000000005</c:v>
                </c:pt>
                <c:pt idx="7">
                  <c:v>0.71263999999999994</c:v>
                </c:pt>
                <c:pt idx="8">
                  <c:v>0.68066000000000004</c:v>
                </c:pt>
                <c:pt idx="9">
                  <c:v>0.68579000000000012</c:v>
                </c:pt>
                <c:pt idx="10">
                  <c:v>0.71861999999999993</c:v>
                </c:pt>
                <c:pt idx="11">
                  <c:v>0.67162999999999995</c:v>
                </c:pt>
                <c:pt idx="12">
                  <c:v>0.71972999999999998</c:v>
                </c:pt>
                <c:pt idx="13">
                  <c:v>0.66198000000000012</c:v>
                </c:pt>
                <c:pt idx="14">
                  <c:v>0.62390000000000001</c:v>
                </c:pt>
                <c:pt idx="15">
                  <c:v>0.65856999999999999</c:v>
                </c:pt>
                <c:pt idx="16">
                  <c:v>0.67016000000000009</c:v>
                </c:pt>
                <c:pt idx="17">
                  <c:v>0.64087000000000005</c:v>
                </c:pt>
                <c:pt idx="18">
                  <c:v>0.63781999999999994</c:v>
                </c:pt>
                <c:pt idx="19">
                  <c:v>0.70861999999999992</c:v>
                </c:pt>
                <c:pt idx="20">
                  <c:v>0.70641999999999994</c:v>
                </c:pt>
                <c:pt idx="21">
                  <c:v>0.5895999999999999</c:v>
                </c:pt>
                <c:pt idx="22">
                  <c:v>0.67944999999999989</c:v>
                </c:pt>
                <c:pt idx="23">
                  <c:v>0.63573999999999997</c:v>
                </c:pt>
                <c:pt idx="24">
                  <c:v>0.69225999999999999</c:v>
                </c:pt>
                <c:pt idx="25">
                  <c:v>0.72840000000000005</c:v>
                </c:pt>
                <c:pt idx="26">
                  <c:v>0.72742000000000007</c:v>
                </c:pt>
                <c:pt idx="27">
                  <c:v>0.62060999999999999</c:v>
                </c:pt>
                <c:pt idx="28">
                  <c:v>0.65942999999999996</c:v>
                </c:pt>
                <c:pt idx="29">
                  <c:v>0.67688000000000004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8E1-4654-ADB7-1FF20DAE8D13}"/>
            </c:ext>
          </c:extLst>
        </c:ser>
        <c:ser>
          <c:idx val="0"/>
          <c:order val="7"/>
          <c:tx>
            <c:v>ibmq_burlington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'Factor 2 SQG'!$B$24:$AE$24</c:f>
              <c:numCache>
                <c:formatCode>General</c:formatCode>
                <c:ptCount val="3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48</c:v>
                </c:pt>
                <c:pt idx="10">
                  <c:v>48</c:v>
                </c:pt>
                <c:pt idx="11">
                  <c:v>49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47</c:v>
                </c:pt>
                <c:pt idx="16">
                  <c:v>48</c:v>
                </c:pt>
                <c:pt idx="17">
                  <c:v>48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47</c:v>
                </c:pt>
                <c:pt idx="22">
                  <c:v>48</c:v>
                </c:pt>
                <c:pt idx="23">
                  <c:v>48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47</c:v>
                </c:pt>
                <c:pt idx="28">
                  <c:v>49</c:v>
                </c:pt>
                <c:pt idx="29">
                  <c:v>48</c:v>
                </c:pt>
              </c:numCache>
            </c:numRef>
          </c:xVal>
          <c:yVal>
            <c:numRef>
              <c:f>'Factor 2 SQG'!$B$25:$AE$25</c:f>
              <c:numCache>
                <c:formatCode>General</c:formatCode>
                <c:ptCount val="30"/>
                <c:pt idx="0">
                  <c:v>0.67883000000000004</c:v>
                </c:pt>
                <c:pt idx="1">
                  <c:v>0.70667000000000002</c:v>
                </c:pt>
                <c:pt idx="2">
                  <c:v>0.70787999999999995</c:v>
                </c:pt>
                <c:pt idx="3">
                  <c:v>0.67150999999999994</c:v>
                </c:pt>
                <c:pt idx="4">
                  <c:v>0.68897000000000008</c:v>
                </c:pt>
                <c:pt idx="5">
                  <c:v>0.68115000000000014</c:v>
                </c:pt>
                <c:pt idx="6">
                  <c:v>0.72790999999999995</c:v>
                </c:pt>
                <c:pt idx="7">
                  <c:v>0.71289000000000002</c:v>
                </c:pt>
                <c:pt idx="8">
                  <c:v>0.77649000000000001</c:v>
                </c:pt>
                <c:pt idx="9">
                  <c:v>0.66919000000000006</c:v>
                </c:pt>
                <c:pt idx="10">
                  <c:v>0.72448999999999997</c:v>
                </c:pt>
                <c:pt idx="11">
                  <c:v>0.74365999999999999</c:v>
                </c:pt>
                <c:pt idx="12">
                  <c:v>0.73253999999999986</c:v>
                </c:pt>
                <c:pt idx="13">
                  <c:v>0.7434099999999999</c:v>
                </c:pt>
                <c:pt idx="14">
                  <c:v>0.71935999999999989</c:v>
                </c:pt>
                <c:pt idx="15">
                  <c:v>0.71997</c:v>
                </c:pt>
                <c:pt idx="16">
                  <c:v>0.67956000000000005</c:v>
                </c:pt>
                <c:pt idx="17">
                  <c:v>0.64013999999999993</c:v>
                </c:pt>
                <c:pt idx="18">
                  <c:v>0.72620000000000007</c:v>
                </c:pt>
                <c:pt idx="19">
                  <c:v>0.73790999999999995</c:v>
                </c:pt>
                <c:pt idx="20">
                  <c:v>0.59753000000000012</c:v>
                </c:pt>
                <c:pt idx="21">
                  <c:v>0.65490999999999999</c:v>
                </c:pt>
                <c:pt idx="22">
                  <c:v>0.67774000000000001</c:v>
                </c:pt>
                <c:pt idx="23">
                  <c:v>0.68225000000000013</c:v>
                </c:pt>
                <c:pt idx="24">
                  <c:v>0.71728999999999998</c:v>
                </c:pt>
                <c:pt idx="25">
                  <c:v>0.6916500000000001</c:v>
                </c:pt>
                <c:pt idx="26">
                  <c:v>0.6855500000000001</c:v>
                </c:pt>
                <c:pt idx="27">
                  <c:v>0.71105999999999991</c:v>
                </c:pt>
                <c:pt idx="28">
                  <c:v>0.69677999999999995</c:v>
                </c:pt>
                <c:pt idx="29">
                  <c:v>0.69542999999999988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8E1-4654-ADB7-1FF20DAE8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10016"/>
        <c:axId val="56153440"/>
      </c:scatterChart>
      <c:valAx>
        <c:axId val="58210016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Single qubit gates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440"/>
        <c:crosses val="autoZero"/>
        <c:crossBetween val="midCat"/>
      </c:valAx>
      <c:valAx>
        <c:axId val="561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Output Percentage</a:t>
                </a:r>
                <a:r>
                  <a:rPr lang="en-US" b="1" baseline="0"/>
                  <a:t> Error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3867220598434992E-2"/>
              <c:y val="0.17290901137357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v>ibmq_santiago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'Factor 3 Run Time'!$B$12:$AE$12</c:f>
              <c:numCache>
                <c:formatCode>General</c:formatCode>
                <c:ptCount val="30"/>
                <c:pt idx="0">
                  <c:v>29.3</c:v>
                </c:pt>
                <c:pt idx="1">
                  <c:v>29.6</c:v>
                </c:pt>
                <c:pt idx="2">
                  <c:v>29.2</c:v>
                </c:pt>
                <c:pt idx="3">
                  <c:v>29.3</c:v>
                </c:pt>
                <c:pt idx="4">
                  <c:v>29.2</c:v>
                </c:pt>
                <c:pt idx="5">
                  <c:v>29.9</c:v>
                </c:pt>
                <c:pt idx="6">
                  <c:v>30</c:v>
                </c:pt>
                <c:pt idx="7">
                  <c:v>29.2</c:v>
                </c:pt>
                <c:pt idx="8">
                  <c:v>29.4</c:v>
                </c:pt>
                <c:pt idx="9">
                  <c:v>29.4</c:v>
                </c:pt>
                <c:pt idx="10">
                  <c:v>29.5</c:v>
                </c:pt>
                <c:pt idx="11">
                  <c:v>29.3</c:v>
                </c:pt>
                <c:pt idx="12">
                  <c:v>29.7</c:v>
                </c:pt>
                <c:pt idx="13">
                  <c:v>29.5</c:v>
                </c:pt>
                <c:pt idx="14">
                  <c:v>29.3</c:v>
                </c:pt>
                <c:pt idx="15">
                  <c:v>29.3</c:v>
                </c:pt>
                <c:pt idx="16">
                  <c:v>30.1</c:v>
                </c:pt>
                <c:pt idx="17">
                  <c:v>29.3</c:v>
                </c:pt>
                <c:pt idx="18">
                  <c:v>29.5</c:v>
                </c:pt>
                <c:pt idx="19">
                  <c:v>29.7</c:v>
                </c:pt>
                <c:pt idx="20">
                  <c:v>29.3</c:v>
                </c:pt>
                <c:pt idx="21">
                  <c:v>29.3</c:v>
                </c:pt>
                <c:pt idx="22">
                  <c:v>29.3</c:v>
                </c:pt>
                <c:pt idx="23">
                  <c:v>29.7</c:v>
                </c:pt>
                <c:pt idx="24">
                  <c:v>29.4</c:v>
                </c:pt>
                <c:pt idx="25">
                  <c:v>29.6</c:v>
                </c:pt>
                <c:pt idx="26">
                  <c:v>29.9</c:v>
                </c:pt>
                <c:pt idx="27">
                  <c:v>30.2</c:v>
                </c:pt>
                <c:pt idx="28">
                  <c:v>29.7</c:v>
                </c:pt>
                <c:pt idx="29">
                  <c:v>30</c:v>
                </c:pt>
              </c:numCache>
            </c:numRef>
          </c:xVal>
          <c:yVal>
            <c:numRef>
              <c:f>'Factor 3 Run Time'!$B$13:$AE$13</c:f>
              <c:numCache>
                <c:formatCode>General</c:formatCode>
                <c:ptCount val="30"/>
                <c:pt idx="0">
                  <c:v>0.52807999999999988</c:v>
                </c:pt>
                <c:pt idx="1">
                  <c:v>0.36523000000000005</c:v>
                </c:pt>
                <c:pt idx="2">
                  <c:v>0.45972000000000002</c:v>
                </c:pt>
                <c:pt idx="3">
                  <c:v>0.35779000000000005</c:v>
                </c:pt>
                <c:pt idx="4">
                  <c:v>0.24755000000000002</c:v>
                </c:pt>
                <c:pt idx="5">
                  <c:v>0.33849000000000001</c:v>
                </c:pt>
                <c:pt idx="6">
                  <c:v>0.36963000000000001</c:v>
                </c:pt>
                <c:pt idx="7">
                  <c:v>0.47997999999999996</c:v>
                </c:pt>
                <c:pt idx="8">
                  <c:v>0.48816000000000004</c:v>
                </c:pt>
                <c:pt idx="9">
                  <c:v>8.9969999999999994E-2</c:v>
                </c:pt>
                <c:pt idx="10">
                  <c:v>0.43847000000000003</c:v>
                </c:pt>
                <c:pt idx="11">
                  <c:v>0.26659999999999995</c:v>
                </c:pt>
                <c:pt idx="12">
                  <c:v>0.50768999999999997</c:v>
                </c:pt>
                <c:pt idx="13">
                  <c:v>0.49084000000000005</c:v>
                </c:pt>
                <c:pt idx="14">
                  <c:v>0.41808999999999996</c:v>
                </c:pt>
                <c:pt idx="15">
                  <c:v>0.34558</c:v>
                </c:pt>
                <c:pt idx="16">
                  <c:v>0.27209</c:v>
                </c:pt>
                <c:pt idx="17">
                  <c:v>0.27466000000000002</c:v>
                </c:pt>
                <c:pt idx="18">
                  <c:v>0.45057000000000003</c:v>
                </c:pt>
                <c:pt idx="19">
                  <c:v>0.37706999999999996</c:v>
                </c:pt>
                <c:pt idx="20">
                  <c:v>0.51819000000000004</c:v>
                </c:pt>
                <c:pt idx="21">
                  <c:v>0.42932999999999999</c:v>
                </c:pt>
                <c:pt idx="22">
                  <c:v>0.47802</c:v>
                </c:pt>
                <c:pt idx="23">
                  <c:v>0.4486</c:v>
                </c:pt>
                <c:pt idx="24">
                  <c:v>0.27685999999999999</c:v>
                </c:pt>
                <c:pt idx="25">
                  <c:v>0.49268000000000001</c:v>
                </c:pt>
                <c:pt idx="26">
                  <c:v>0.30688000000000004</c:v>
                </c:pt>
                <c:pt idx="27">
                  <c:v>0.40258999999999995</c:v>
                </c:pt>
                <c:pt idx="28">
                  <c:v>0.40745999999999993</c:v>
                </c:pt>
                <c:pt idx="29">
                  <c:v>0.37963999999999998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FCDD-4E3A-870E-3ACEB7FCE2DC}"/>
            </c:ext>
          </c:extLst>
        </c:ser>
        <c:ser>
          <c:idx val="6"/>
          <c:order val="1"/>
          <c:tx>
            <c:v>ibmq_ourense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'Factor 3 Run Time'!$B$18:$AE$18</c:f>
              <c:numCache>
                <c:formatCode>General</c:formatCode>
                <c:ptCount val="30"/>
                <c:pt idx="0">
                  <c:v>24.7</c:v>
                </c:pt>
                <c:pt idx="1">
                  <c:v>24.9</c:v>
                </c:pt>
                <c:pt idx="2">
                  <c:v>24.6</c:v>
                </c:pt>
                <c:pt idx="3">
                  <c:v>24.6</c:v>
                </c:pt>
                <c:pt idx="4">
                  <c:v>24.7</c:v>
                </c:pt>
                <c:pt idx="5">
                  <c:v>24.4</c:v>
                </c:pt>
                <c:pt idx="6">
                  <c:v>24.5</c:v>
                </c:pt>
                <c:pt idx="7">
                  <c:v>24.7</c:v>
                </c:pt>
                <c:pt idx="8">
                  <c:v>24.3</c:v>
                </c:pt>
                <c:pt idx="9">
                  <c:v>24.3</c:v>
                </c:pt>
                <c:pt idx="10">
                  <c:v>24.6</c:v>
                </c:pt>
                <c:pt idx="11">
                  <c:v>24.7</c:v>
                </c:pt>
                <c:pt idx="12">
                  <c:v>24.7</c:v>
                </c:pt>
                <c:pt idx="13">
                  <c:v>24.3</c:v>
                </c:pt>
                <c:pt idx="14">
                  <c:v>24.6</c:v>
                </c:pt>
                <c:pt idx="15">
                  <c:v>24.5</c:v>
                </c:pt>
                <c:pt idx="16">
                  <c:v>24.4</c:v>
                </c:pt>
                <c:pt idx="17">
                  <c:v>24.6</c:v>
                </c:pt>
                <c:pt idx="18">
                  <c:v>24.5</c:v>
                </c:pt>
                <c:pt idx="19">
                  <c:v>24.8</c:v>
                </c:pt>
                <c:pt idx="20">
                  <c:v>24.5</c:v>
                </c:pt>
                <c:pt idx="21">
                  <c:v>24.7</c:v>
                </c:pt>
                <c:pt idx="22">
                  <c:v>24.3</c:v>
                </c:pt>
                <c:pt idx="23">
                  <c:v>24.4</c:v>
                </c:pt>
                <c:pt idx="24">
                  <c:v>24.5</c:v>
                </c:pt>
                <c:pt idx="25">
                  <c:v>24.6</c:v>
                </c:pt>
                <c:pt idx="26">
                  <c:v>24.5</c:v>
                </c:pt>
                <c:pt idx="27">
                  <c:v>24.4</c:v>
                </c:pt>
                <c:pt idx="28">
                  <c:v>24.6</c:v>
                </c:pt>
                <c:pt idx="29">
                  <c:v>24.9</c:v>
                </c:pt>
              </c:numCache>
            </c:numRef>
          </c:xVal>
          <c:yVal>
            <c:numRef>
              <c:f>'Factor 3 Run Time'!$B$19:$AE$19</c:f>
              <c:numCache>
                <c:formatCode>General</c:formatCode>
                <c:ptCount val="30"/>
                <c:pt idx="0">
                  <c:v>0.62146000000000001</c:v>
                </c:pt>
                <c:pt idx="1">
                  <c:v>0.66332999999999998</c:v>
                </c:pt>
                <c:pt idx="2">
                  <c:v>0.52661000000000002</c:v>
                </c:pt>
                <c:pt idx="3">
                  <c:v>0.50341999999999998</c:v>
                </c:pt>
                <c:pt idx="4">
                  <c:v>0.46521000000000001</c:v>
                </c:pt>
                <c:pt idx="5">
                  <c:v>0.44519000000000003</c:v>
                </c:pt>
                <c:pt idx="6">
                  <c:v>0.64563000000000004</c:v>
                </c:pt>
                <c:pt idx="7">
                  <c:v>0.66406999999999994</c:v>
                </c:pt>
                <c:pt idx="8">
                  <c:v>0.66150000000000009</c:v>
                </c:pt>
                <c:pt idx="9">
                  <c:v>0.5103700000000001</c:v>
                </c:pt>
                <c:pt idx="10">
                  <c:v>0.53198999999999996</c:v>
                </c:pt>
                <c:pt idx="11">
                  <c:v>0.66540999999999995</c:v>
                </c:pt>
                <c:pt idx="12">
                  <c:v>0.55139000000000005</c:v>
                </c:pt>
                <c:pt idx="13">
                  <c:v>0.67968999999999991</c:v>
                </c:pt>
                <c:pt idx="14">
                  <c:v>0.59900999999999993</c:v>
                </c:pt>
                <c:pt idx="15">
                  <c:v>0.47558</c:v>
                </c:pt>
                <c:pt idx="16">
                  <c:v>0.47606999999999999</c:v>
                </c:pt>
                <c:pt idx="17">
                  <c:v>0.58545000000000003</c:v>
                </c:pt>
                <c:pt idx="18">
                  <c:v>0.61182000000000003</c:v>
                </c:pt>
                <c:pt idx="19">
                  <c:v>0.61487000000000003</c:v>
                </c:pt>
                <c:pt idx="20">
                  <c:v>0.63</c:v>
                </c:pt>
                <c:pt idx="21">
                  <c:v>0.48536000000000001</c:v>
                </c:pt>
                <c:pt idx="22">
                  <c:v>0.59704999999999997</c:v>
                </c:pt>
                <c:pt idx="23">
                  <c:v>0.51270000000000004</c:v>
                </c:pt>
                <c:pt idx="24">
                  <c:v>0.66126000000000007</c:v>
                </c:pt>
                <c:pt idx="25">
                  <c:v>0.65759000000000001</c:v>
                </c:pt>
                <c:pt idx="26">
                  <c:v>0.51085999999999998</c:v>
                </c:pt>
                <c:pt idx="27">
                  <c:v>0.51136000000000004</c:v>
                </c:pt>
                <c:pt idx="28">
                  <c:v>0.60350999999999999</c:v>
                </c:pt>
                <c:pt idx="29">
                  <c:v>0.58118000000000003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CDD-4E3A-870E-3ACEB7FCE2DC}"/>
            </c:ext>
          </c:extLst>
        </c:ser>
        <c:ser>
          <c:idx val="1"/>
          <c:order val="2"/>
          <c:tx>
            <c:v>ibmq_5_yorktown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'Factor 3 Run Time'!$B$3:$AE$3</c:f>
              <c:numCache>
                <c:formatCode>General</c:formatCode>
                <c:ptCount val="30"/>
                <c:pt idx="0">
                  <c:v>23.6</c:v>
                </c:pt>
                <c:pt idx="1">
                  <c:v>23.6</c:v>
                </c:pt>
                <c:pt idx="2">
                  <c:v>23.4</c:v>
                </c:pt>
                <c:pt idx="3">
                  <c:v>23.6</c:v>
                </c:pt>
                <c:pt idx="4">
                  <c:v>23.4</c:v>
                </c:pt>
                <c:pt idx="5">
                  <c:v>23.5</c:v>
                </c:pt>
                <c:pt idx="6">
                  <c:v>23.5</c:v>
                </c:pt>
                <c:pt idx="7">
                  <c:v>23.6</c:v>
                </c:pt>
                <c:pt idx="8">
                  <c:v>23.4</c:v>
                </c:pt>
                <c:pt idx="9">
                  <c:v>23.7</c:v>
                </c:pt>
                <c:pt idx="10">
                  <c:v>23.7</c:v>
                </c:pt>
                <c:pt idx="11">
                  <c:v>23.5</c:v>
                </c:pt>
                <c:pt idx="12">
                  <c:v>23.7</c:v>
                </c:pt>
                <c:pt idx="13">
                  <c:v>23.7</c:v>
                </c:pt>
                <c:pt idx="14">
                  <c:v>23.5</c:v>
                </c:pt>
                <c:pt idx="15">
                  <c:v>23.6</c:v>
                </c:pt>
                <c:pt idx="16">
                  <c:v>23.6</c:v>
                </c:pt>
                <c:pt idx="17">
                  <c:v>23.6</c:v>
                </c:pt>
                <c:pt idx="18">
                  <c:v>23.8</c:v>
                </c:pt>
                <c:pt idx="19">
                  <c:v>23.3</c:v>
                </c:pt>
                <c:pt idx="20">
                  <c:v>23.5</c:v>
                </c:pt>
                <c:pt idx="21">
                  <c:v>23.5</c:v>
                </c:pt>
                <c:pt idx="22">
                  <c:v>23.7</c:v>
                </c:pt>
                <c:pt idx="23">
                  <c:v>23.7</c:v>
                </c:pt>
                <c:pt idx="24">
                  <c:v>23.6</c:v>
                </c:pt>
                <c:pt idx="25">
                  <c:v>23.7</c:v>
                </c:pt>
                <c:pt idx="26">
                  <c:v>23.6</c:v>
                </c:pt>
                <c:pt idx="27">
                  <c:v>23.8</c:v>
                </c:pt>
                <c:pt idx="28">
                  <c:v>23.4</c:v>
                </c:pt>
                <c:pt idx="29">
                  <c:v>23.5</c:v>
                </c:pt>
              </c:numCache>
            </c:numRef>
          </c:xVal>
          <c:yVal>
            <c:numRef>
              <c:f>'Factor 3 Run Time'!$B$4:$AE$4</c:f>
              <c:numCache>
                <c:formatCode>General</c:formatCode>
                <c:ptCount val="30"/>
                <c:pt idx="0">
                  <c:v>0.53661999999999999</c:v>
                </c:pt>
                <c:pt idx="1">
                  <c:v>0.52954000000000001</c:v>
                </c:pt>
                <c:pt idx="2">
                  <c:v>0.53674000000000011</c:v>
                </c:pt>
                <c:pt idx="3">
                  <c:v>0.46460000000000001</c:v>
                </c:pt>
                <c:pt idx="4">
                  <c:v>0.44483000000000006</c:v>
                </c:pt>
                <c:pt idx="5">
                  <c:v>0.45740000000000003</c:v>
                </c:pt>
                <c:pt idx="6">
                  <c:v>0.57886000000000004</c:v>
                </c:pt>
                <c:pt idx="7">
                  <c:v>0.59143000000000001</c:v>
                </c:pt>
                <c:pt idx="8">
                  <c:v>0.59948999999999997</c:v>
                </c:pt>
                <c:pt idx="9">
                  <c:v>0.56969999999999998</c:v>
                </c:pt>
                <c:pt idx="10">
                  <c:v>0.57239000000000007</c:v>
                </c:pt>
                <c:pt idx="11">
                  <c:v>0.57702000000000009</c:v>
                </c:pt>
                <c:pt idx="12">
                  <c:v>0.57189999999999996</c:v>
                </c:pt>
                <c:pt idx="13">
                  <c:v>0.55212000000000006</c:v>
                </c:pt>
                <c:pt idx="14">
                  <c:v>0.59118000000000004</c:v>
                </c:pt>
                <c:pt idx="15">
                  <c:v>0.55138999999999994</c:v>
                </c:pt>
                <c:pt idx="16">
                  <c:v>0.53491</c:v>
                </c:pt>
                <c:pt idx="17">
                  <c:v>0.57091999999999998</c:v>
                </c:pt>
                <c:pt idx="18">
                  <c:v>0.56031000000000009</c:v>
                </c:pt>
                <c:pt idx="19">
                  <c:v>0.56469999999999998</c:v>
                </c:pt>
                <c:pt idx="20">
                  <c:v>0.58617999999999992</c:v>
                </c:pt>
                <c:pt idx="21">
                  <c:v>0.5577399999999999</c:v>
                </c:pt>
                <c:pt idx="22">
                  <c:v>0.55127999999999999</c:v>
                </c:pt>
                <c:pt idx="23">
                  <c:v>0.55248999999999993</c:v>
                </c:pt>
                <c:pt idx="24">
                  <c:v>0.51978000000000002</c:v>
                </c:pt>
                <c:pt idx="25">
                  <c:v>0.50670999999999999</c:v>
                </c:pt>
                <c:pt idx="26">
                  <c:v>0.53271000000000002</c:v>
                </c:pt>
                <c:pt idx="27">
                  <c:v>0.45362000000000002</c:v>
                </c:pt>
                <c:pt idx="28">
                  <c:v>0.44666000000000006</c:v>
                </c:pt>
                <c:pt idx="29">
                  <c:v>0.44994999999999996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CDD-4E3A-870E-3ACEB7FCE2DC}"/>
            </c:ext>
          </c:extLst>
        </c:ser>
        <c:ser>
          <c:idx val="3"/>
          <c:order val="3"/>
          <c:tx>
            <c:v>ibmq_valencia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'Factor 3 Run Time'!$B$9:$AE$9</c:f>
              <c:numCache>
                <c:formatCode>General</c:formatCode>
                <c:ptCount val="30"/>
                <c:pt idx="0">
                  <c:v>26.2</c:v>
                </c:pt>
                <c:pt idx="1">
                  <c:v>25.8</c:v>
                </c:pt>
                <c:pt idx="2">
                  <c:v>26.3</c:v>
                </c:pt>
                <c:pt idx="3">
                  <c:v>26.3</c:v>
                </c:pt>
                <c:pt idx="4">
                  <c:v>26.2</c:v>
                </c:pt>
                <c:pt idx="5">
                  <c:v>26.2</c:v>
                </c:pt>
                <c:pt idx="6">
                  <c:v>26.1</c:v>
                </c:pt>
                <c:pt idx="7">
                  <c:v>25.6</c:v>
                </c:pt>
                <c:pt idx="8">
                  <c:v>26.4</c:v>
                </c:pt>
                <c:pt idx="9">
                  <c:v>28.3</c:v>
                </c:pt>
                <c:pt idx="10">
                  <c:v>26.7</c:v>
                </c:pt>
                <c:pt idx="11">
                  <c:v>26.2</c:v>
                </c:pt>
                <c:pt idx="12">
                  <c:v>26.4</c:v>
                </c:pt>
                <c:pt idx="13">
                  <c:v>26.4</c:v>
                </c:pt>
                <c:pt idx="14">
                  <c:v>26.5</c:v>
                </c:pt>
                <c:pt idx="15">
                  <c:v>27.2</c:v>
                </c:pt>
                <c:pt idx="16">
                  <c:v>27</c:v>
                </c:pt>
                <c:pt idx="17">
                  <c:v>26.7</c:v>
                </c:pt>
                <c:pt idx="18">
                  <c:v>26.6</c:v>
                </c:pt>
                <c:pt idx="19">
                  <c:v>26.9</c:v>
                </c:pt>
                <c:pt idx="20">
                  <c:v>26.6</c:v>
                </c:pt>
                <c:pt idx="21">
                  <c:v>26.3</c:v>
                </c:pt>
                <c:pt idx="22">
                  <c:v>26.2</c:v>
                </c:pt>
                <c:pt idx="23">
                  <c:v>26.2</c:v>
                </c:pt>
                <c:pt idx="24">
                  <c:v>25.7</c:v>
                </c:pt>
                <c:pt idx="25">
                  <c:v>26.7</c:v>
                </c:pt>
                <c:pt idx="26">
                  <c:v>28.8</c:v>
                </c:pt>
                <c:pt idx="27">
                  <c:v>26.5</c:v>
                </c:pt>
                <c:pt idx="28">
                  <c:v>26.4</c:v>
                </c:pt>
                <c:pt idx="29">
                  <c:v>26.5</c:v>
                </c:pt>
              </c:numCache>
            </c:numRef>
          </c:xVal>
          <c:yVal>
            <c:numRef>
              <c:f>'Factor 3 Run Time'!$B$10:$AE$10</c:f>
              <c:numCache>
                <c:formatCode>General</c:formatCode>
                <c:ptCount val="30"/>
                <c:pt idx="0">
                  <c:v>0.62121000000000004</c:v>
                </c:pt>
                <c:pt idx="1">
                  <c:v>0.61817000000000011</c:v>
                </c:pt>
                <c:pt idx="2">
                  <c:v>0.60865000000000002</c:v>
                </c:pt>
                <c:pt idx="3">
                  <c:v>0.55610000000000004</c:v>
                </c:pt>
                <c:pt idx="4">
                  <c:v>0.48778999999999995</c:v>
                </c:pt>
                <c:pt idx="5">
                  <c:v>0.50719999999999998</c:v>
                </c:pt>
                <c:pt idx="6">
                  <c:v>0.46509</c:v>
                </c:pt>
                <c:pt idx="7">
                  <c:v>0.64087000000000005</c:v>
                </c:pt>
                <c:pt idx="8">
                  <c:v>0.64539000000000002</c:v>
                </c:pt>
                <c:pt idx="9">
                  <c:v>0.55688999999999989</c:v>
                </c:pt>
                <c:pt idx="10">
                  <c:v>0.67784999999999995</c:v>
                </c:pt>
                <c:pt idx="11">
                  <c:v>0.55737000000000003</c:v>
                </c:pt>
                <c:pt idx="12">
                  <c:v>0.54565999999999992</c:v>
                </c:pt>
                <c:pt idx="13">
                  <c:v>0.6551499999999999</c:v>
                </c:pt>
                <c:pt idx="14">
                  <c:v>0.56810999999999989</c:v>
                </c:pt>
                <c:pt idx="15">
                  <c:v>0.55394999999999994</c:v>
                </c:pt>
                <c:pt idx="16">
                  <c:v>0.57727000000000006</c:v>
                </c:pt>
                <c:pt idx="17">
                  <c:v>0.54015999999999997</c:v>
                </c:pt>
                <c:pt idx="18">
                  <c:v>0.60192999999999997</c:v>
                </c:pt>
                <c:pt idx="19">
                  <c:v>0.62414000000000003</c:v>
                </c:pt>
                <c:pt idx="20">
                  <c:v>0.57018000000000002</c:v>
                </c:pt>
                <c:pt idx="21">
                  <c:v>0.50683</c:v>
                </c:pt>
                <c:pt idx="22">
                  <c:v>0.44652999999999998</c:v>
                </c:pt>
                <c:pt idx="23">
                  <c:v>0.56420000000000003</c:v>
                </c:pt>
                <c:pt idx="24">
                  <c:v>0.59423000000000004</c:v>
                </c:pt>
                <c:pt idx="25">
                  <c:v>0.63269000000000009</c:v>
                </c:pt>
                <c:pt idx="26">
                  <c:v>0.62792999999999988</c:v>
                </c:pt>
                <c:pt idx="27">
                  <c:v>0.56652999999999998</c:v>
                </c:pt>
                <c:pt idx="28">
                  <c:v>0.48951000000000006</c:v>
                </c:pt>
                <c:pt idx="29">
                  <c:v>0.59655999999999998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CDD-4E3A-870E-3ACEB7FCE2DC}"/>
            </c:ext>
          </c:extLst>
        </c:ser>
        <c:ser>
          <c:idx val="5"/>
          <c:order val="4"/>
          <c:tx>
            <c:v>ibmq_london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'Factor 3 Run Time'!$B$15:$AE$15</c:f>
              <c:numCache>
                <c:formatCode>General</c:formatCode>
                <c:ptCount val="30"/>
                <c:pt idx="0">
                  <c:v>26.2</c:v>
                </c:pt>
                <c:pt idx="1">
                  <c:v>25.8</c:v>
                </c:pt>
                <c:pt idx="2">
                  <c:v>26.7</c:v>
                </c:pt>
                <c:pt idx="3">
                  <c:v>26.2</c:v>
                </c:pt>
                <c:pt idx="4">
                  <c:v>26.5</c:v>
                </c:pt>
                <c:pt idx="5">
                  <c:v>26.2</c:v>
                </c:pt>
                <c:pt idx="6">
                  <c:v>26</c:v>
                </c:pt>
                <c:pt idx="7">
                  <c:v>26.5</c:v>
                </c:pt>
                <c:pt idx="8">
                  <c:v>27.4</c:v>
                </c:pt>
                <c:pt idx="9">
                  <c:v>26.9</c:v>
                </c:pt>
                <c:pt idx="10">
                  <c:v>26.9</c:v>
                </c:pt>
                <c:pt idx="11">
                  <c:v>27.1</c:v>
                </c:pt>
                <c:pt idx="12">
                  <c:v>26.5</c:v>
                </c:pt>
                <c:pt idx="13">
                  <c:v>26.1</c:v>
                </c:pt>
                <c:pt idx="14">
                  <c:v>26.2</c:v>
                </c:pt>
                <c:pt idx="15">
                  <c:v>26</c:v>
                </c:pt>
                <c:pt idx="16">
                  <c:v>26.2</c:v>
                </c:pt>
                <c:pt idx="17">
                  <c:v>26.1</c:v>
                </c:pt>
                <c:pt idx="18">
                  <c:v>26.2</c:v>
                </c:pt>
                <c:pt idx="19">
                  <c:v>26.8</c:v>
                </c:pt>
                <c:pt idx="20">
                  <c:v>27.2</c:v>
                </c:pt>
                <c:pt idx="21">
                  <c:v>27</c:v>
                </c:pt>
                <c:pt idx="22">
                  <c:v>26.7</c:v>
                </c:pt>
                <c:pt idx="23">
                  <c:v>26.2</c:v>
                </c:pt>
                <c:pt idx="24">
                  <c:v>26.2</c:v>
                </c:pt>
                <c:pt idx="25">
                  <c:v>26</c:v>
                </c:pt>
                <c:pt idx="26">
                  <c:v>26.4</c:v>
                </c:pt>
                <c:pt idx="27">
                  <c:v>26.4</c:v>
                </c:pt>
                <c:pt idx="28">
                  <c:v>26.2</c:v>
                </c:pt>
                <c:pt idx="29">
                  <c:v>26.6</c:v>
                </c:pt>
              </c:numCache>
            </c:numRef>
          </c:xVal>
          <c:yVal>
            <c:numRef>
              <c:f>'Factor 3 Run Time'!$B$16:$AE$16</c:f>
              <c:numCache>
                <c:formatCode>General</c:formatCode>
                <c:ptCount val="30"/>
                <c:pt idx="0">
                  <c:v>0.62988</c:v>
                </c:pt>
                <c:pt idx="1">
                  <c:v>0.69873999999999992</c:v>
                </c:pt>
                <c:pt idx="2">
                  <c:v>0.63488</c:v>
                </c:pt>
                <c:pt idx="3">
                  <c:v>0.63574000000000008</c:v>
                </c:pt>
                <c:pt idx="4">
                  <c:v>0.61828000000000005</c:v>
                </c:pt>
                <c:pt idx="5">
                  <c:v>0.42480999999999997</c:v>
                </c:pt>
                <c:pt idx="6">
                  <c:v>0.70373999999999992</c:v>
                </c:pt>
                <c:pt idx="7">
                  <c:v>0.67186999999999997</c:v>
                </c:pt>
                <c:pt idx="8">
                  <c:v>0.75379000000000007</c:v>
                </c:pt>
                <c:pt idx="9">
                  <c:v>0.6666200000000001</c:v>
                </c:pt>
                <c:pt idx="10">
                  <c:v>0.60388000000000008</c:v>
                </c:pt>
                <c:pt idx="11">
                  <c:v>0.67662999999999995</c:v>
                </c:pt>
                <c:pt idx="12">
                  <c:v>0.6164599999999999</c:v>
                </c:pt>
                <c:pt idx="13">
                  <c:v>0.62097000000000002</c:v>
                </c:pt>
                <c:pt idx="14">
                  <c:v>0.6196299999999999</c:v>
                </c:pt>
                <c:pt idx="15">
                  <c:v>0.57495000000000007</c:v>
                </c:pt>
                <c:pt idx="16">
                  <c:v>0.58960000000000001</c:v>
                </c:pt>
                <c:pt idx="17">
                  <c:v>0.53808999999999996</c:v>
                </c:pt>
                <c:pt idx="18">
                  <c:v>0.70909999999999995</c:v>
                </c:pt>
                <c:pt idx="19">
                  <c:v>0.71545000000000003</c:v>
                </c:pt>
                <c:pt idx="20">
                  <c:v>0.68847000000000014</c:v>
                </c:pt>
                <c:pt idx="21">
                  <c:v>0.46582999999999997</c:v>
                </c:pt>
                <c:pt idx="22">
                  <c:v>0.53125999999999995</c:v>
                </c:pt>
                <c:pt idx="23">
                  <c:v>0.70263999999999993</c:v>
                </c:pt>
                <c:pt idx="24">
                  <c:v>0.73962000000000006</c:v>
                </c:pt>
                <c:pt idx="25">
                  <c:v>0.70727000000000007</c:v>
                </c:pt>
                <c:pt idx="26">
                  <c:v>0.72277000000000002</c:v>
                </c:pt>
                <c:pt idx="27">
                  <c:v>0.61389000000000005</c:v>
                </c:pt>
                <c:pt idx="28">
                  <c:v>0.65587999999999991</c:v>
                </c:pt>
                <c:pt idx="29">
                  <c:v>0.72364000000000006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FCDD-4E3A-870E-3ACEB7FCE2DC}"/>
            </c:ext>
          </c:extLst>
        </c:ser>
        <c:ser>
          <c:idx val="7"/>
          <c:order val="5"/>
          <c:tx>
            <c:v>ibmq_essex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'Factor 3 Run Time'!$B$21:$AE$21</c:f>
              <c:numCache>
                <c:formatCode>General</c:formatCode>
                <c:ptCount val="30"/>
                <c:pt idx="0">
                  <c:v>27</c:v>
                </c:pt>
                <c:pt idx="1">
                  <c:v>27</c:v>
                </c:pt>
                <c:pt idx="2">
                  <c:v>27.5</c:v>
                </c:pt>
                <c:pt idx="3">
                  <c:v>27.7</c:v>
                </c:pt>
                <c:pt idx="4">
                  <c:v>28.9</c:v>
                </c:pt>
                <c:pt idx="5">
                  <c:v>29.1</c:v>
                </c:pt>
                <c:pt idx="6">
                  <c:v>28.8</c:v>
                </c:pt>
                <c:pt idx="7">
                  <c:v>29.1</c:v>
                </c:pt>
                <c:pt idx="8">
                  <c:v>26.8</c:v>
                </c:pt>
                <c:pt idx="9">
                  <c:v>26.8</c:v>
                </c:pt>
                <c:pt idx="10">
                  <c:v>27.5</c:v>
                </c:pt>
                <c:pt idx="11">
                  <c:v>27.9</c:v>
                </c:pt>
                <c:pt idx="12">
                  <c:v>29.9</c:v>
                </c:pt>
                <c:pt idx="13">
                  <c:v>26.7</c:v>
                </c:pt>
                <c:pt idx="14">
                  <c:v>25.8</c:v>
                </c:pt>
                <c:pt idx="15">
                  <c:v>26</c:v>
                </c:pt>
                <c:pt idx="16">
                  <c:v>26.1</c:v>
                </c:pt>
                <c:pt idx="17">
                  <c:v>27.6</c:v>
                </c:pt>
                <c:pt idx="18">
                  <c:v>27.9</c:v>
                </c:pt>
                <c:pt idx="19">
                  <c:v>29.2</c:v>
                </c:pt>
                <c:pt idx="20">
                  <c:v>26.2</c:v>
                </c:pt>
                <c:pt idx="21">
                  <c:v>26.3</c:v>
                </c:pt>
                <c:pt idx="22">
                  <c:v>26.8</c:v>
                </c:pt>
                <c:pt idx="23">
                  <c:v>27.2</c:v>
                </c:pt>
                <c:pt idx="24">
                  <c:v>27.4</c:v>
                </c:pt>
                <c:pt idx="25">
                  <c:v>26</c:v>
                </c:pt>
                <c:pt idx="26">
                  <c:v>29.5</c:v>
                </c:pt>
                <c:pt idx="27">
                  <c:v>28.8</c:v>
                </c:pt>
                <c:pt idx="28">
                  <c:v>28.5</c:v>
                </c:pt>
                <c:pt idx="29">
                  <c:v>26</c:v>
                </c:pt>
              </c:numCache>
            </c:numRef>
          </c:xVal>
          <c:yVal>
            <c:numRef>
              <c:f>'Factor 3 Run Time'!$B$22:$AE$22</c:f>
              <c:numCache>
                <c:formatCode>General</c:formatCode>
                <c:ptCount val="30"/>
                <c:pt idx="0">
                  <c:v>0.63611000000000006</c:v>
                </c:pt>
                <c:pt idx="1">
                  <c:v>0.61572000000000005</c:v>
                </c:pt>
                <c:pt idx="2">
                  <c:v>0.69323000000000012</c:v>
                </c:pt>
                <c:pt idx="3">
                  <c:v>0.49804999999999999</c:v>
                </c:pt>
                <c:pt idx="4">
                  <c:v>0.64807000000000003</c:v>
                </c:pt>
                <c:pt idx="5">
                  <c:v>0.61621000000000004</c:v>
                </c:pt>
                <c:pt idx="6">
                  <c:v>0.65844999999999998</c:v>
                </c:pt>
                <c:pt idx="7">
                  <c:v>0.71862999999999999</c:v>
                </c:pt>
                <c:pt idx="8">
                  <c:v>0.67787000000000008</c:v>
                </c:pt>
                <c:pt idx="9">
                  <c:v>0.66564999999999996</c:v>
                </c:pt>
                <c:pt idx="10">
                  <c:v>0.62451000000000012</c:v>
                </c:pt>
                <c:pt idx="11">
                  <c:v>0.71521000000000001</c:v>
                </c:pt>
                <c:pt idx="12">
                  <c:v>0.60021999999999998</c:v>
                </c:pt>
                <c:pt idx="13">
                  <c:v>0.61547000000000007</c:v>
                </c:pt>
                <c:pt idx="14">
                  <c:v>0.60949000000000009</c:v>
                </c:pt>
                <c:pt idx="15">
                  <c:v>0.58582000000000012</c:v>
                </c:pt>
                <c:pt idx="16">
                  <c:v>0.59495999999999993</c:v>
                </c:pt>
                <c:pt idx="17">
                  <c:v>0.57995000000000008</c:v>
                </c:pt>
                <c:pt idx="18">
                  <c:v>0.64734999999999998</c:v>
                </c:pt>
                <c:pt idx="19">
                  <c:v>0.6458799999999999</c:v>
                </c:pt>
                <c:pt idx="20">
                  <c:v>0.52673000000000003</c:v>
                </c:pt>
                <c:pt idx="21">
                  <c:v>0.50977000000000006</c:v>
                </c:pt>
                <c:pt idx="22">
                  <c:v>0.50977000000000006</c:v>
                </c:pt>
                <c:pt idx="23">
                  <c:v>0.63977000000000006</c:v>
                </c:pt>
                <c:pt idx="24">
                  <c:v>0.65465999999999991</c:v>
                </c:pt>
                <c:pt idx="25">
                  <c:v>0.58776000000000006</c:v>
                </c:pt>
                <c:pt idx="26">
                  <c:v>0.58055999999999996</c:v>
                </c:pt>
                <c:pt idx="27">
                  <c:v>0.61485999999999996</c:v>
                </c:pt>
                <c:pt idx="28">
                  <c:v>0.46703000000000006</c:v>
                </c:pt>
                <c:pt idx="29">
                  <c:v>0.68432000000000004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FCDD-4E3A-870E-3ACEB7FCE2DC}"/>
            </c:ext>
          </c:extLst>
        </c:ser>
        <c:ser>
          <c:idx val="2"/>
          <c:order val="6"/>
          <c:tx>
            <c:v>ibmq_vigo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'Factor 3 Run Time'!$B$6:$AE$6</c:f>
              <c:numCache>
                <c:formatCode>General</c:formatCode>
                <c:ptCount val="30"/>
                <c:pt idx="0">
                  <c:v>24.4</c:v>
                </c:pt>
                <c:pt idx="1">
                  <c:v>24.3</c:v>
                </c:pt>
                <c:pt idx="2">
                  <c:v>24.7</c:v>
                </c:pt>
                <c:pt idx="3">
                  <c:v>24.7</c:v>
                </c:pt>
                <c:pt idx="4">
                  <c:v>24.3</c:v>
                </c:pt>
                <c:pt idx="5">
                  <c:v>24.2</c:v>
                </c:pt>
                <c:pt idx="6">
                  <c:v>24.8</c:v>
                </c:pt>
                <c:pt idx="7">
                  <c:v>24.7</c:v>
                </c:pt>
                <c:pt idx="8">
                  <c:v>24.7</c:v>
                </c:pt>
                <c:pt idx="9">
                  <c:v>24.4</c:v>
                </c:pt>
                <c:pt idx="10">
                  <c:v>24.6</c:v>
                </c:pt>
                <c:pt idx="11">
                  <c:v>24.4</c:v>
                </c:pt>
                <c:pt idx="12">
                  <c:v>24.4</c:v>
                </c:pt>
                <c:pt idx="13">
                  <c:v>24.6</c:v>
                </c:pt>
                <c:pt idx="14">
                  <c:v>24.7</c:v>
                </c:pt>
                <c:pt idx="15">
                  <c:v>24.6</c:v>
                </c:pt>
                <c:pt idx="16">
                  <c:v>24.7</c:v>
                </c:pt>
                <c:pt idx="17">
                  <c:v>25</c:v>
                </c:pt>
                <c:pt idx="18">
                  <c:v>24.5</c:v>
                </c:pt>
                <c:pt idx="19">
                  <c:v>24.4</c:v>
                </c:pt>
                <c:pt idx="20">
                  <c:v>24.5</c:v>
                </c:pt>
                <c:pt idx="21">
                  <c:v>24.4</c:v>
                </c:pt>
                <c:pt idx="22">
                  <c:v>24.2</c:v>
                </c:pt>
                <c:pt idx="23">
                  <c:v>24.7</c:v>
                </c:pt>
                <c:pt idx="24">
                  <c:v>24.4</c:v>
                </c:pt>
                <c:pt idx="25">
                  <c:v>24.6</c:v>
                </c:pt>
                <c:pt idx="26">
                  <c:v>24.2</c:v>
                </c:pt>
                <c:pt idx="27">
                  <c:v>24.3</c:v>
                </c:pt>
                <c:pt idx="28">
                  <c:v>24.5</c:v>
                </c:pt>
                <c:pt idx="29">
                  <c:v>24.2</c:v>
                </c:pt>
              </c:numCache>
            </c:numRef>
          </c:xVal>
          <c:yVal>
            <c:numRef>
              <c:f>'Factor 3 Run Time'!$B$7:$AE$7</c:f>
              <c:numCache>
                <c:formatCode>General</c:formatCode>
                <c:ptCount val="30"/>
                <c:pt idx="0">
                  <c:v>0.71852000000000005</c:v>
                </c:pt>
                <c:pt idx="1">
                  <c:v>0.69811999999999996</c:v>
                </c:pt>
                <c:pt idx="2">
                  <c:v>0.63647000000000009</c:v>
                </c:pt>
                <c:pt idx="3">
                  <c:v>0.61817000000000011</c:v>
                </c:pt>
                <c:pt idx="4">
                  <c:v>0.65393000000000001</c:v>
                </c:pt>
                <c:pt idx="5">
                  <c:v>0.59411000000000003</c:v>
                </c:pt>
                <c:pt idx="6">
                  <c:v>0.65563000000000005</c:v>
                </c:pt>
                <c:pt idx="7">
                  <c:v>0.71263999999999994</c:v>
                </c:pt>
                <c:pt idx="8">
                  <c:v>0.68066000000000004</c:v>
                </c:pt>
                <c:pt idx="9">
                  <c:v>0.68579000000000012</c:v>
                </c:pt>
                <c:pt idx="10">
                  <c:v>0.71861999999999993</c:v>
                </c:pt>
                <c:pt idx="11">
                  <c:v>0.67162999999999995</c:v>
                </c:pt>
                <c:pt idx="12">
                  <c:v>0.71972999999999998</c:v>
                </c:pt>
                <c:pt idx="13">
                  <c:v>0.66198000000000012</c:v>
                </c:pt>
                <c:pt idx="14">
                  <c:v>0.62390000000000001</c:v>
                </c:pt>
                <c:pt idx="15">
                  <c:v>0.65856999999999999</c:v>
                </c:pt>
                <c:pt idx="16">
                  <c:v>0.67016000000000009</c:v>
                </c:pt>
                <c:pt idx="17">
                  <c:v>0.64087000000000005</c:v>
                </c:pt>
                <c:pt idx="18">
                  <c:v>0.63781999999999994</c:v>
                </c:pt>
                <c:pt idx="19">
                  <c:v>0.70861999999999992</c:v>
                </c:pt>
                <c:pt idx="20">
                  <c:v>0.70641999999999994</c:v>
                </c:pt>
                <c:pt idx="21">
                  <c:v>0.5895999999999999</c:v>
                </c:pt>
                <c:pt idx="22">
                  <c:v>0.67944999999999989</c:v>
                </c:pt>
                <c:pt idx="23">
                  <c:v>0.63573999999999997</c:v>
                </c:pt>
                <c:pt idx="24">
                  <c:v>0.69225999999999999</c:v>
                </c:pt>
                <c:pt idx="25">
                  <c:v>0.72840000000000005</c:v>
                </c:pt>
                <c:pt idx="26">
                  <c:v>0.72742000000000007</c:v>
                </c:pt>
                <c:pt idx="27">
                  <c:v>0.62060999999999999</c:v>
                </c:pt>
                <c:pt idx="28">
                  <c:v>0.65942999999999996</c:v>
                </c:pt>
                <c:pt idx="29">
                  <c:v>0.67688000000000004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CDD-4E3A-870E-3ACEB7FCE2DC}"/>
            </c:ext>
          </c:extLst>
        </c:ser>
        <c:ser>
          <c:idx val="0"/>
          <c:order val="7"/>
          <c:tx>
            <c:v>ibmq_burlington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'Factor 3 Run Time'!$B$24:$AE$24</c:f>
              <c:numCache>
                <c:formatCode>General</c:formatCode>
                <c:ptCount val="30"/>
                <c:pt idx="0">
                  <c:v>26.5</c:v>
                </c:pt>
                <c:pt idx="1">
                  <c:v>26.6</c:v>
                </c:pt>
                <c:pt idx="2">
                  <c:v>26.4</c:v>
                </c:pt>
                <c:pt idx="3">
                  <c:v>26.6</c:v>
                </c:pt>
                <c:pt idx="4">
                  <c:v>26.7</c:v>
                </c:pt>
                <c:pt idx="5">
                  <c:v>26.4</c:v>
                </c:pt>
                <c:pt idx="6">
                  <c:v>28</c:v>
                </c:pt>
                <c:pt idx="7">
                  <c:v>27.3</c:v>
                </c:pt>
                <c:pt idx="8">
                  <c:v>27.6</c:v>
                </c:pt>
                <c:pt idx="9">
                  <c:v>27.5</c:v>
                </c:pt>
                <c:pt idx="10">
                  <c:v>27.6</c:v>
                </c:pt>
                <c:pt idx="11">
                  <c:v>27.7</c:v>
                </c:pt>
                <c:pt idx="12">
                  <c:v>27.3</c:v>
                </c:pt>
                <c:pt idx="13">
                  <c:v>27.4</c:v>
                </c:pt>
                <c:pt idx="14">
                  <c:v>28.1</c:v>
                </c:pt>
                <c:pt idx="15">
                  <c:v>26.5</c:v>
                </c:pt>
                <c:pt idx="16">
                  <c:v>26.8</c:v>
                </c:pt>
                <c:pt idx="17">
                  <c:v>27</c:v>
                </c:pt>
                <c:pt idx="18">
                  <c:v>27.3</c:v>
                </c:pt>
                <c:pt idx="19">
                  <c:v>27.6</c:v>
                </c:pt>
                <c:pt idx="20">
                  <c:v>27.5</c:v>
                </c:pt>
                <c:pt idx="21">
                  <c:v>27.7</c:v>
                </c:pt>
                <c:pt idx="22">
                  <c:v>27.1</c:v>
                </c:pt>
                <c:pt idx="23">
                  <c:v>27.3</c:v>
                </c:pt>
                <c:pt idx="24">
                  <c:v>26.8</c:v>
                </c:pt>
                <c:pt idx="25">
                  <c:v>26.6</c:v>
                </c:pt>
                <c:pt idx="26">
                  <c:v>26.2</c:v>
                </c:pt>
                <c:pt idx="27">
                  <c:v>28.5</c:v>
                </c:pt>
                <c:pt idx="28">
                  <c:v>28.5</c:v>
                </c:pt>
                <c:pt idx="29">
                  <c:v>28.5</c:v>
                </c:pt>
              </c:numCache>
            </c:numRef>
          </c:xVal>
          <c:yVal>
            <c:numRef>
              <c:f>'Factor 3 Run Time'!$B$25:$AE$25</c:f>
              <c:numCache>
                <c:formatCode>General</c:formatCode>
                <c:ptCount val="30"/>
                <c:pt idx="0">
                  <c:v>0.67883000000000004</c:v>
                </c:pt>
                <c:pt idx="1">
                  <c:v>0.70667000000000002</c:v>
                </c:pt>
                <c:pt idx="2">
                  <c:v>0.70787999999999995</c:v>
                </c:pt>
                <c:pt idx="3">
                  <c:v>0.67150999999999994</c:v>
                </c:pt>
                <c:pt idx="4">
                  <c:v>0.68897000000000008</c:v>
                </c:pt>
                <c:pt idx="5">
                  <c:v>0.68115000000000014</c:v>
                </c:pt>
                <c:pt idx="6">
                  <c:v>0.72790999999999995</c:v>
                </c:pt>
                <c:pt idx="7">
                  <c:v>0.71289000000000002</c:v>
                </c:pt>
                <c:pt idx="8">
                  <c:v>0.77649000000000001</c:v>
                </c:pt>
                <c:pt idx="9">
                  <c:v>0.66919000000000006</c:v>
                </c:pt>
                <c:pt idx="10">
                  <c:v>0.72448999999999997</c:v>
                </c:pt>
                <c:pt idx="11">
                  <c:v>0.74365999999999999</c:v>
                </c:pt>
                <c:pt idx="12">
                  <c:v>0.73253999999999986</c:v>
                </c:pt>
                <c:pt idx="13">
                  <c:v>0.7434099999999999</c:v>
                </c:pt>
                <c:pt idx="14">
                  <c:v>0.71935999999999989</c:v>
                </c:pt>
                <c:pt idx="15">
                  <c:v>0.71997</c:v>
                </c:pt>
                <c:pt idx="16">
                  <c:v>0.67956000000000005</c:v>
                </c:pt>
                <c:pt idx="17">
                  <c:v>0.64013999999999993</c:v>
                </c:pt>
                <c:pt idx="18">
                  <c:v>0.72620000000000007</c:v>
                </c:pt>
                <c:pt idx="19">
                  <c:v>0.73790999999999995</c:v>
                </c:pt>
                <c:pt idx="20">
                  <c:v>0.59753000000000012</c:v>
                </c:pt>
                <c:pt idx="21">
                  <c:v>0.65490999999999999</c:v>
                </c:pt>
                <c:pt idx="22">
                  <c:v>0.67774000000000001</c:v>
                </c:pt>
                <c:pt idx="23">
                  <c:v>0.68225000000000013</c:v>
                </c:pt>
                <c:pt idx="24">
                  <c:v>0.71728999999999998</c:v>
                </c:pt>
                <c:pt idx="25">
                  <c:v>0.6916500000000001</c:v>
                </c:pt>
                <c:pt idx="26">
                  <c:v>0.6855500000000001</c:v>
                </c:pt>
                <c:pt idx="27">
                  <c:v>0.71105999999999991</c:v>
                </c:pt>
                <c:pt idx="28">
                  <c:v>0.69677999999999995</c:v>
                </c:pt>
                <c:pt idx="29">
                  <c:v>0.69542999999999988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CDD-4E3A-870E-3ACEB7FC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496240"/>
        <c:axId val="238675120"/>
      </c:scatterChart>
      <c:valAx>
        <c:axId val="1239496240"/>
        <c:scaling>
          <c:orientation val="minMax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</a:t>
                </a:r>
                <a:r>
                  <a:rPr lang="en-US" b="1" baseline="0"/>
                  <a:t>ning</a:t>
                </a:r>
                <a:r>
                  <a:rPr lang="en-US" baseline="0"/>
                  <a:t> </a:t>
                </a:r>
                <a:r>
                  <a:rPr lang="en-US" b="1" baseline="0"/>
                  <a:t>Time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4460073953250464"/>
              <c:y val="0.9068967706608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75120"/>
        <c:crosses val="autoZero"/>
        <c:crossBetween val="midCat"/>
      </c:valAx>
      <c:valAx>
        <c:axId val="2386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Output</a:t>
                </a:r>
                <a:r>
                  <a:rPr lang="en-US"/>
                  <a:t> </a:t>
                </a:r>
                <a:r>
                  <a:rPr lang="en-US" b="1"/>
                  <a:t>Percentage</a:t>
                </a:r>
                <a:r>
                  <a:rPr lang="en-US"/>
                  <a:t> </a:t>
                </a:r>
                <a:r>
                  <a:rPr lang="en-US" b="1"/>
                  <a:t>Error</a:t>
                </a:r>
              </a:p>
            </c:rich>
          </c:tx>
          <c:layout>
            <c:manualLayout>
              <c:xMode val="edge"/>
              <c:yMode val="edge"/>
              <c:x val="1.0291880191184202E-2"/>
              <c:y val="0.20366923630522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9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99529088346887"/>
          <c:y val="0.18687457114946607"/>
          <c:w val="0.19679512294182441"/>
          <c:h val="0.55257445683229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81451</xdr:colOff>
      <xdr:row>3</xdr:row>
      <xdr:rowOff>73204</xdr:rowOff>
    </xdr:from>
    <xdr:to>
      <xdr:col>48</xdr:col>
      <xdr:colOff>61058</xdr:colOff>
      <xdr:row>28</xdr:row>
      <xdr:rowOff>164855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926766-1670-478E-8AC6-8ECADF065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173831</xdr:colOff>
      <xdr:row>25</xdr:row>
      <xdr:rowOff>88105</xdr:rowOff>
    </xdr:from>
    <xdr:to>
      <xdr:col>7</xdr:col>
      <xdr:colOff>219075</xdr:colOff>
      <xdr:row>40</xdr:row>
      <xdr:rowOff>116680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6CCFF-1921-4875-9B05-336223772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385760</xdr:colOff>
      <xdr:row>26</xdr:row>
      <xdr:rowOff>16667</xdr:rowOff>
    </xdr:from>
    <xdr:to>
      <xdr:col>8</xdr:col>
      <xdr:colOff>566737</xdr:colOff>
      <xdr:row>43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76517-B52A-400D-A2FF-466877CC6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85B1-560E-491D-B9F4-D8A7F25E31F0}">
  <dimension ref="A1:S40"/>
  <sheetViews>
    <sheetView tabSelected="1" workbookViewId="0">
      <selection activeCell="M35" sqref="M35:N35"/>
    </sheetView>
  </sheetViews>
  <sheetFormatPr defaultRowHeight="14.25" x14ac:dyDescent="0.45"/>
  <cols>
    <col min="4" max="4" width="9.1328125" bestFit="1" customWidth="1"/>
  </cols>
  <sheetData>
    <row r="1" spans="1:18" x14ac:dyDescent="0.45">
      <c r="A1" t="s">
        <v>313</v>
      </c>
    </row>
    <row r="3" spans="1:18" x14ac:dyDescent="0.45">
      <c r="A3" t="s">
        <v>319</v>
      </c>
    </row>
    <row r="4" spans="1:18" x14ac:dyDescent="0.45">
      <c r="A4" s="47" t="s">
        <v>0</v>
      </c>
      <c r="B4" s="47"/>
      <c r="C4" s="49" t="s">
        <v>73</v>
      </c>
      <c r="D4" s="49"/>
      <c r="E4" s="49" t="s">
        <v>293</v>
      </c>
      <c r="F4" s="49"/>
      <c r="G4" s="49" t="s">
        <v>245</v>
      </c>
      <c r="H4" s="49"/>
      <c r="I4" s="49" t="s">
        <v>213</v>
      </c>
      <c r="J4" s="49"/>
      <c r="K4" s="49" t="s">
        <v>58</v>
      </c>
      <c r="L4" s="49"/>
      <c r="M4" s="49" t="s">
        <v>7</v>
      </c>
      <c r="N4" s="49"/>
      <c r="O4" s="49" t="s">
        <v>60</v>
      </c>
      <c r="P4" s="49"/>
      <c r="Q4" s="49" t="s">
        <v>59</v>
      </c>
      <c r="R4" s="49"/>
    </row>
    <row r="5" spans="1:18" hidden="1" x14ac:dyDescent="0.45">
      <c r="A5" s="47" t="s">
        <v>10</v>
      </c>
      <c r="B5" s="47"/>
    </row>
    <row r="6" spans="1:18" hidden="1" x14ac:dyDescent="0.45">
      <c r="A6" s="47" t="s">
        <v>1</v>
      </c>
      <c r="B6" s="47"/>
    </row>
    <row r="7" spans="1:18" hidden="1" x14ac:dyDescent="0.45">
      <c r="A7" s="47" t="s">
        <v>13</v>
      </c>
      <c r="B7" s="17" t="s">
        <v>12</v>
      </c>
    </row>
    <row r="8" spans="1:18" hidden="1" x14ac:dyDescent="0.45">
      <c r="A8" s="47"/>
      <c r="B8" s="17" t="s">
        <v>14</v>
      </c>
    </row>
    <row r="9" spans="1:18" hidden="1" x14ac:dyDescent="0.45">
      <c r="A9" s="47"/>
      <c r="B9" s="3" t="s">
        <v>15</v>
      </c>
    </row>
    <row r="10" spans="1:18" hidden="1" x14ac:dyDescent="0.45">
      <c r="A10" s="47" t="s">
        <v>11</v>
      </c>
      <c r="B10" s="47"/>
    </row>
    <row r="11" spans="1:18" hidden="1" x14ac:dyDescent="0.45">
      <c r="A11" s="47" t="s">
        <v>42</v>
      </c>
      <c r="B11" s="2" t="s">
        <v>2</v>
      </c>
    </row>
    <row r="12" spans="1:18" hidden="1" x14ac:dyDescent="0.45">
      <c r="A12" s="47"/>
      <c r="B12" s="2" t="s">
        <v>3</v>
      </c>
    </row>
    <row r="13" spans="1:18" hidden="1" x14ac:dyDescent="0.45">
      <c r="A13" s="47"/>
      <c r="B13" s="2" t="s">
        <v>4</v>
      </c>
    </row>
    <row r="14" spans="1:18" hidden="1" x14ac:dyDescent="0.45">
      <c r="A14" s="47"/>
      <c r="B14" s="2" t="s">
        <v>5</v>
      </c>
    </row>
    <row r="15" spans="1:18" x14ac:dyDescent="0.45">
      <c r="A15" s="8"/>
      <c r="B15" s="2" t="s">
        <v>6</v>
      </c>
      <c r="C15" s="50" t="s">
        <v>318</v>
      </c>
      <c r="D15" s="50"/>
      <c r="E15" s="50" t="s">
        <v>320</v>
      </c>
      <c r="F15" s="50"/>
      <c r="G15" s="50" t="s">
        <v>321</v>
      </c>
      <c r="H15" s="50"/>
      <c r="I15" s="50" t="s">
        <v>322</v>
      </c>
      <c r="J15" s="50"/>
      <c r="K15" s="50" t="s">
        <v>323</v>
      </c>
      <c r="L15" s="50"/>
      <c r="M15" s="50" t="s">
        <v>324</v>
      </c>
      <c r="N15" s="50"/>
      <c r="O15" s="50" t="s">
        <v>325</v>
      </c>
      <c r="P15" s="50"/>
      <c r="Q15" s="50" t="s">
        <v>326</v>
      </c>
      <c r="R15" s="50"/>
    </row>
    <row r="16" spans="1:18" x14ac:dyDescent="0.45">
      <c r="A16" s="47" t="s">
        <v>17</v>
      </c>
      <c r="B16" s="6" t="s">
        <v>314</v>
      </c>
      <c r="C16">
        <v>51.66</v>
      </c>
      <c r="D16" s="23">
        <f>1024*C16/100</f>
        <v>528.99839999999995</v>
      </c>
      <c r="E16">
        <v>77.051000000000002</v>
      </c>
      <c r="F16" s="23">
        <f>1024*E16/100</f>
        <v>789.00224000000003</v>
      </c>
      <c r="G16">
        <v>44.628999999999998</v>
      </c>
      <c r="H16" s="23">
        <f>1024*G16/100</f>
        <v>457.00095999999996</v>
      </c>
      <c r="I16">
        <v>74.218999999999994</v>
      </c>
      <c r="J16" s="23">
        <f>1024*I16/100</f>
        <v>760.0025599999999</v>
      </c>
      <c r="K16">
        <v>73.73</v>
      </c>
      <c r="L16" s="23">
        <f>1024*K16/100</f>
        <v>754.99520000000007</v>
      </c>
      <c r="M16">
        <v>68.066000000000003</v>
      </c>
      <c r="N16" s="23">
        <f>1024*M16/100</f>
        <v>696.99584000000004</v>
      </c>
      <c r="O16">
        <v>67.48</v>
      </c>
      <c r="P16" s="23">
        <f>1024*O16/100</f>
        <v>690.99520000000007</v>
      </c>
      <c r="Q16">
        <v>75.391000000000005</v>
      </c>
      <c r="R16" s="23">
        <f>1024*Q16/100</f>
        <v>772.00384000000008</v>
      </c>
    </row>
    <row r="17" spans="1:19" x14ac:dyDescent="0.45">
      <c r="A17" s="47"/>
      <c r="B17" s="6" t="s">
        <v>315</v>
      </c>
      <c r="C17">
        <v>16.895</v>
      </c>
      <c r="D17" s="23">
        <f t="shared" ref="D17:F19" si="0">1024*C17/100</f>
        <v>173.00479999999999</v>
      </c>
      <c r="E17">
        <v>5.5659999999999998</v>
      </c>
      <c r="F17" s="23">
        <f t="shared" si="0"/>
        <v>56.995840000000001</v>
      </c>
      <c r="G17">
        <v>19.140999999999998</v>
      </c>
      <c r="H17" s="23">
        <f>1024*G17/100</f>
        <v>196.00383999999997</v>
      </c>
      <c r="I17">
        <v>5.7619999999999996</v>
      </c>
      <c r="J17" s="23">
        <f>1024*I17/100</f>
        <v>59.002879999999998</v>
      </c>
      <c r="K17">
        <v>5.5659999999999998</v>
      </c>
      <c r="L17" s="23">
        <f>1024*K17/100</f>
        <v>56.995840000000001</v>
      </c>
      <c r="M17">
        <v>7.1289999999999996</v>
      </c>
      <c r="N17" s="23">
        <f>1024*M17/100</f>
        <v>73.000959999999992</v>
      </c>
      <c r="O17">
        <v>9.766</v>
      </c>
      <c r="P17" s="23">
        <f>1024*O17/100</f>
        <v>100.00384</v>
      </c>
      <c r="Q17">
        <v>8.6910000000000007</v>
      </c>
      <c r="R17" s="23">
        <f>1024*Q17/100</f>
        <v>88.995840000000001</v>
      </c>
    </row>
    <row r="18" spans="1:19" x14ac:dyDescent="0.45">
      <c r="A18" s="47"/>
      <c r="B18" s="6" t="s">
        <v>316</v>
      </c>
      <c r="C18">
        <v>15.332000000000001</v>
      </c>
      <c r="D18" s="23">
        <f t="shared" si="0"/>
        <v>156.99968000000001</v>
      </c>
      <c r="E18">
        <v>7.4219999999999997</v>
      </c>
      <c r="F18" s="23">
        <f t="shared" si="0"/>
        <v>76.001279999999994</v>
      </c>
      <c r="G18">
        <v>17.285</v>
      </c>
      <c r="H18" s="23">
        <f>1024*G18/100</f>
        <v>176.9984</v>
      </c>
      <c r="I18">
        <v>9.766</v>
      </c>
      <c r="J18" s="23">
        <f>1024*I18/100</f>
        <v>100.00384</v>
      </c>
      <c r="K18">
        <v>10.254</v>
      </c>
      <c r="L18" s="23">
        <f>1024*K18/100</f>
        <v>105.00095999999999</v>
      </c>
      <c r="M18">
        <v>9.766</v>
      </c>
      <c r="N18" s="23">
        <f>1024*M18/100</f>
        <v>100.00384</v>
      </c>
      <c r="O18">
        <v>8.4960000000000004</v>
      </c>
      <c r="P18" s="23">
        <f>1024*O18/100</f>
        <v>86.999040000000008</v>
      </c>
      <c r="Q18">
        <v>7.8129999999999997</v>
      </c>
      <c r="R18" s="23">
        <f>1024*Q18/100</f>
        <v>80.005119999999991</v>
      </c>
    </row>
    <row r="19" spans="1:19" x14ac:dyDescent="0.45">
      <c r="A19" s="47"/>
      <c r="B19" s="6" t="s">
        <v>317</v>
      </c>
      <c r="C19">
        <v>16.113</v>
      </c>
      <c r="D19" s="23">
        <f t="shared" si="0"/>
        <v>164.99712</v>
      </c>
      <c r="E19">
        <v>9.9610000000000003</v>
      </c>
      <c r="F19" s="23">
        <f t="shared" si="0"/>
        <v>102.00064</v>
      </c>
      <c r="G19">
        <v>18.945</v>
      </c>
      <c r="H19" s="23">
        <f>1024*G19/100</f>
        <v>193.99680000000001</v>
      </c>
      <c r="I19">
        <v>10.254</v>
      </c>
      <c r="J19" s="23">
        <f>1024*I19/100</f>
        <v>105.00095999999999</v>
      </c>
      <c r="K19">
        <v>10.449</v>
      </c>
      <c r="L19" s="23">
        <f>1024*K19/100</f>
        <v>106.99776</v>
      </c>
      <c r="M19">
        <v>15.039</v>
      </c>
      <c r="N19" s="23">
        <f>1024*M19/100</f>
        <v>153.99936</v>
      </c>
      <c r="O19">
        <v>14.257999999999999</v>
      </c>
      <c r="P19" s="23">
        <f>1024*O19/100</f>
        <v>146.00191999999998</v>
      </c>
      <c r="Q19">
        <v>8.1050000000000004</v>
      </c>
      <c r="R19" s="23">
        <f>1024*Q19/100</f>
        <v>82.995200000000011</v>
      </c>
    </row>
    <row r="20" spans="1:19" x14ac:dyDescent="0.45">
      <c r="A20" s="48" t="s">
        <v>22</v>
      </c>
      <c r="B20" s="48"/>
      <c r="C20">
        <f>SUM(C17:C19)</f>
        <v>48.34</v>
      </c>
      <c r="D20" s="23">
        <f>SUM(D16:D19)</f>
        <v>1023.9999999999999</v>
      </c>
      <c r="E20">
        <f>SUM(E17:E19)</f>
        <v>22.948999999999998</v>
      </c>
      <c r="F20" s="23">
        <f>SUM(F16:F19)</f>
        <v>1024</v>
      </c>
      <c r="G20">
        <f>SUM(G17:G19)</f>
        <v>55.371000000000002</v>
      </c>
      <c r="H20" s="23">
        <f>SUM(H16:H19)</f>
        <v>1023.9999999999999</v>
      </c>
      <c r="I20">
        <f>SUM(I17:I19)</f>
        <v>25.781999999999996</v>
      </c>
      <c r="J20" s="23">
        <f>SUM(J16:J19)</f>
        <v>1024.0102399999998</v>
      </c>
      <c r="K20">
        <f>SUM(K17:K19)</f>
        <v>26.268999999999998</v>
      </c>
      <c r="L20" s="23">
        <f>SUM(L16:L19)</f>
        <v>1023.98976</v>
      </c>
      <c r="M20">
        <f>SUM(M17:M19)</f>
        <v>31.933999999999997</v>
      </c>
      <c r="N20" s="23">
        <f>SUM(N16:N19)</f>
        <v>1024</v>
      </c>
      <c r="O20">
        <f>SUM(O17:O19)</f>
        <v>32.519999999999996</v>
      </c>
      <c r="P20" s="23">
        <f>SUM(P16:P19)</f>
        <v>1024</v>
      </c>
      <c r="Q20">
        <f>SUM(Q17:Q19)</f>
        <v>24.609000000000002</v>
      </c>
      <c r="R20" s="23">
        <f>SUM(R16:R19)</f>
        <v>1024.0000000000002</v>
      </c>
      <c r="S20">
        <f>(C20+E20+G20+I20+K20+M20+O20+Q20)/8</f>
        <v>33.47175</v>
      </c>
    </row>
    <row r="21" spans="1:19" x14ac:dyDescent="0.45">
      <c r="C21">
        <v>7</v>
      </c>
      <c r="E21">
        <v>1</v>
      </c>
      <c r="G21">
        <v>8</v>
      </c>
      <c r="I21">
        <v>3</v>
      </c>
      <c r="K21">
        <v>4</v>
      </c>
      <c r="M21">
        <v>5</v>
      </c>
      <c r="O21">
        <v>6</v>
      </c>
      <c r="Q21">
        <v>2</v>
      </c>
    </row>
    <row r="23" spans="1:19" x14ac:dyDescent="0.45">
      <c r="A23" t="s">
        <v>327</v>
      </c>
    </row>
    <row r="24" spans="1:19" x14ac:dyDescent="0.45">
      <c r="A24" s="47" t="s">
        <v>0</v>
      </c>
      <c r="B24" s="47"/>
      <c r="C24" s="49" t="s">
        <v>73</v>
      </c>
      <c r="D24" s="49"/>
      <c r="E24" s="49" t="s">
        <v>293</v>
      </c>
      <c r="F24" s="49"/>
      <c r="G24" s="49" t="s">
        <v>245</v>
      </c>
      <c r="H24" s="49"/>
      <c r="I24" s="49" t="s">
        <v>213</v>
      </c>
      <c r="J24" s="49"/>
      <c r="K24" s="49" t="s">
        <v>58</v>
      </c>
      <c r="L24" s="49"/>
      <c r="M24" s="49" t="s">
        <v>7</v>
      </c>
      <c r="N24" s="49"/>
      <c r="O24" s="49" t="s">
        <v>60</v>
      </c>
      <c r="P24" s="49"/>
      <c r="Q24" s="49" t="s">
        <v>59</v>
      </c>
      <c r="R24" s="49"/>
    </row>
    <row r="25" spans="1:19" hidden="1" x14ac:dyDescent="0.45">
      <c r="A25" s="47" t="s">
        <v>10</v>
      </c>
      <c r="B25" s="47"/>
    </row>
    <row r="26" spans="1:19" hidden="1" x14ac:dyDescent="0.45">
      <c r="A26" s="47" t="s">
        <v>1</v>
      </c>
      <c r="B26" s="47"/>
    </row>
    <row r="27" spans="1:19" hidden="1" x14ac:dyDescent="0.45">
      <c r="A27" s="47" t="s">
        <v>13</v>
      </c>
      <c r="B27" s="17" t="s">
        <v>12</v>
      </c>
    </row>
    <row r="28" spans="1:19" hidden="1" x14ac:dyDescent="0.45">
      <c r="A28" s="47"/>
      <c r="B28" s="17" t="s">
        <v>14</v>
      </c>
    </row>
    <row r="29" spans="1:19" hidden="1" x14ac:dyDescent="0.45">
      <c r="A29" s="47"/>
      <c r="B29" s="3" t="s">
        <v>15</v>
      </c>
    </row>
    <row r="30" spans="1:19" hidden="1" x14ac:dyDescent="0.45">
      <c r="A30" s="47" t="s">
        <v>11</v>
      </c>
      <c r="B30" s="47"/>
    </row>
    <row r="31" spans="1:19" hidden="1" x14ac:dyDescent="0.45">
      <c r="A31" s="47" t="s">
        <v>42</v>
      </c>
      <c r="B31" s="2" t="s">
        <v>2</v>
      </c>
    </row>
    <row r="32" spans="1:19" hidden="1" x14ac:dyDescent="0.45">
      <c r="A32" s="47"/>
      <c r="B32" s="2" t="s">
        <v>3</v>
      </c>
    </row>
    <row r="33" spans="1:19" hidden="1" x14ac:dyDescent="0.45">
      <c r="A33" s="47"/>
      <c r="B33" s="2" t="s">
        <v>4</v>
      </c>
    </row>
    <row r="34" spans="1:19" hidden="1" x14ac:dyDescent="0.45">
      <c r="A34" s="47"/>
      <c r="B34" s="2" t="s">
        <v>5</v>
      </c>
    </row>
    <row r="35" spans="1:19" x14ac:dyDescent="0.45">
      <c r="A35" s="8"/>
      <c r="B35" s="2" t="s">
        <v>6</v>
      </c>
      <c r="C35" s="50" t="s">
        <v>329</v>
      </c>
      <c r="D35" s="50"/>
      <c r="E35" s="50" t="s">
        <v>328</v>
      </c>
      <c r="F35" s="50"/>
      <c r="G35" s="50" t="s">
        <v>330</v>
      </c>
      <c r="H35" s="50"/>
      <c r="I35" s="50" t="s">
        <v>332</v>
      </c>
      <c r="J35" s="50"/>
      <c r="K35" s="50" t="s">
        <v>331</v>
      </c>
      <c r="L35" s="50"/>
      <c r="M35" s="50" t="s">
        <v>333</v>
      </c>
      <c r="N35" s="50"/>
      <c r="O35" s="50" t="s">
        <v>334</v>
      </c>
      <c r="P35" s="50"/>
      <c r="Q35" s="50" t="s">
        <v>335</v>
      </c>
      <c r="R35" s="50"/>
    </row>
    <row r="36" spans="1:19" x14ac:dyDescent="0.45">
      <c r="A36" s="47" t="s">
        <v>17</v>
      </c>
      <c r="B36" s="6" t="s">
        <v>314</v>
      </c>
      <c r="C36">
        <v>59.863</v>
      </c>
      <c r="D36" s="23">
        <f>1024*C36/100</f>
        <v>612.99712</v>
      </c>
      <c r="E36">
        <v>67.578000000000003</v>
      </c>
      <c r="F36" s="23">
        <f>1024*E36/100</f>
        <v>691.99872000000005</v>
      </c>
      <c r="G36">
        <v>51.465000000000003</v>
      </c>
      <c r="H36" s="20">
        <f>1024*G36/100</f>
        <v>527.00160000000005</v>
      </c>
      <c r="I36">
        <v>51.563000000000002</v>
      </c>
      <c r="J36" s="23">
        <f>1024*I36/100</f>
        <v>528.00512000000003</v>
      </c>
      <c r="K36">
        <v>77.245999999999995</v>
      </c>
      <c r="L36" s="23">
        <f>1024*K36/100</f>
        <v>790.99903999999992</v>
      </c>
      <c r="M36">
        <v>63.866999999999997</v>
      </c>
      <c r="N36" s="23">
        <f>1024*M36/100</f>
        <v>653.99807999999996</v>
      </c>
      <c r="O36">
        <v>69.629000000000005</v>
      </c>
      <c r="P36" s="23">
        <f>1024*O36/100</f>
        <v>713.00096000000008</v>
      </c>
      <c r="Q36">
        <v>77.831999999999994</v>
      </c>
      <c r="R36" s="23">
        <f>1024*Q36/100</f>
        <v>796.9996799999999</v>
      </c>
    </row>
    <row r="37" spans="1:19" x14ac:dyDescent="0.45">
      <c r="A37" s="47"/>
      <c r="B37" s="6" t="s">
        <v>315</v>
      </c>
      <c r="C37">
        <v>9.8629999999999995</v>
      </c>
      <c r="D37" s="23">
        <f>1024*C37/100</f>
        <v>100.99712</v>
      </c>
      <c r="E37">
        <v>10.645</v>
      </c>
      <c r="F37" s="23">
        <f>1024*E37/100</f>
        <v>109.00479999999999</v>
      </c>
      <c r="G37">
        <v>15.332000000000001</v>
      </c>
      <c r="H37" s="20">
        <f>1024*G37/100</f>
        <v>156.99968000000001</v>
      </c>
      <c r="I37">
        <v>15.43</v>
      </c>
      <c r="J37" s="23">
        <f>1024*I37/100</f>
        <v>158.00319999999999</v>
      </c>
      <c r="K37">
        <v>4.7850000000000001</v>
      </c>
      <c r="L37" s="23">
        <f>1024*K37/100</f>
        <v>48.998400000000004</v>
      </c>
      <c r="M37">
        <v>9.57</v>
      </c>
      <c r="N37" s="23">
        <f>1024*M37/100</f>
        <v>97.996800000000007</v>
      </c>
      <c r="O37">
        <v>13.77</v>
      </c>
      <c r="P37" s="23">
        <f>1024*O37/100</f>
        <v>141.00479999999999</v>
      </c>
      <c r="Q37">
        <v>7.617</v>
      </c>
      <c r="R37" s="23">
        <f>1024*Q37/100</f>
        <v>77.998080000000002</v>
      </c>
    </row>
    <row r="38" spans="1:19" x14ac:dyDescent="0.45">
      <c r="A38" s="47"/>
      <c r="B38" s="6" t="s">
        <v>316</v>
      </c>
      <c r="C38">
        <v>13.477</v>
      </c>
      <c r="D38" s="23">
        <f>1024*C38/100</f>
        <v>138.00448</v>
      </c>
      <c r="E38">
        <v>11.914</v>
      </c>
      <c r="F38" s="23">
        <f>1024*E38/100</f>
        <v>121.99936</v>
      </c>
      <c r="G38">
        <v>17.382999999999999</v>
      </c>
      <c r="H38" s="20">
        <f>1024*G38/100</f>
        <v>178.00191999999998</v>
      </c>
      <c r="I38">
        <v>14.941000000000001</v>
      </c>
      <c r="J38" s="23">
        <f>1024*I38/100</f>
        <v>152.99584000000002</v>
      </c>
      <c r="K38">
        <v>10.84</v>
      </c>
      <c r="L38" s="23">
        <f>1024*K38/100</f>
        <v>111.0016</v>
      </c>
      <c r="M38">
        <v>15.234</v>
      </c>
      <c r="N38" s="23">
        <f>1024*M38/100</f>
        <v>155.99616</v>
      </c>
      <c r="O38">
        <v>8.3979999999999997</v>
      </c>
      <c r="P38" s="23">
        <f>1024*O38/100</f>
        <v>85.995519999999999</v>
      </c>
      <c r="Q38">
        <v>8.3010000000000002</v>
      </c>
      <c r="R38" s="23">
        <f>1024*Q38/100</f>
        <v>85.00224</v>
      </c>
    </row>
    <row r="39" spans="1:19" x14ac:dyDescent="0.45">
      <c r="A39" s="47"/>
      <c r="B39" s="6" t="s">
        <v>317</v>
      </c>
      <c r="C39">
        <v>16.797000000000001</v>
      </c>
      <c r="D39" s="23">
        <f>1024*C39/100</f>
        <v>172.00128000000001</v>
      </c>
      <c r="E39">
        <v>9.8629999999999995</v>
      </c>
      <c r="F39" s="23">
        <f>1024*E39/100</f>
        <v>100.99712</v>
      </c>
      <c r="G39">
        <v>15.82</v>
      </c>
      <c r="H39" s="20">
        <f>1024*G39/100</f>
        <v>161.99680000000001</v>
      </c>
      <c r="I39">
        <v>18.065999999999999</v>
      </c>
      <c r="J39" s="23">
        <f>1024*I39/100</f>
        <v>184.99583999999999</v>
      </c>
      <c r="K39">
        <v>7.1289999999999996</v>
      </c>
      <c r="L39" s="23">
        <f>1024*K39/100</f>
        <v>73.000959999999992</v>
      </c>
      <c r="M39">
        <v>11.327999999999999</v>
      </c>
      <c r="N39" s="23">
        <f>1024*M39/100</f>
        <v>115.99871999999999</v>
      </c>
      <c r="O39">
        <v>8.2029999999999994</v>
      </c>
      <c r="P39" s="23">
        <f>1024*O39/100</f>
        <v>83.998719999999992</v>
      </c>
      <c r="Q39">
        <v>6.25</v>
      </c>
      <c r="R39" s="23">
        <f>1024*Q39/100</f>
        <v>64</v>
      </c>
    </row>
    <row r="40" spans="1:19" x14ac:dyDescent="0.45">
      <c r="A40" s="48" t="s">
        <v>22</v>
      </c>
      <c r="B40" s="48"/>
      <c r="C40">
        <f>SUM(C37:C39)</f>
        <v>40.137</v>
      </c>
      <c r="D40" s="23">
        <f>SUM(D36:D39)</f>
        <v>1024</v>
      </c>
      <c r="E40">
        <f>SUM(E37:E39)</f>
        <v>32.421999999999997</v>
      </c>
      <c r="F40" s="23">
        <f>SUM(F36:F39)</f>
        <v>1024</v>
      </c>
      <c r="G40">
        <f>SUM(G37:G39)</f>
        <v>48.535000000000004</v>
      </c>
      <c r="H40" s="23">
        <f>SUM(H36:H39)</f>
        <v>1024</v>
      </c>
      <c r="I40">
        <f>SUM(I37:I39)</f>
        <v>48.436999999999998</v>
      </c>
      <c r="J40" s="23">
        <f>SUM(J36:J39)</f>
        <v>1024</v>
      </c>
      <c r="K40">
        <f>SUM(K37:K39)</f>
        <v>22.753999999999998</v>
      </c>
      <c r="L40" s="23">
        <f>SUM(L36:L39)</f>
        <v>1023.9999999999999</v>
      </c>
      <c r="M40">
        <f>SUM(M37:M39)</f>
        <v>36.132000000000005</v>
      </c>
      <c r="N40" s="23">
        <f>SUM(N36:N39)</f>
        <v>1023.9897599999999</v>
      </c>
      <c r="O40">
        <f>SUM(O37:O39)</f>
        <v>30.370999999999999</v>
      </c>
      <c r="P40" s="23">
        <f>SUM(P36:P39)</f>
        <v>1024</v>
      </c>
      <c r="Q40">
        <f>SUM(Q37:Q39)</f>
        <v>22.167999999999999</v>
      </c>
      <c r="R40" s="23">
        <f>SUM(R36:R39)</f>
        <v>1023.9999999999999</v>
      </c>
      <c r="S40">
        <f>(C40+E40+G40+I40+K40+M40+O40+Q40)/8</f>
        <v>35.119500000000002</v>
      </c>
    </row>
  </sheetData>
  <mergeCells count="48">
    <mergeCell ref="A36:A39"/>
    <mergeCell ref="A40:B40"/>
    <mergeCell ref="C35:D35"/>
    <mergeCell ref="C15:D15"/>
    <mergeCell ref="G35:H35"/>
    <mergeCell ref="A25:B25"/>
    <mergeCell ref="A26:B26"/>
    <mergeCell ref="A27:A29"/>
    <mergeCell ref="A30:B30"/>
    <mergeCell ref="A31:A34"/>
    <mergeCell ref="E35:F35"/>
    <mergeCell ref="I35:J35"/>
    <mergeCell ref="K35:L35"/>
    <mergeCell ref="M35:N35"/>
    <mergeCell ref="O35:P35"/>
    <mergeCell ref="Q35:R35"/>
    <mergeCell ref="K24:L24"/>
    <mergeCell ref="M24:N24"/>
    <mergeCell ref="O24:P24"/>
    <mergeCell ref="Q24:R24"/>
    <mergeCell ref="A16:A19"/>
    <mergeCell ref="A20:B20"/>
    <mergeCell ref="A24:B24"/>
    <mergeCell ref="C24:D24"/>
    <mergeCell ref="E24:F24"/>
    <mergeCell ref="G24:H24"/>
    <mergeCell ref="I24:J24"/>
    <mergeCell ref="K4:L4"/>
    <mergeCell ref="M4:N4"/>
    <mergeCell ref="O4:P4"/>
    <mergeCell ref="Q4:R4"/>
    <mergeCell ref="E15:F15"/>
    <mergeCell ref="G15:H15"/>
    <mergeCell ref="I15:J15"/>
    <mergeCell ref="K15:L15"/>
    <mergeCell ref="M15:N15"/>
    <mergeCell ref="O15:P15"/>
    <mergeCell ref="Q15:R15"/>
    <mergeCell ref="C4:D4"/>
    <mergeCell ref="E4:F4"/>
    <mergeCell ref="G4:H4"/>
    <mergeCell ref="I4:J4"/>
    <mergeCell ref="A4:B4"/>
    <mergeCell ref="A5:B5"/>
    <mergeCell ref="A6:B6"/>
    <mergeCell ref="A7:A9"/>
    <mergeCell ref="A10:B10"/>
    <mergeCell ref="A11:A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0BF0-E8BD-4AFF-8D34-BE425F437409}">
  <dimension ref="A1:AJ183"/>
  <sheetViews>
    <sheetView zoomScale="108" zoomScaleNormal="85" workbookViewId="0">
      <selection activeCell="C24" sqref="C24"/>
    </sheetView>
  </sheetViews>
  <sheetFormatPr defaultRowHeight="14.25" x14ac:dyDescent="0.45"/>
  <cols>
    <col min="1" max="1" width="7" customWidth="1"/>
    <col min="2" max="2" width="9.265625" customWidth="1"/>
    <col min="3" max="5" width="14.59765625" customWidth="1"/>
    <col min="6" max="32" width="14.86328125" customWidth="1"/>
  </cols>
  <sheetData>
    <row r="1" spans="1:32" x14ac:dyDescent="0.45">
      <c r="A1" s="49" t="s">
        <v>344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3" spans="1:32" x14ac:dyDescent="0.45">
      <c r="A3" s="47" t="s">
        <v>0</v>
      </c>
      <c r="B3" s="47"/>
      <c r="C3" s="12" t="s">
        <v>7</v>
      </c>
      <c r="D3" s="12" t="s">
        <v>7</v>
      </c>
      <c r="E3" s="12" t="s">
        <v>7</v>
      </c>
      <c r="F3" s="9" t="s">
        <v>7</v>
      </c>
      <c r="G3" s="9" t="s">
        <v>7</v>
      </c>
      <c r="H3" s="9" t="s">
        <v>7</v>
      </c>
      <c r="I3" s="12" t="s">
        <v>7</v>
      </c>
      <c r="J3" s="12" t="s">
        <v>7</v>
      </c>
      <c r="K3" s="12" t="s">
        <v>7</v>
      </c>
      <c r="L3" s="9" t="s">
        <v>7</v>
      </c>
      <c r="M3" s="9" t="s">
        <v>7</v>
      </c>
      <c r="N3" s="9" t="s">
        <v>7</v>
      </c>
      <c r="O3" s="12" t="s">
        <v>7</v>
      </c>
      <c r="P3" s="12" t="s">
        <v>7</v>
      </c>
      <c r="Q3" s="12" t="s">
        <v>7</v>
      </c>
      <c r="R3" s="9" t="s">
        <v>7</v>
      </c>
      <c r="S3" s="9" t="s">
        <v>7</v>
      </c>
      <c r="T3" s="9" t="s">
        <v>7</v>
      </c>
      <c r="U3" s="12" t="s">
        <v>7</v>
      </c>
      <c r="V3" s="12" t="s">
        <v>7</v>
      </c>
      <c r="W3" s="12" t="s">
        <v>7</v>
      </c>
      <c r="X3" s="9" t="s">
        <v>7</v>
      </c>
      <c r="Y3" s="9" t="s">
        <v>7</v>
      </c>
      <c r="Z3" s="9" t="s">
        <v>7</v>
      </c>
      <c r="AA3" s="12" t="s">
        <v>7</v>
      </c>
      <c r="AB3" s="12" t="s">
        <v>7</v>
      </c>
      <c r="AC3" s="12" t="s">
        <v>7</v>
      </c>
      <c r="AD3" s="9" t="s">
        <v>7</v>
      </c>
      <c r="AE3" s="9" t="s">
        <v>7</v>
      </c>
      <c r="AF3" s="9" t="s">
        <v>7</v>
      </c>
    </row>
    <row r="4" spans="1:32" x14ac:dyDescent="0.45">
      <c r="A4" s="47" t="s">
        <v>10</v>
      </c>
      <c r="B4" s="47"/>
      <c r="C4" s="13" t="s">
        <v>16</v>
      </c>
      <c r="D4" s="13" t="s">
        <v>16</v>
      </c>
      <c r="E4" s="13" t="s">
        <v>16</v>
      </c>
      <c r="F4" s="10" t="s">
        <v>16</v>
      </c>
      <c r="G4" s="10" t="s">
        <v>16</v>
      </c>
      <c r="H4" s="10" t="s">
        <v>16</v>
      </c>
      <c r="I4" s="13" t="s">
        <v>16</v>
      </c>
      <c r="J4" s="13" t="s">
        <v>16</v>
      </c>
      <c r="K4" s="13" t="s">
        <v>16</v>
      </c>
      <c r="L4" s="10" t="s">
        <v>16</v>
      </c>
      <c r="M4" s="10" t="s">
        <v>16</v>
      </c>
      <c r="N4" s="10" t="s">
        <v>16</v>
      </c>
      <c r="O4" s="13" t="s">
        <v>16</v>
      </c>
      <c r="P4" s="13" t="s">
        <v>16</v>
      </c>
      <c r="Q4" s="13" t="s">
        <v>16</v>
      </c>
      <c r="R4" s="10" t="s">
        <v>16</v>
      </c>
      <c r="S4" s="10" t="s">
        <v>16</v>
      </c>
      <c r="T4" s="10" t="s">
        <v>16</v>
      </c>
      <c r="U4" s="13" t="s">
        <v>16</v>
      </c>
      <c r="V4" s="13" t="s">
        <v>16</v>
      </c>
      <c r="W4" s="13" t="s">
        <v>16</v>
      </c>
      <c r="X4" s="10" t="s">
        <v>16</v>
      </c>
      <c r="Y4" s="10" t="s">
        <v>16</v>
      </c>
      <c r="Z4" s="10" t="s">
        <v>16</v>
      </c>
      <c r="AA4" s="13" t="s">
        <v>16</v>
      </c>
      <c r="AB4" s="13" t="s">
        <v>16</v>
      </c>
      <c r="AC4" s="13" t="s">
        <v>16</v>
      </c>
      <c r="AD4" s="10" t="s">
        <v>16</v>
      </c>
      <c r="AE4" s="10" t="s">
        <v>16</v>
      </c>
      <c r="AF4" s="10" t="s">
        <v>16</v>
      </c>
    </row>
    <row r="5" spans="1:32" x14ac:dyDescent="0.45">
      <c r="A5" s="47" t="s">
        <v>1</v>
      </c>
      <c r="B5" s="47"/>
      <c r="C5" s="12" t="s">
        <v>8</v>
      </c>
      <c r="D5" s="12" t="s">
        <v>8</v>
      </c>
      <c r="E5" s="12" t="s">
        <v>8</v>
      </c>
      <c r="F5" s="9" t="s">
        <v>8</v>
      </c>
      <c r="G5" s="9" t="s">
        <v>8</v>
      </c>
      <c r="H5" s="9" t="s">
        <v>8</v>
      </c>
      <c r="I5" s="12" t="s">
        <v>27</v>
      </c>
      <c r="J5" s="12" t="s">
        <v>27</v>
      </c>
      <c r="K5" s="12" t="s">
        <v>27</v>
      </c>
      <c r="L5" s="9" t="s">
        <v>27</v>
      </c>
      <c r="M5" s="9" t="s">
        <v>27</v>
      </c>
      <c r="N5" s="9" t="s">
        <v>27</v>
      </c>
      <c r="O5" s="12" t="s">
        <v>28</v>
      </c>
      <c r="P5" s="12" t="s">
        <v>28</v>
      </c>
      <c r="Q5" s="12" t="s">
        <v>28</v>
      </c>
      <c r="R5" s="9" t="s">
        <v>28</v>
      </c>
      <c r="S5" s="9" t="s">
        <v>28</v>
      </c>
      <c r="T5" s="9" t="s">
        <v>28</v>
      </c>
      <c r="U5" s="12" t="s">
        <v>29</v>
      </c>
      <c r="V5" s="12" t="s">
        <v>29</v>
      </c>
      <c r="W5" s="12" t="s">
        <v>29</v>
      </c>
      <c r="X5" s="9" t="s">
        <v>29</v>
      </c>
      <c r="Y5" s="9" t="s">
        <v>29</v>
      </c>
      <c r="Z5" s="9" t="s">
        <v>29</v>
      </c>
      <c r="AA5" s="12" t="s">
        <v>30</v>
      </c>
      <c r="AB5" s="12" t="s">
        <v>30</v>
      </c>
      <c r="AC5" s="12" t="s">
        <v>30</v>
      </c>
      <c r="AD5" s="9" t="s">
        <v>30</v>
      </c>
      <c r="AE5" s="9" t="s">
        <v>30</v>
      </c>
      <c r="AF5" s="9" t="s">
        <v>30</v>
      </c>
    </row>
    <row r="6" spans="1:32" x14ac:dyDescent="0.45">
      <c r="A6" s="47" t="s">
        <v>13</v>
      </c>
      <c r="B6" s="4" t="s">
        <v>12</v>
      </c>
      <c r="C6" s="12" t="s">
        <v>21</v>
      </c>
      <c r="D6" s="12" t="s">
        <v>21</v>
      </c>
      <c r="E6" s="12" t="s">
        <v>21</v>
      </c>
      <c r="F6" s="9" t="s">
        <v>26</v>
      </c>
      <c r="G6" s="9" t="s">
        <v>26</v>
      </c>
      <c r="H6" s="9" t="s">
        <v>26</v>
      </c>
      <c r="I6" s="12" t="s">
        <v>21</v>
      </c>
      <c r="J6" s="12" t="s">
        <v>21</v>
      </c>
      <c r="K6" s="12" t="s">
        <v>21</v>
      </c>
      <c r="L6" s="9" t="s">
        <v>26</v>
      </c>
      <c r="M6" s="9" t="s">
        <v>26</v>
      </c>
      <c r="N6" s="9" t="s">
        <v>26</v>
      </c>
      <c r="O6" s="12" t="s">
        <v>21</v>
      </c>
      <c r="P6" s="12" t="s">
        <v>21</v>
      </c>
      <c r="Q6" s="12" t="s">
        <v>21</v>
      </c>
      <c r="R6" s="9" t="s">
        <v>26</v>
      </c>
      <c r="S6" s="9" t="s">
        <v>26</v>
      </c>
      <c r="T6" s="9" t="s">
        <v>26</v>
      </c>
      <c r="U6" s="12" t="s">
        <v>21</v>
      </c>
      <c r="V6" s="12" t="s">
        <v>21</v>
      </c>
      <c r="W6" s="12" t="s">
        <v>21</v>
      </c>
      <c r="X6" s="9" t="s">
        <v>26</v>
      </c>
      <c r="Y6" s="9" t="s">
        <v>26</v>
      </c>
      <c r="Z6" s="9" t="s">
        <v>26</v>
      </c>
      <c r="AA6" s="12" t="s">
        <v>21</v>
      </c>
      <c r="AB6" s="12" t="s">
        <v>21</v>
      </c>
      <c r="AC6" s="12" t="s">
        <v>21</v>
      </c>
      <c r="AD6" s="9" t="s">
        <v>26</v>
      </c>
      <c r="AE6" s="9" t="s">
        <v>26</v>
      </c>
      <c r="AF6" s="9" t="s">
        <v>26</v>
      </c>
    </row>
    <row r="7" spans="1:32" x14ac:dyDescent="0.45">
      <c r="A7" s="47"/>
      <c r="B7" s="4" t="s">
        <v>14</v>
      </c>
      <c r="C7" s="12">
        <v>24</v>
      </c>
      <c r="D7" s="12">
        <v>24</v>
      </c>
      <c r="E7" s="12">
        <v>24</v>
      </c>
      <c r="F7" s="9">
        <v>28</v>
      </c>
      <c r="G7" s="9">
        <v>28</v>
      </c>
      <c r="H7" s="9">
        <v>28</v>
      </c>
      <c r="I7" s="12">
        <v>24</v>
      </c>
      <c r="J7" s="12">
        <v>24</v>
      </c>
      <c r="K7" s="12">
        <v>24</v>
      </c>
      <c r="L7" s="9">
        <v>28</v>
      </c>
      <c r="M7" s="9">
        <v>28</v>
      </c>
      <c r="N7" s="9">
        <v>28</v>
      </c>
      <c r="O7" s="12">
        <v>24</v>
      </c>
      <c r="P7" s="12">
        <v>24</v>
      </c>
      <c r="Q7" s="12">
        <v>24</v>
      </c>
      <c r="R7" s="9">
        <v>28</v>
      </c>
      <c r="S7" s="9">
        <v>28</v>
      </c>
      <c r="T7" s="9">
        <v>28</v>
      </c>
      <c r="U7" s="12">
        <v>24</v>
      </c>
      <c r="V7" s="12">
        <v>24</v>
      </c>
      <c r="W7" s="12">
        <v>24</v>
      </c>
      <c r="X7" s="9">
        <v>28</v>
      </c>
      <c r="Y7" s="9">
        <v>28</v>
      </c>
      <c r="Z7" s="9">
        <v>28</v>
      </c>
      <c r="AA7" s="12">
        <v>24</v>
      </c>
      <c r="AB7" s="12">
        <v>24</v>
      </c>
      <c r="AC7" s="12">
        <v>24</v>
      </c>
      <c r="AD7" s="9">
        <v>28</v>
      </c>
      <c r="AE7" s="9">
        <v>28</v>
      </c>
      <c r="AF7" s="9">
        <v>28</v>
      </c>
    </row>
    <row r="8" spans="1:32" x14ac:dyDescent="0.45">
      <c r="A8" s="47"/>
      <c r="B8" s="3" t="s">
        <v>15</v>
      </c>
      <c r="C8" s="12">
        <v>32</v>
      </c>
      <c r="D8" s="12">
        <v>32</v>
      </c>
      <c r="E8" s="12">
        <v>32</v>
      </c>
      <c r="F8" s="9">
        <v>42</v>
      </c>
      <c r="G8" s="9">
        <v>42</v>
      </c>
      <c r="H8" s="9">
        <v>42</v>
      </c>
      <c r="I8" s="12">
        <v>37</v>
      </c>
      <c r="J8" s="12">
        <v>37</v>
      </c>
      <c r="K8" s="12">
        <v>37</v>
      </c>
      <c r="L8" s="9">
        <v>47</v>
      </c>
      <c r="M8" s="9">
        <v>47</v>
      </c>
      <c r="N8" s="9">
        <v>47</v>
      </c>
      <c r="O8" s="12">
        <v>37</v>
      </c>
      <c r="P8" s="12">
        <v>37</v>
      </c>
      <c r="Q8" s="12">
        <v>37</v>
      </c>
      <c r="R8" s="9">
        <v>47</v>
      </c>
      <c r="S8" s="9">
        <v>47</v>
      </c>
      <c r="T8" s="9">
        <v>47</v>
      </c>
      <c r="U8" s="12">
        <v>37</v>
      </c>
      <c r="V8" s="12">
        <v>37</v>
      </c>
      <c r="W8" s="12">
        <v>37</v>
      </c>
      <c r="X8" s="9">
        <v>47</v>
      </c>
      <c r="Y8" s="9">
        <v>47</v>
      </c>
      <c r="Z8" s="9">
        <v>47</v>
      </c>
      <c r="AA8" s="12">
        <v>37</v>
      </c>
      <c r="AB8" s="12">
        <v>37</v>
      </c>
      <c r="AC8" s="12">
        <v>37</v>
      </c>
      <c r="AD8" s="9">
        <v>47</v>
      </c>
      <c r="AE8" s="9">
        <v>47</v>
      </c>
      <c r="AF8" s="9">
        <v>47</v>
      </c>
    </row>
    <row r="9" spans="1:32" x14ac:dyDescent="0.45">
      <c r="A9" s="47" t="s">
        <v>11</v>
      </c>
      <c r="B9" s="47"/>
      <c r="C9" s="12">
        <v>8192</v>
      </c>
      <c r="D9" s="12">
        <v>8192</v>
      </c>
      <c r="E9" s="12">
        <v>8192</v>
      </c>
      <c r="F9" s="9">
        <v>8192</v>
      </c>
      <c r="G9" s="9">
        <v>8192</v>
      </c>
      <c r="H9" s="9">
        <v>8192</v>
      </c>
      <c r="I9" s="12">
        <v>8192</v>
      </c>
      <c r="J9" s="12">
        <v>8192</v>
      </c>
      <c r="K9" s="12">
        <v>8192</v>
      </c>
      <c r="L9" s="9">
        <v>8192</v>
      </c>
      <c r="M9" s="9">
        <v>8192</v>
      </c>
      <c r="N9" s="9">
        <v>8192</v>
      </c>
      <c r="O9" s="12">
        <v>8192</v>
      </c>
      <c r="P9" s="12">
        <v>8192</v>
      </c>
      <c r="Q9" s="12">
        <v>8192</v>
      </c>
      <c r="R9" s="9">
        <v>8192</v>
      </c>
      <c r="S9" s="9">
        <v>8192</v>
      </c>
      <c r="T9" s="9">
        <v>8192</v>
      </c>
      <c r="U9" s="12">
        <v>8192</v>
      </c>
      <c r="V9" s="12">
        <v>8192</v>
      </c>
      <c r="W9" s="12">
        <v>8192</v>
      </c>
      <c r="X9" s="9">
        <v>8192</v>
      </c>
      <c r="Y9" s="9">
        <v>8192</v>
      </c>
      <c r="Z9" s="9">
        <v>8192</v>
      </c>
      <c r="AA9" s="12">
        <v>8192</v>
      </c>
      <c r="AB9" s="12">
        <v>8192</v>
      </c>
      <c r="AC9" s="12">
        <v>8192</v>
      </c>
      <c r="AD9" s="9">
        <v>8192</v>
      </c>
      <c r="AE9" s="9">
        <v>8192</v>
      </c>
      <c r="AF9" s="9">
        <v>8192</v>
      </c>
    </row>
    <row r="10" spans="1:32" x14ac:dyDescent="0.45">
      <c r="A10" s="47" t="s">
        <v>42</v>
      </c>
      <c r="B10" s="2" t="s">
        <v>2</v>
      </c>
      <c r="C10" s="12">
        <v>0.95799999999999996</v>
      </c>
      <c r="D10" s="12">
        <v>0.78800000000000003</v>
      </c>
      <c r="E10" s="12">
        <v>0.751</v>
      </c>
      <c r="F10" s="9">
        <v>0.90900000000000003</v>
      </c>
      <c r="G10" s="9">
        <v>0.98199999999999998</v>
      </c>
      <c r="H10" s="9">
        <v>0.89800000000000002</v>
      </c>
      <c r="I10" s="12">
        <v>0.86899999999999999</v>
      </c>
      <c r="J10" s="12">
        <v>0.82799999999999996</v>
      </c>
      <c r="K10" s="12">
        <v>0.81299999999999994</v>
      </c>
      <c r="L10" s="9">
        <v>0.92200000000000004</v>
      </c>
      <c r="M10" s="9">
        <v>0.85</v>
      </c>
      <c r="N10" s="9">
        <v>0.93</v>
      </c>
      <c r="O10" s="12">
        <v>0.90200000000000002</v>
      </c>
      <c r="P10" s="12">
        <v>1.1000000000000001</v>
      </c>
      <c r="Q10" s="12">
        <v>1.1000000000000001</v>
      </c>
      <c r="R10" s="9">
        <v>0.98899999999999999</v>
      </c>
      <c r="S10" s="9">
        <v>0.81699999999999995</v>
      </c>
      <c r="T10" s="9">
        <v>0.92</v>
      </c>
      <c r="U10" s="12">
        <v>1.1000000000000001</v>
      </c>
      <c r="V10" s="12">
        <v>0.85199999999999998</v>
      </c>
      <c r="W10" s="12">
        <v>0.91800000000000004</v>
      </c>
      <c r="X10" s="9">
        <v>0.89700000000000002</v>
      </c>
      <c r="Y10" s="9">
        <v>0.86799999999999999</v>
      </c>
      <c r="Z10" s="9">
        <v>0.90300000000000002</v>
      </c>
      <c r="AA10" s="12">
        <v>0.79</v>
      </c>
      <c r="AB10" s="12">
        <v>1.3</v>
      </c>
      <c r="AC10" s="12">
        <v>1.1000000000000001</v>
      </c>
      <c r="AD10" s="9">
        <v>0.97799999999999998</v>
      </c>
      <c r="AE10" s="9">
        <v>0.93400000000000005</v>
      </c>
      <c r="AF10" s="9">
        <v>0.78100000000000003</v>
      </c>
    </row>
    <row r="11" spans="1:32" x14ac:dyDescent="0.45">
      <c r="A11" s="47"/>
      <c r="B11" s="2" t="s">
        <v>3</v>
      </c>
      <c r="C11" s="12">
        <v>0.28499999999999998</v>
      </c>
      <c r="D11" s="12">
        <v>4.9000000000000004</v>
      </c>
      <c r="E11" s="12">
        <v>6.6</v>
      </c>
      <c r="F11" s="9">
        <v>7</v>
      </c>
      <c r="G11" s="9">
        <v>6.4</v>
      </c>
      <c r="H11" s="9">
        <v>41.4</v>
      </c>
      <c r="I11" s="12">
        <v>4.0999999999999996</v>
      </c>
      <c r="J11" s="12">
        <v>4.7</v>
      </c>
      <c r="K11" s="12">
        <v>6</v>
      </c>
      <c r="L11" s="9">
        <v>2.9</v>
      </c>
      <c r="M11" s="9">
        <v>22.5</v>
      </c>
      <c r="N11" s="9">
        <v>9.4</v>
      </c>
      <c r="O11" s="12">
        <v>4.2</v>
      </c>
      <c r="P11" s="12">
        <v>4.4000000000000004</v>
      </c>
      <c r="Q11" s="12">
        <v>6.3</v>
      </c>
      <c r="R11" s="9">
        <v>2.5</v>
      </c>
      <c r="S11" s="9">
        <v>6.3</v>
      </c>
      <c r="T11" s="9">
        <v>13.4</v>
      </c>
      <c r="U11" s="12">
        <v>12</v>
      </c>
      <c r="V11" s="12">
        <v>13.4</v>
      </c>
      <c r="W11" s="12">
        <v>35.9</v>
      </c>
      <c r="X11" s="9">
        <v>2.1</v>
      </c>
      <c r="Y11" s="9">
        <v>6.2</v>
      </c>
      <c r="Z11" s="9">
        <v>3.7</v>
      </c>
      <c r="AA11" s="12">
        <v>4.0999999999999996</v>
      </c>
      <c r="AB11" s="12">
        <v>4.9000000000000004</v>
      </c>
      <c r="AC11" s="12">
        <v>6.1</v>
      </c>
      <c r="AD11" s="9">
        <v>2.4</v>
      </c>
      <c r="AE11" s="9">
        <v>6.7</v>
      </c>
      <c r="AF11" s="9">
        <v>4.9000000000000004</v>
      </c>
    </row>
    <row r="12" spans="1:32" x14ac:dyDescent="0.45">
      <c r="A12" s="47"/>
      <c r="B12" s="2" t="s">
        <v>4</v>
      </c>
      <c r="C12" s="12">
        <v>23.6</v>
      </c>
      <c r="D12" s="12">
        <v>23.6</v>
      </c>
      <c r="E12" s="12">
        <v>23.4</v>
      </c>
      <c r="F12" s="9">
        <v>23.6</v>
      </c>
      <c r="G12" s="9">
        <v>23.4</v>
      </c>
      <c r="H12" s="9">
        <v>23.5</v>
      </c>
      <c r="I12" s="12">
        <v>23.5</v>
      </c>
      <c r="J12" s="12">
        <v>23.6</v>
      </c>
      <c r="K12" s="12">
        <v>23.4</v>
      </c>
      <c r="L12" s="9">
        <v>23.7</v>
      </c>
      <c r="M12" s="9">
        <v>23.7</v>
      </c>
      <c r="N12" s="9">
        <v>23.5</v>
      </c>
      <c r="O12" s="12">
        <v>23.7</v>
      </c>
      <c r="P12" s="12">
        <v>23.7</v>
      </c>
      <c r="Q12" s="12">
        <v>23.5</v>
      </c>
      <c r="R12" s="9">
        <v>23.6</v>
      </c>
      <c r="S12" s="9">
        <v>23.6</v>
      </c>
      <c r="T12" s="9">
        <v>23.6</v>
      </c>
      <c r="U12" s="12">
        <v>23.8</v>
      </c>
      <c r="V12" s="12">
        <v>23.3</v>
      </c>
      <c r="W12" s="12">
        <v>23.5</v>
      </c>
      <c r="X12" s="9">
        <v>23.5</v>
      </c>
      <c r="Y12" s="9">
        <v>23.7</v>
      </c>
      <c r="Z12" s="9">
        <v>23.7</v>
      </c>
      <c r="AA12" s="12">
        <v>23.6</v>
      </c>
      <c r="AB12" s="12">
        <v>23.7</v>
      </c>
      <c r="AC12" s="12">
        <v>23.6</v>
      </c>
      <c r="AD12" s="9">
        <v>23.8</v>
      </c>
      <c r="AE12" s="9">
        <v>23.4</v>
      </c>
      <c r="AF12" s="9">
        <v>23.5</v>
      </c>
    </row>
    <row r="13" spans="1:32" x14ac:dyDescent="0.45">
      <c r="A13" s="47"/>
      <c r="B13" s="2" t="s">
        <v>5</v>
      </c>
      <c r="C13" s="12">
        <v>28.9</v>
      </c>
      <c r="D13" s="12">
        <v>33.1</v>
      </c>
      <c r="E13" s="12">
        <v>34.700000000000003</v>
      </c>
      <c r="F13" s="9">
        <v>25.7</v>
      </c>
      <c r="G13" s="9">
        <v>34.299999999999997</v>
      </c>
      <c r="H13" s="9">
        <v>69.3</v>
      </c>
      <c r="I13" s="12">
        <v>31.8</v>
      </c>
      <c r="J13" s="12">
        <v>33.299999999999997</v>
      </c>
      <c r="K13" s="12">
        <v>34.9</v>
      </c>
      <c r="L13" s="9">
        <v>31.3</v>
      </c>
      <c r="M13" s="9">
        <v>51</v>
      </c>
      <c r="N13" s="9">
        <v>37.9</v>
      </c>
      <c r="O13" s="12">
        <v>32.799999999999997</v>
      </c>
      <c r="P13" s="12">
        <v>33.6</v>
      </c>
      <c r="Q13" s="12">
        <v>35.299999999999997</v>
      </c>
      <c r="R13" s="9">
        <v>31</v>
      </c>
      <c r="S13" s="9">
        <v>34.299999999999997</v>
      </c>
      <c r="T13" s="9">
        <v>41.8</v>
      </c>
      <c r="U13" s="12">
        <v>40.6</v>
      </c>
      <c r="V13" s="12">
        <v>41.1</v>
      </c>
      <c r="W13" s="12">
        <v>64.400000000000006</v>
      </c>
      <c r="X13" s="9">
        <v>30.2</v>
      </c>
      <c r="Y13" s="9">
        <v>34.6</v>
      </c>
      <c r="Z13" s="9">
        <v>31.9</v>
      </c>
      <c r="AA13" s="12">
        <v>32</v>
      </c>
      <c r="AB13" s="12">
        <v>33.799999999999997</v>
      </c>
      <c r="AC13" s="12">
        <v>34.700000000000003</v>
      </c>
      <c r="AD13" s="9">
        <v>31.8</v>
      </c>
      <c r="AE13" s="9">
        <v>34.700000000000003</v>
      </c>
      <c r="AF13" s="9">
        <v>33</v>
      </c>
    </row>
    <row r="14" spans="1:32" s="7" customFormat="1" x14ac:dyDescent="0.45">
      <c r="A14" s="8"/>
      <c r="B14" s="2" t="s">
        <v>6</v>
      </c>
      <c r="C14" s="15" t="s">
        <v>9</v>
      </c>
      <c r="D14" s="14" t="s">
        <v>23</v>
      </c>
      <c r="E14" s="14" t="s">
        <v>24</v>
      </c>
      <c r="F14" s="11" t="s">
        <v>25</v>
      </c>
      <c r="G14" s="11" t="s">
        <v>31</v>
      </c>
      <c r="H14" s="11" t="s">
        <v>32</v>
      </c>
      <c r="I14" s="14" t="s">
        <v>33</v>
      </c>
      <c r="J14" s="14" t="s">
        <v>34</v>
      </c>
      <c r="K14" s="14" t="s">
        <v>35</v>
      </c>
      <c r="L14" s="11" t="s">
        <v>36</v>
      </c>
      <c r="M14" s="11" t="s">
        <v>37</v>
      </c>
      <c r="N14" s="11" t="s">
        <v>38</v>
      </c>
      <c r="O14" s="14" t="s">
        <v>39</v>
      </c>
      <c r="P14" s="14" t="s">
        <v>40</v>
      </c>
      <c r="Q14" s="14" t="s">
        <v>41</v>
      </c>
      <c r="R14" s="11" t="s">
        <v>43</v>
      </c>
      <c r="S14" s="11" t="s">
        <v>44</v>
      </c>
      <c r="T14" s="11" t="s">
        <v>45</v>
      </c>
      <c r="U14" s="14" t="s">
        <v>46</v>
      </c>
      <c r="V14" s="14" t="s">
        <v>47</v>
      </c>
      <c r="W14" s="14" t="s">
        <v>48</v>
      </c>
      <c r="X14" s="11" t="s">
        <v>49</v>
      </c>
      <c r="Y14" s="11" t="s">
        <v>50</v>
      </c>
      <c r="Z14" s="11" t="s">
        <v>51</v>
      </c>
      <c r="AA14" s="14" t="s">
        <v>52</v>
      </c>
      <c r="AB14" s="14" t="s">
        <v>53</v>
      </c>
      <c r="AC14" s="14" t="s">
        <v>54</v>
      </c>
      <c r="AD14" s="11" t="s">
        <v>55</v>
      </c>
      <c r="AE14" s="11" t="s">
        <v>56</v>
      </c>
      <c r="AF14" s="11" t="s">
        <v>57</v>
      </c>
    </row>
    <row r="15" spans="1:32" x14ac:dyDescent="0.45">
      <c r="A15" s="47" t="s">
        <v>17</v>
      </c>
      <c r="B15" s="6" t="s">
        <v>16</v>
      </c>
      <c r="C15" s="12">
        <v>46.338000000000001</v>
      </c>
      <c r="D15" s="12">
        <v>47.045999999999999</v>
      </c>
      <c r="E15" s="12">
        <v>46.326000000000001</v>
      </c>
      <c r="F15" s="9">
        <v>53.54</v>
      </c>
      <c r="G15" s="9">
        <v>55.518000000000001</v>
      </c>
      <c r="H15" s="9">
        <v>54.26</v>
      </c>
      <c r="I15" s="12">
        <v>42.113999999999997</v>
      </c>
      <c r="J15" s="12">
        <v>40.856999999999999</v>
      </c>
      <c r="K15" s="12">
        <v>40.051000000000002</v>
      </c>
      <c r="L15" s="9">
        <v>43.03</v>
      </c>
      <c r="M15" s="9">
        <v>42.761000000000003</v>
      </c>
      <c r="N15" s="9">
        <v>42.296999999999997</v>
      </c>
      <c r="O15" s="12">
        <v>42.8</v>
      </c>
      <c r="P15" s="12">
        <v>44.787999999999997</v>
      </c>
      <c r="Q15" s="12">
        <v>40.881</v>
      </c>
      <c r="R15" s="9">
        <v>44.860999999999997</v>
      </c>
      <c r="S15" s="9">
        <v>46.509</v>
      </c>
      <c r="T15" s="9">
        <v>42.908000000000001</v>
      </c>
      <c r="U15" s="12">
        <v>43.97</v>
      </c>
      <c r="V15" s="12">
        <v>43.53</v>
      </c>
      <c r="W15" s="12">
        <v>41.381999999999998</v>
      </c>
      <c r="X15" s="9">
        <v>44.225999999999999</v>
      </c>
      <c r="Y15" s="9">
        <v>44.872999999999998</v>
      </c>
      <c r="Z15" s="9">
        <v>44.750999999999998</v>
      </c>
      <c r="AA15" s="12">
        <v>48.021999999999998</v>
      </c>
      <c r="AB15" s="12">
        <v>49.329000000000001</v>
      </c>
      <c r="AC15" s="12">
        <v>46.728999999999999</v>
      </c>
      <c r="AD15" s="9">
        <v>54.639000000000003</v>
      </c>
      <c r="AE15" s="9">
        <v>55.334000000000003</v>
      </c>
      <c r="AF15" s="9">
        <v>55.005000000000003</v>
      </c>
    </row>
    <row r="16" spans="1:32" x14ac:dyDescent="0.45">
      <c r="A16" s="47"/>
      <c r="B16" s="6" t="s">
        <v>18</v>
      </c>
      <c r="C16" s="12">
        <v>26.111000000000001</v>
      </c>
      <c r="D16" s="12">
        <v>25.867000000000001</v>
      </c>
      <c r="E16" s="12">
        <v>26.367000000000001</v>
      </c>
      <c r="F16" s="9">
        <v>21.606000000000002</v>
      </c>
      <c r="G16" s="9">
        <v>22.155999999999999</v>
      </c>
      <c r="H16" s="9">
        <v>21.558</v>
      </c>
      <c r="I16" s="12">
        <v>21.79</v>
      </c>
      <c r="J16" s="12">
        <v>22.742000000000001</v>
      </c>
      <c r="K16" s="12">
        <v>22.241</v>
      </c>
      <c r="L16" s="9">
        <v>22.18</v>
      </c>
      <c r="M16" s="9">
        <v>23.584</v>
      </c>
      <c r="N16" s="9">
        <v>22.986000000000001</v>
      </c>
      <c r="O16" s="12">
        <v>26.88</v>
      </c>
      <c r="P16" s="12">
        <v>26.196000000000002</v>
      </c>
      <c r="Q16" s="12">
        <v>26.940999999999999</v>
      </c>
      <c r="R16" s="9">
        <v>28.491</v>
      </c>
      <c r="S16" s="9">
        <v>28.027000000000001</v>
      </c>
      <c r="T16" s="9">
        <v>28.771999999999998</v>
      </c>
      <c r="U16" s="12">
        <v>24.28</v>
      </c>
      <c r="V16" s="12">
        <v>26.489000000000001</v>
      </c>
      <c r="W16" s="12">
        <v>27.209</v>
      </c>
      <c r="X16" s="9">
        <v>29.015999999999998</v>
      </c>
      <c r="Y16" s="9">
        <v>30.103000000000002</v>
      </c>
      <c r="Z16" s="9">
        <v>29.358000000000001</v>
      </c>
      <c r="AA16" s="12">
        <v>23.596</v>
      </c>
      <c r="AB16" s="12">
        <v>22.484999999999999</v>
      </c>
      <c r="AC16" s="12">
        <v>25.366</v>
      </c>
      <c r="AD16" s="9">
        <v>20.385999999999999</v>
      </c>
      <c r="AE16" s="9">
        <v>21.155000000000001</v>
      </c>
      <c r="AF16" s="9">
        <v>19.702000000000002</v>
      </c>
    </row>
    <row r="17" spans="1:34" x14ac:dyDescent="0.45">
      <c r="A17" s="47"/>
      <c r="B17" s="6" t="s">
        <v>20</v>
      </c>
      <c r="C17" s="12">
        <v>15.271000000000001</v>
      </c>
      <c r="D17" s="12">
        <v>15.234</v>
      </c>
      <c r="E17" s="12">
        <v>15.625</v>
      </c>
      <c r="F17" s="9">
        <v>16.027999999999999</v>
      </c>
      <c r="G17" s="9">
        <v>14.013999999999999</v>
      </c>
      <c r="H17" s="9">
        <v>14.391999999999999</v>
      </c>
      <c r="I17" s="12">
        <v>21.484000000000002</v>
      </c>
      <c r="J17" s="12">
        <v>21.300999999999998</v>
      </c>
      <c r="K17" s="12">
        <v>22.265999999999998</v>
      </c>
      <c r="L17" s="9">
        <v>21.79</v>
      </c>
      <c r="M17" s="9">
        <v>21.972999999999999</v>
      </c>
      <c r="N17" s="9">
        <v>21.667000000000002</v>
      </c>
      <c r="O17" s="12">
        <v>19.091999999999999</v>
      </c>
      <c r="P17" s="12">
        <v>18.213000000000001</v>
      </c>
      <c r="Q17" s="12">
        <v>19.25</v>
      </c>
      <c r="R17" s="9">
        <v>16.405999999999999</v>
      </c>
      <c r="S17" s="9">
        <v>15.795999999999999</v>
      </c>
      <c r="T17" s="9">
        <v>17.346</v>
      </c>
      <c r="U17" s="12">
        <v>20.337</v>
      </c>
      <c r="V17" s="12">
        <v>18.567</v>
      </c>
      <c r="W17" s="12">
        <v>19.152999999999999</v>
      </c>
      <c r="X17" s="9">
        <v>16.858000000000001</v>
      </c>
      <c r="Y17" s="9">
        <v>14.893000000000001</v>
      </c>
      <c r="Z17" s="9">
        <v>15.21</v>
      </c>
      <c r="AA17" s="12">
        <v>16.37</v>
      </c>
      <c r="AB17" s="12">
        <v>16.052</v>
      </c>
      <c r="AC17" s="12">
        <v>15.673999999999999</v>
      </c>
      <c r="AD17" s="9">
        <v>15.967000000000001</v>
      </c>
      <c r="AE17" s="9">
        <v>14.99</v>
      </c>
      <c r="AF17" s="9">
        <v>15.991</v>
      </c>
    </row>
    <row r="18" spans="1:34" x14ac:dyDescent="0.45">
      <c r="A18" s="47"/>
      <c r="B18" s="6" t="s">
        <v>19</v>
      </c>
      <c r="C18" s="12">
        <v>12.28</v>
      </c>
      <c r="D18" s="12">
        <v>11.853</v>
      </c>
      <c r="E18" s="12">
        <v>11.682</v>
      </c>
      <c r="F18" s="9">
        <v>8.8260000000000005</v>
      </c>
      <c r="G18" s="9">
        <v>8.3130000000000006</v>
      </c>
      <c r="H18" s="9">
        <v>9.7899999999999991</v>
      </c>
      <c r="I18" s="12">
        <v>14.612</v>
      </c>
      <c r="J18" s="12">
        <v>15.1</v>
      </c>
      <c r="K18" s="12">
        <v>15.442</v>
      </c>
      <c r="L18" s="9">
        <v>13</v>
      </c>
      <c r="M18" s="9">
        <v>11.682</v>
      </c>
      <c r="N18" s="9">
        <v>13.048999999999999</v>
      </c>
      <c r="O18" s="12">
        <v>11.218</v>
      </c>
      <c r="P18" s="12">
        <v>10.803000000000001</v>
      </c>
      <c r="Q18" s="12">
        <v>12.927</v>
      </c>
      <c r="R18" s="9">
        <v>10.242000000000001</v>
      </c>
      <c r="S18" s="9">
        <v>9.6679999999999993</v>
      </c>
      <c r="T18" s="9">
        <v>10.974</v>
      </c>
      <c r="U18" s="12">
        <v>11.414</v>
      </c>
      <c r="V18" s="12">
        <v>11.414</v>
      </c>
      <c r="W18" s="12">
        <v>12.256</v>
      </c>
      <c r="X18" s="9">
        <v>9.9</v>
      </c>
      <c r="Y18" s="9">
        <v>10.132</v>
      </c>
      <c r="Z18" s="9">
        <v>10.680999999999999</v>
      </c>
      <c r="AA18" s="12">
        <v>12.012</v>
      </c>
      <c r="AB18" s="12">
        <v>12.134</v>
      </c>
      <c r="AC18" s="12">
        <v>12.231</v>
      </c>
      <c r="AD18" s="9">
        <v>9.0090000000000003</v>
      </c>
      <c r="AE18" s="9">
        <v>8.5210000000000008</v>
      </c>
      <c r="AF18" s="9">
        <v>9.3019999999999996</v>
      </c>
      <c r="AG18" t="s">
        <v>336</v>
      </c>
    </row>
    <row r="19" spans="1:34" x14ac:dyDescent="0.45">
      <c r="A19" s="48" t="s">
        <v>22</v>
      </c>
      <c r="B19" s="48"/>
      <c r="C19" s="12">
        <f>SUM(C16:C18)</f>
        <v>53.662000000000006</v>
      </c>
      <c r="D19" s="12">
        <f>SUM(D16:D18)</f>
        <v>52.954000000000001</v>
      </c>
      <c r="E19" s="12">
        <f>SUM(E16:E18)</f>
        <v>53.674000000000007</v>
      </c>
      <c r="F19" s="9">
        <f t="shared" ref="F19:AF19" si="0">SUM(F16:F18)</f>
        <v>46.46</v>
      </c>
      <c r="G19" s="9">
        <f t="shared" si="0"/>
        <v>44.483000000000004</v>
      </c>
      <c r="H19" s="9">
        <f t="shared" si="0"/>
        <v>45.74</v>
      </c>
      <c r="I19" s="12">
        <f t="shared" si="0"/>
        <v>57.886000000000003</v>
      </c>
      <c r="J19" s="12">
        <f t="shared" si="0"/>
        <v>59.143000000000001</v>
      </c>
      <c r="K19" s="12">
        <f>SUM(K16:K18)</f>
        <v>59.948999999999998</v>
      </c>
      <c r="L19" s="9">
        <f t="shared" si="0"/>
        <v>56.97</v>
      </c>
      <c r="M19" s="9">
        <f t="shared" si="0"/>
        <v>57.239000000000004</v>
      </c>
      <c r="N19" s="9">
        <f>SUM(N16:N18)</f>
        <v>57.702000000000005</v>
      </c>
      <c r="O19" s="12">
        <f t="shared" si="0"/>
        <v>57.19</v>
      </c>
      <c r="P19" s="12">
        <f>SUM(P16:P18)</f>
        <v>55.212000000000003</v>
      </c>
      <c r="Q19" s="12">
        <f t="shared" si="0"/>
        <v>59.118000000000002</v>
      </c>
      <c r="R19" s="9">
        <f t="shared" si="0"/>
        <v>55.138999999999996</v>
      </c>
      <c r="S19" s="9">
        <f t="shared" si="0"/>
        <v>53.491</v>
      </c>
      <c r="T19" s="9">
        <f t="shared" si="0"/>
        <v>57.091999999999999</v>
      </c>
      <c r="U19" s="12">
        <f t="shared" si="0"/>
        <v>56.031000000000006</v>
      </c>
      <c r="V19" s="12">
        <f>SUM(V16:V18)</f>
        <v>56.47</v>
      </c>
      <c r="W19" s="12">
        <f t="shared" si="0"/>
        <v>58.617999999999995</v>
      </c>
      <c r="X19" s="9">
        <f t="shared" si="0"/>
        <v>55.773999999999994</v>
      </c>
      <c r="Y19" s="9">
        <f t="shared" si="0"/>
        <v>55.128</v>
      </c>
      <c r="Z19" s="9">
        <f t="shared" si="0"/>
        <v>55.248999999999995</v>
      </c>
      <c r="AA19" s="12">
        <f t="shared" si="0"/>
        <v>51.978000000000002</v>
      </c>
      <c r="AB19" s="12">
        <f t="shared" si="0"/>
        <v>50.670999999999999</v>
      </c>
      <c r="AC19" s="12">
        <f t="shared" si="0"/>
        <v>53.271000000000001</v>
      </c>
      <c r="AD19" s="9">
        <f t="shared" si="0"/>
        <v>45.362000000000002</v>
      </c>
      <c r="AE19" s="9">
        <f>SUM(AE16:AE18)</f>
        <v>44.666000000000004</v>
      </c>
      <c r="AF19" s="9">
        <f t="shared" si="0"/>
        <v>44.994999999999997</v>
      </c>
      <c r="AG19" s="12">
        <f>(SUM(C19:E19)+SUM(I19:K19)+SUM(O19:Q19)+SUM(U19:W19)+SUM(AA19:AC19))/15</f>
        <v>55.721800000000002</v>
      </c>
      <c r="AH19" s="9">
        <f>(SUM(F19:H19)+SUM(L19:N19)+SUM(R19:T19)+SUM(X19:Z19)+SUM(AD19:AF19))/15</f>
        <v>51.699333333333335</v>
      </c>
    </row>
    <row r="23" spans="1:34" x14ac:dyDescent="0.45">
      <c r="A23" s="47" t="s">
        <v>0</v>
      </c>
      <c r="B23" s="47"/>
      <c r="C23" s="12" t="s">
        <v>58</v>
      </c>
      <c r="D23" s="12" t="s">
        <v>58</v>
      </c>
      <c r="E23" s="12" t="s">
        <v>58</v>
      </c>
      <c r="F23" s="9" t="s">
        <v>58</v>
      </c>
      <c r="G23" s="9" t="s">
        <v>58</v>
      </c>
      <c r="H23" s="9" t="s">
        <v>58</v>
      </c>
      <c r="I23" s="12" t="s">
        <v>58</v>
      </c>
      <c r="J23" s="12" t="s">
        <v>58</v>
      </c>
      <c r="K23" s="12" t="s">
        <v>58</v>
      </c>
      <c r="L23" s="9" t="s">
        <v>58</v>
      </c>
      <c r="M23" s="9" t="s">
        <v>58</v>
      </c>
      <c r="N23" s="9" t="s">
        <v>58</v>
      </c>
      <c r="O23" s="12" t="s">
        <v>58</v>
      </c>
      <c r="P23" s="12" t="s">
        <v>58</v>
      </c>
      <c r="Q23" s="12" t="s">
        <v>58</v>
      </c>
      <c r="R23" s="9" t="s">
        <v>58</v>
      </c>
      <c r="S23" s="9" t="s">
        <v>58</v>
      </c>
      <c r="T23" s="9" t="s">
        <v>58</v>
      </c>
      <c r="U23" s="12" t="s">
        <v>58</v>
      </c>
      <c r="V23" s="12" t="s">
        <v>58</v>
      </c>
      <c r="W23" s="12" t="s">
        <v>58</v>
      </c>
      <c r="X23" s="9" t="s">
        <v>58</v>
      </c>
      <c r="Y23" s="9" t="s">
        <v>58</v>
      </c>
      <c r="Z23" s="9" t="s">
        <v>58</v>
      </c>
      <c r="AA23" s="12" t="s">
        <v>58</v>
      </c>
      <c r="AB23" s="12" t="s">
        <v>58</v>
      </c>
      <c r="AC23" s="12" t="s">
        <v>58</v>
      </c>
      <c r="AD23" s="9" t="s">
        <v>58</v>
      </c>
      <c r="AE23" s="9" t="s">
        <v>58</v>
      </c>
      <c r="AF23" s="9" t="s">
        <v>58</v>
      </c>
    </row>
    <row r="24" spans="1:34" x14ac:dyDescent="0.45">
      <c r="A24" s="47" t="s">
        <v>10</v>
      </c>
      <c r="B24" s="47"/>
      <c r="C24" s="13" t="s">
        <v>16</v>
      </c>
      <c r="D24" s="13" t="s">
        <v>16</v>
      </c>
      <c r="E24" s="13" t="s">
        <v>16</v>
      </c>
      <c r="F24" s="10" t="s">
        <v>16</v>
      </c>
      <c r="G24" s="10" t="s">
        <v>16</v>
      </c>
      <c r="H24" s="10" t="s">
        <v>16</v>
      </c>
      <c r="I24" s="13" t="s">
        <v>16</v>
      </c>
      <c r="J24" s="13" t="s">
        <v>16</v>
      </c>
      <c r="K24" s="13" t="s">
        <v>16</v>
      </c>
      <c r="L24" s="10" t="s">
        <v>16</v>
      </c>
      <c r="M24" s="10" t="s">
        <v>16</v>
      </c>
      <c r="N24" s="10" t="s">
        <v>16</v>
      </c>
      <c r="O24" s="13" t="s">
        <v>16</v>
      </c>
      <c r="P24" s="13" t="s">
        <v>16</v>
      </c>
      <c r="Q24" s="13" t="s">
        <v>16</v>
      </c>
      <c r="R24" s="10" t="s">
        <v>16</v>
      </c>
      <c r="S24" s="10" t="s">
        <v>16</v>
      </c>
      <c r="T24" s="10" t="s">
        <v>16</v>
      </c>
      <c r="U24" s="13" t="s">
        <v>16</v>
      </c>
      <c r="V24" s="13" t="s">
        <v>16</v>
      </c>
      <c r="W24" s="13" t="s">
        <v>16</v>
      </c>
      <c r="X24" s="10" t="s">
        <v>16</v>
      </c>
      <c r="Y24" s="10" t="s">
        <v>16</v>
      </c>
      <c r="Z24" s="10" t="s">
        <v>16</v>
      </c>
      <c r="AA24" s="13" t="s">
        <v>16</v>
      </c>
      <c r="AB24" s="13" t="s">
        <v>16</v>
      </c>
      <c r="AC24" s="13" t="s">
        <v>16</v>
      </c>
      <c r="AD24" s="10" t="s">
        <v>16</v>
      </c>
      <c r="AE24" s="10" t="s">
        <v>16</v>
      </c>
      <c r="AF24" s="10" t="s">
        <v>16</v>
      </c>
    </row>
    <row r="25" spans="1:34" x14ac:dyDescent="0.45">
      <c r="A25" s="47" t="s">
        <v>1</v>
      </c>
      <c r="B25" s="47"/>
      <c r="C25" s="12" t="s">
        <v>8</v>
      </c>
      <c r="D25" s="12" t="s">
        <v>8</v>
      </c>
      <c r="E25" s="12" t="s">
        <v>8</v>
      </c>
      <c r="F25" s="9" t="s">
        <v>8</v>
      </c>
      <c r="G25" s="9" t="s">
        <v>8</v>
      </c>
      <c r="H25" s="9" t="s">
        <v>8</v>
      </c>
      <c r="I25" s="12" t="s">
        <v>27</v>
      </c>
      <c r="J25" s="12" t="s">
        <v>27</v>
      </c>
      <c r="K25" s="12" t="s">
        <v>27</v>
      </c>
      <c r="L25" s="9" t="s">
        <v>27</v>
      </c>
      <c r="M25" s="9" t="s">
        <v>27</v>
      </c>
      <c r="N25" s="9" t="s">
        <v>27</v>
      </c>
      <c r="O25" s="12" t="s">
        <v>28</v>
      </c>
      <c r="P25" s="12" t="s">
        <v>28</v>
      </c>
      <c r="Q25" s="12" t="s">
        <v>28</v>
      </c>
      <c r="R25" s="9" t="s">
        <v>28</v>
      </c>
      <c r="S25" s="9" t="s">
        <v>28</v>
      </c>
      <c r="T25" s="9" t="s">
        <v>28</v>
      </c>
      <c r="U25" s="12" t="s">
        <v>29</v>
      </c>
      <c r="V25" s="12" t="s">
        <v>29</v>
      </c>
      <c r="W25" s="12" t="s">
        <v>29</v>
      </c>
      <c r="X25" s="9" t="s">
        <v>29</v>
      </c>
      <c r="Y25" s="9" t="s">
        <v>29</v>
      </c>
      <c r="Z25" s="9" t="s">
        <v>29</v>
      </c>
      <c r="AA25" s="12" t="s">
        <v>30</v>
      </c>
      <c r="AB25" s="12" t="s">
        <v>30</v>
      </c>
      <c r="AC25" s="12" t="s">
        <v>30</v>
      </c>
      <c r="AD25" s="9" t="s">
        <v>30</v>
      </c>
      <c r="AE25" s="9" t="s">
        <v>30</v>
      </c>
      <c r="AF25" s="9" t="s">
        <v>30</v>
      </c>
    </row>
    <row r="26" spans="1:34" x14ac:dyDescent="0.45">
      <c r="A26" s="47" t="s">
        <v>13</v>
      </c>
      <c r="B26" s="4" t="s">
        <v>12</v>
      </c>
      <c r="C26" s="12" t="s">
        <v>21</v>
      </c>
      <c r="D26" s="12" t="s">
        <v>21</v>
      </c>
      <c r="E26" s="12" t="s">
        <v>21</v>
      </c>
      <c r="F26" s="9" t="s">
        <v>26</v>
      </c>
      <c r="G26" s="9" t="s">
        <v>26</v>
      </c>
      <c r="H26" s="9" t="s">
        <v>26</v>
      </c>
      <c r="I26" s="12" t="s">
        <v>21</v>
      </c>
      <c r="J26" s="12" t="s">
        <v>21</v>
      </c>
      <c r="K26" s="12" t="s">
        <v>21</v>
      </c>
      <c r="L26" s="9" t="s">
        <v>26</v>
      </c>
      <c r="M26" s="9" t="s">
        <v>26</v>
      </c>
      <c r="N26" s="9" t="s">
        <v>26</v>
      </c>
      <c r="O26" s="12" t="s">
        <v>21</v>
      </c>
      <c r="P26" s="12" t="s">
        <v>21</v>
      </c>
      <c r="Q26" s="12" t="s">
        <v>21</v>
      </c>
      <c r="R26" s="9" t="s">
        <v>26</v>
      </c>
      <c r="S26" s="9" t="s">
        <v>26</v>
      </c>
      <c r="T26" s="9" t="s">
        <v>26</v>
      </c>
      <c r="U26" s="12" t="s">
        <v>21</v>
      </c>
      <c r="V26" s="12" t="s">
        <v>21</v>
      </c>
      <c r="W26" s="12" t="s">
        <v>21</v>
      </c>
      <c r="X26" s="9" t="s">
        <v>26</v>
      </c>
      <c r="Y26" s="9" t="s">
        <v>26</v>
      </c>
      <c r="Z26" s="9" t="s">
        <v>26</v>
      </c>
      <c r="AA26" s="12" t="s">
        <v>21</v>
      </c>
      <c r="AB26" s="12" t="s">
        <v>21</v>
      </c>
      <c r="AC26" s="12" t="s">
        <v>21</v>
      </c>
      <c r="AD26" s="9" t="s">
        <v>26</v>
      </c>
      <c r="AE26" s="9" t="s">
        <v>26</v>
      </c>
      <c r="AF26" s="9" t="s">
        <v>26</v>
      </c>
    </row>
    <row r="27" spans="1:34" x14ac:dyDescent="0.45">
      <c r="A27" s="47"/>
      <c r="B27" s="4" t="s">
        <v>14</v>
      </c>
      <c r="C27" s="12">
        <v>85</v>
      </c>
      <c r="D27" s="12">
        <v>75</v>
      </c>
      <c r="E27" s="12">
        <v>55</v>
      </c>
      <c r="F27" s="9">
        <v>51</v>
      </c>
      <c r="G27" s="9">
        <v>56</v>
      </c>
      <c r="H27" s="9">
        <v>52</v>
      </c>
      <c r="I27" s="12">
        <v>65</v>
      </c>
      <c r="J27" s="12">
        <v>82</v>
      </c>
      <c r="K27" s="12">
        <v>57</v>
      </c>
      <c r="L27" s="9">
        <v>66</v>
      </c>
      <c r="M27" s="9">
        <v>71</v>
      </c>
      <c r="N27" s="9">
        <v>50</v>
      </c>
      <c r="O27" s="12">
        <v>79</v>
      </c>
      <c r="P27" s="12">
        <v>63</v>
      </c>
      <c r="Q27" s="12">
        <v>57</v>
      </c>
      <c r="R27" s="9">
        <v>70</v>
      </c>
      <c r="S27" s="9">
        <v>75</v>
      </c>
      <c r="T27" s="9">
        <v>59</v>
      </c>
      <c r="U27" s="12">
        <v>46</v>
      </c>
      <c r="V27" s="12">
        <v>76</v>
      </c>
      <c r="W27" s="12">
        <v>77</v>
      </c>
      <c r="X27" s="9">
        <v>50</v>
      </c>
      <c r="Y27" s="9">
        <v>55</v>
      </c>
      <c r="Z27" s="9">
        <v>56</v>
      </c>
      <c r="AA27" s="12">
        <v>76</v>
      </c>
      <c r="AB27" s="12">
        <v>78</v>
      </c>
      <c r="AC27" s="12">
        <v>83</v>
      </c>
      <c r="AD27" s="9">
        <v>74</v>
      </c>
      <c r="AE27" s="9">
        <v>61</v>
      </c>
      <c r="AF27" s="9">
        <v>75</v>
      </c>
    </row>
    <row r="28" spans="1:34" x14ac:dyDescent="0.45">
      <c r="A28" s="47"/>
      <c r="B28" s="3" t="s">
        <v>15</v>
      </c>
      <c r="C28" s="12">
        <v>32</v>
      </c>
      <c r="D28" s="12">
        <v>32</v>
      </c>
      <c r="E28" s="12">
        <v>32</v>
      </c>
      <c r="F28" s="9">
        <v>43</v>
      </c>
      <c r="G28" s="9">
        <v>43</v>
      </c>
      <c r="H28" s="9">
        <v>43</v>
      </c>
      <c r="I28" s="12">
        <v>37</v>
      </c>
      <c r="J28" s="12">
        <v>37</v>
      </c>
      <c r="K28" s="12">
        <v>37</v>
      </c>
      <c r="L28" s="9">
        <v>47</v>
      </c>
      <c r="M28" s="9">
        <v>47</v>
      </c>
      <c r="N28" s="9">
        <v>48</v>
      </c>
      <c r="O28" s="12">
        <v>37</v>
      </c>
      <c r="P28" s="12">
        <v>37</v>
      </c>
      <c r="Q28" s="12">
        <v>37</v>
      </c>
      <c r="R28" s="9">
        <v>47</v>
      </c>
      <c r="S28" s="9">
        <v>48</v>
      </c>
      <c r="T28" s="9">
        <v>47</v>
      </c>
      <c r="U28" s="12">
        <v>37</v>
      </c>
      <c r="V28" s="12">
        <v>37</v>
      </c>
      <c r="W28" s="12">
        <v>37</v>
      </c>
      <c r="X28" s="9">
        <v>48</v>
      </c>
      <c r="Y28" s="9">
        <v>48</v>
      </c>
      <c r="Z28" s="9">
        <v>48</v>
      </c>
      <c r="AA28" s="12">
        <v>37</v>
      </c>
      <c r="AB28" s="12">
        <v>37</v>
      </c>
      <c r="AC28" s="12">
        <v>37</v>
      </c>
      <c r="AD28" s="9">
        <v>48</v>
      </c>
      <c r="AE28" s="9">
        <v>48</v>
      </c>
      <c r="AF28" s="9">
        <v>48</v>
      </c>
    </row>
    <row r="29" spans="1:34" x14ac:dyDescent="0.45">
      <c r="A29" s="47" t="s">
        <v>11</v>
      </c>
      <c r="B29" s="47"/>
      <c r="C29" s="12">
        <v>8192</v>
      </c>
      <c r="D29" s="12">
        <v>8192</v>
      </c>
      <c r="E29" s="12">
        <v>8192</v>
      </c>
      <c r="F29" s="9">
        <v>8192</v>
      </c>
      <c r="G29" s="9">
        <v>8192</v>
      </c>
      <c r="H29" s="9">
        <v>8192</v>
      </c>
      <c r="I29" s="12">
        <v>8192</v>
      </c>
      <c r="J29" s="12">
        <v>8192</v>
      </c>
      <c r="K29" s="12">
        <v>8192</v>
      </c>
      <c r="L29" s="9">
        <v>8192</v>
      </c>
      <c r="M29" s="9">
        <v>8192</v>
      </c>
      <c r="N29" s="9">
        <v>8192</v>
      </c>
      <c r="O29" s="12">
        <v>8192</v>
      </c>
      <c r="P29" s="12">
        <v>8192</v>
      </c>
      <c r="Q29" s="12">
        <v>8192</v>
      </c>
      <c r="R29" s="9">
        <v>8192</v>
      </c>
      <c r="S29" s="9">
        <v>8192</v>
      </c>
      <c r="T29" s="9">
        <v>8192</v>
      </c>
      <c r="U29" s="12">
        <v>8192</v>
      </c>
      <c r="V29" s="12">
        <v>8192</v>
      </c>
      <c r="W29" s="12">
        <v>8192</v>
      </c>
      <c r="X29" s="9">
        <v>8192</v>
      </c>
      <c r="Y29" s="9">
        <v>8192</v>
      </c>
      <c r="Z29" s="9">
        <v>8192</v>
      </c>
      <c r="AA29" s="12">
        <v>8192</v>
      </c>
      <c r="AB29" s="12">
        <v>8192</v>
      </c>
      <c r="AC29" s="12">
        <v>8192</v>
      </c>
      <c r="AD29" s="9">
        <v>8192</v>
      </c>
      <c r="AE29" s="9">
        <v>8192</v>
      </c>
      <c r="AF29" s="9">
        <v>8192</v>
      </c>
    </row>
    <row r="30" spans="1:34" x14ac:dyDescent="0.45">
      <c r="A30" s="47" t="s">
        <v>42</v>
      </c>
      <c r="B30" s="2" t="s">
        <v>2</v>
      </c>
      <c r="C30" s="12">
        <v>2.9</v>
      </c>
      <c r="D30" s="12">
        <v>0.88600000000000001</v>
      </c>
      <c r="E30" s="12">
        <v>0.98</v>
      </c>
      <c r="F30" s="9">
        <v>0.86299999999999999</v>
      </c>
      <c r="G30" s="9">
        <v>0.86399999999999999</v>
      </c>
      <c r="H30" s="9">
        <v>0.76500000000000001</v>
      </c>
      <c r="I30" s="12">
        <v>1.2</v>
      </c>
      <c r="J30" s="12">
        <v>0.69799999999999995</v>
      </c>
      <c r="K30" s="12">
        <v>0.89500000000000002</v>
      </c>
      <c r="L30" s="9">
        <v>0.75</v>
      </c>
      <c r="M30" s="9">
        <v>0.82099999999999995</v>
      </c>
      <c r="N30" s="9">
        <v>0.86799999999999999</v>
      </c>
      <c r="O30" s="12">
        <v>0.92600000000000005</v>
      </c>
      <c r="P30" s="12">
        <v>1</v>
      </c>
      <c r="Q30" s="12">
        <v>0.92900000000000005</v>
      </c>
      <c r="R30" s="9">
        <v>0.94399999999999995</v>
      </c>
      <c r="S30" s="9">
        <v>0.77700000000000002</v>
      </c>
      <c r="T30" s="9">
        <v>0.88500000000000001</v>
      </c>
      <c r="U30" s="12">
        <v>1</v>
      </c>
      <c r="V30" s="12">
        <v>0.878</v>
      </c>
      <c r="W30" s="12">
        <v>0.68100000000000005</v>
      </c>
      <c r="X30" s="9">
        <v>0.98799999999999999</v>
      </c>
      <c r="Y30" s="9">
        <v>0.95399999999999996</v>
      </c>
      <c r="Z30" s="9">
        <v>0.95299999999999996</v>
      </c>
      <c r="AA30" s="12">
        <v>0.72799999999999998</v>
      </c>
      <c r="AB30" s="12">
        <v>1.3</v>
      </c>
      <c r="AC30" s="12">
        <v>0.83099999999999996</v>
      </c>
      <c r="AD30" s="9">
        <v>1</v>
      </c>
      <c r="AE30" s="9">
        <v>0.80900000000000005</v>
      </c>
      <c r="AF30" s="9">
        <v>0.96499999999999997</v>
      </c>
    </row>
    <row r="31" spans="1:34" x14ac:dyDescent="0.45">
      <c r="A31" s="47"/>
      <c r="B31" s="2" t="s">
        <v>3</v>
      </c>
      <c r="C31" s="12">
        <v>11.3</v>
      </c>
      <c r="D31" s="12">
        <v>7.3</v>
      </c>
      <c r="E31" s="12">
        <v>81.400000000000006</v>
      </c>
      <c r="F31" s="9">
        <v>3.9</v>
      </c>
      <c r="G31" s="9">
        <v>90.5</v>
      </c>
      <c r="H31" s="9">
        <v>15.9</v>
      </c>
      <c r="I31" s="12">
        <v>5</v>
      </c>
      <c r="J31" s="12">
        <v>81.099999999999994</v>
      </c>
      <c r="K31" s="12">
        <v>16.5</v>
      </c>
      <c r="L31" s="9">
        <v>9</v>
      </c>
      <c r="M31" s="9">
        <v>80.900000000000006</v>
      </c>
      <c r="N31" s="9">
        <v>7.6</v>
      </c>
      <c r="O31" s="12">
        <v>1798.9</v>
      </c>
      <c r="P31" s="12">
        <v>0.52300000000000002</v>
      </c>
      <c r="Q31" s="12">
        <v>0.35</v>
      </c>
      <c r="R31" s="9">
        <v>0.41199999999999998</v>
      </c>
      <c r="S31" s="9">
        <v>0.29699999999999999</v>
      </c>
      <c r="T31" s="9">
        <v>2.9</v>
      </c>
      <c r="U31" s="12">
        <v>0.39900000000000002</v>
      </c>
      <c r="V31" s="12">
        <v>0.45400000000000001</v>
      </c>
      <c r="W31" s="12">
        <v>0.20200000000000001</v>
      </c>
      <c r="X31" s="9">
        <v>0.371</v>
      </c>
      <c r="Y31" s="9">
        <v>0.503</v>
      </c>
      <c r="Z31" s="9">
        <v>0.14699999999999999</v>
      </c>
      <c r="AA31" s="12">
        <v>0.32500000000000001</v>
      </c>
      <c r="AB31" s="12">
        <v>0.318</v>
      </c>
      <c r="AC31" s="12">
        <v>0.27800000000000002</v>
      </c>
      <c r="AD31" s="9">
        <v>0.32500000000000001</v>
      </c>
      <c r="AE31" s="9">
        <v>0.23300000000000001</v>
      </c>
      <c r="AF31" s="9">
        <v>0.30299999999999999</v>
      </c>
    </row>
    <row r="32" spans="1:34" x14ac:dyDescent="0.45">
      <c r="A32" s="47"/>
      <c r="B32" s="2" t="s">
        <v>4</v>
      </c>
      <c r="C32" s="12">
        <v>24.4</v>
      </c>
      <c r="D32" s="12">
        <v>24.3</v>
      </c>
      <c r="E32" s="12">
        <v>24.7</v>
      </c>
      <c r="F32" s="9">
        <v>24.7</v>
      </c>
      <c r="G32" s="9">
        <v>24.3</v>
      </c>
      <c r="H32" s="9">
        <v>24.2</v>
      </c>
      <c r="I32" s="12">
        <v>24.8</v>
      </c>
      <c r="J32" s="12">
        <v>24.7</v>
      </c>
      <c r="K32" s="12">
        <v>24.7</v>
      </c>
      <c r="L32" s="9">
        <v>24.4</v>
      </c>
      <c r="M32" s="9">
        <v>24.6</v>
      </c>
      <c r="N32" s="9">
        <v>24.4</v>
      </c>
      <c r="O32" s="12">
        <v>24.4</v>
      </c>
      <c r="P32" s="12">
        <v>24.6</v>
      </c>
      <c r="Q32" s="12">
        <v>24.7</v>
      </c>
      <c r="R32" s="9">
        <v>24.6</v>
      </c>
      <c r="S32" s="9">
        <v>24.7</v>
      </c>
      <c r="T32" s="9">
        <v>25</v>
      </c>
      <c r="U32" s="12">
        <v>24.5</v>
      </c>
      <c r="V32" s="12">
        <v>24.4</v>
      </c>
      <c r="W32" s="12">
        <v>24.5</v>
      </c>
      <c r="X32" s="9">
        <v>24.4</v>
      </c>
      <c r="Y32" s="9">
        <v>24.2</v>
      </c>
      <c r="Z32" s="9">
        <v>24.7</v>
      </c>
      <c r="AA32" s="12">
        <v>24.4</v>
      </c>
      <c r="AB32" s="12">
        <v>24.6</v>
      </c>
      <c r="AC32" s="12">
        <v>24.2</v>
      </c>
      <c r="AD32" s="9">
        <v>24.3</v>
      </c>
      <c r="AE32" s="9">
        <v>24.5</v>
      </c>
      <c r="AF32" s="9">
        <v>24.2</v>
      </c>
    </row>
    <row r="33" spans="1:34" x14ac:dyDescent="0.45">
      <c r="A33" s="47"/>
      <c r="B33" s="2" t="s">
        <v>5</v>
      </c>
      <c r="C33" s="12">
        <v>44.1</v>
      </c>
      <c r="D33" s="12">
        <v>83.9</v>
      </c>
      <c r="E33" s="12">
        <v>112.1</v>
      </c>
      <c r="F33" s="9">
        <v>34.6</v>
      </c>
      <c r="G33" s="9">
        <v>121.1</v>
      </c>
      <c r="H33" s="9">
        <v>45.9</v>
      </c>
      <c r="I33" s="12">
        <v>35.799999999999997</v>
      </c>
      <c r="J33" s="12">
        <v>111.7</v>
      </c>
      <c r="K33" s="12">
        <v>47.4</v>
      </c>
      <c r="L33" s="9">
        <v>39.299999999999997</v>
      </c>
      <c r="M33" s="9">
        <v>111.5</v>
      </c>
      <c r="N33" s="9">
        <v>37.700000000000003</v>
      </c>
      <c r="O33" s="12">
        <v>1838.7</v>
      </c>
      <c r="P33" s="12">
        <v>49.3</v>
      </c>
      <c r="Q33" s="12">
        <v>199.7</v>
      </c>
      <c r="R33" s="9">
        <v>33.5</v>
      </c>
      <c r="S33" s="9">
        <v>39.200000000000003</v>
      </c>
      <c r="T33" s="9">
        <v>196.8</v>
      </c>
      <c r="U33" s="12">
        <v>30.9</v>
      </c>
      <c r="V33" s="12">
        <v>31.3</v>
      </c>
      <c r="W33" s="12">
        <v>30.3</v>
      </c>
      <c r="X33" s="9">
        <v>30.3</v>
      </c>
      <c r="Y33" s="9">
        <v>31</v>
      </c>
      <c r="Z33" s="9">
        <v>30.9</v>
      </c>
      <c r="AA33" s="12">
        <v>30.5</v>
      </c>
      <c r="AB33" s="12">
        <v>31.3</v>
      </c>
      <c r="AC33" s="12">
        <v>30.6</v>
      </c>
      <c r="AD33" s="9">
        <v>31.1</v>
      </c>
      <c r="AE33" s="9">
        <v>30.6</v>
      </c>
      <c r="AF33" s="9">
        <v>31.3</v>
      </c>
    </row>
    <row r="34" spans="1:34" x14ac:dyDescent="0.45">
      <c r="A34" s="8"/>
      <c r="B34" s="2" t="s">
        <v>6</v>
      </c>
      <c r="C34" s="15" t="s">
        <v>61</v>
      </c>
      <c r="D34" s="14" t="s">
        <v>62</v>
      </c>
      <c r="E34" s="14" t="s">
        <v>63</v>
      </c>
      <c r="F34" s="11" t="s">
        <v>65</v>
      </c>
      <c r="G34" s="11" t="s">
        <v>68</v>
      </c>
      <c r="H34" s="11" t="s">
        <v>71</v>
      </c>
      <c r="I34" s="14" t="s">
        <v>72</v>
      </c>
      <c r="J34" s="14" t="s">
        <v>75</v>
      </c>
      <c r="K34" s="14" t="s">
        <v>79</v>
      </c>
      <c r="L34" s="11" t="s">
        <v>81</v>
      </c>
      <c r="M34" s="11" t="s">
        <v>83</v>
      </c>
      <c r="N34" s="11" t="s">
        <v>86</v>
      </c>
      <c r="O34" s="14" t="s">
        <v>140</v>
      </c>
      <c r="P34" s="14" t="s">
        <v>139</v>
      </c>
      <c r="Q34" s="14" t="s">
        <v>138</v>
      </c>
      <c r="R34" s="11" t="s">
        <v>137</v>
      </c>
      <c r="S34" s="11" t="s">
        <v>136</v>
      </c>
      <c r="T34" s="11" t="s">
        <v>135</v>
      </c>
      <c r="U34" s="14" t="s">
        <v>134</v>
      </c>
      <c r="V34" s="14" t="s">
        <v>133</v>
      </c>
      <c r="W34" s="14" t="s">
        <v>132</v>
      </c>
      <c r="X34" s="11" t="s">
        <v>131</v>
      </c>
      <c r="Y34" s="11" t="s">
        <v>130</v>
      </c>
      <c r="Z34" s="11" t="s">
        <v>129</v>
      </c>
      <c r="AA34" s="14" t="s">
        <v>128</v>
      </c>
      <c r="AB34" s="14" t="s">
        <v>127</v>
      </c>
      <c r="AC34" s="14" t="s">
        <v>126</v>
      </c>
      <c r="AD34" s="11" t="s">
        <v>125</v>
      </c>
      <c r="AE34" s="11" t="s">
        <v>124</v>
      </c>
      <c r="AF34" s="11" t="s">
        <v>123</v>
      </c>
    </row>
    <row r="35" spans="1:34" x14ac:dyDescent="0.45">
      <c r="A35" s="47" t="s">
        <v>17</v>
      </c>
      <c r="B35" s="6" t="s">
        <v>16</v>
      </c>
      <c r="C35" s="12">
        <v>28.137</v>
      </c>
      <c r="D35" s="12">
        <v>30.187999999999999</v>
      </c>
      <c r="E35" s="12">
        <v>36.353000000000002</v>
      </c>
      <c r="F35" s="9">
        <v>38.183999999999997</v>
      </c>
      <c r="G35" s="9">
        <v>34.606999999999999</v>
      </c>
      <c r="H35" s="9">
        <v>40.588000000000001</v>
      </c>
      <c r="I35" s="12">
        <v>34.436</v>
      </c>
      <c r="J35" s="12">
        <v>28.734999999999999</v>
      </c>
      <c r="K35" s="12">
        <v>31.934000000000001</v>
      </c>
      <c r="L35" s="9">
        <v>31.420999999999999</v>
      </c>
      <c r="M35" s="9">
        <v>28.137</v>
      </c>
      <c r="N35" s="9">
        <v>32.837000000000003</v>
      </c>
      <c r="O35" s="12">
        <v>28.027000000000001</v>
      </c>
      <c r="P35" s="12">
        <v>33.801000000000002</v>
      </c>
      <c r="Q35" s="12">
        <v>37.61</v>
      </c>
      <c r="R35" s="9">
        <v>34.143000000000001</v>
      </c>
      <c r="S35" s="9">
        <v>32.982999999999997</v>
      </c>
      <c r="T35" s="9">
        <v>35.912999999999997</v>
      </c>
      <c r="U35" s="12">
        <v>36.218000000000004</v>
      </c>
      <c r="V35" s="12">
        <v>29.138000000000002</v>
      </c>
      <c r="W35" s="12">
        <v>29.358000000000001</v>
      </c>
      <c r="X35" s="9">
        <v>41.04</v>
      </c>
      <c r="Y35" s="9">
        <v>32.055999999999997</v>
      </c>
      <c r="Z35" s="9">
        <v>36.426000000000002</v>
      </c>
      <c r="AA35" s="12">
        <v>30.774000000000001</v>
      </c>
      <c r="AB35" s="12">
        <v>27.161000000000001</v>
      </c>
      <c r="AC35" s="12">
        <v>27.257999999999999</v>
      </c>
      <c r="AD35" s="9">
        <v>37.939</v>
      </c>
      <c r="AE35" s="9">
        <v>34.058</v>
      </c>
      <c r="AF35" s="9">
        <v>32.311999999999998</v>
      </c>
    </row>
    <row r="36" spans="1:34" x14ac:dyDescent="0.45">
      <c r="A36" s="47"/>
      <c r="B36" s="6" t="s">
        <v>18</v>
      </c>
      <c r="C36" s="12">
        <v>24.437999999999999</v>
      </c>
      <c r="D36" s="12">
        <v>23.571999999999999</v>
      </c>
      <c r="E36" s="12">
        <v>20.544</v>
      </c>
      <c r="F36" s="9">
        <v>19.568000000000001</v>
      </c>
      <c r="G36" s="9">
        <v>21.068999999999999</v>
      </c>
      <c r="H36" s="9">
        <v>19.177</v>
      </c>
      <c r="I36" s="12">
        <v>18.713000000000001</v>
      </c>
      <c r="J36" s="12">
        <v>25.475999999999999</v>
      </c>
      <c r="K36" s="12">
        <v>24.181999999999999</v>
      </c>
      <c r="L36" s="9">
        <v>20.728000000000002</v>
      </c>
      <c r="M36" s="9">
        <v>21.484000000000002</v>
      </c>
      <c r="N36" s="9">
        <v>17.981000000000002</v>
      </c>
      <c r="O36" s="12">
        <v>23.95</v>
      </c>
      <c r="P36" s="12">
        <v>22.228999999999999</v>
      </c>
      <c r="Q36" s="12">
        <v>24.242999999999999</v>
      </c>
      <c r="R36" s="9">
        <v>23.632999999999999</v>
      </c>
      <c r="S36" s="9">
        <v>21.716000000000001</v>
      </c>
      <c r="T36" s="9">
        <v>25.33</v>
      </c>
      <c r="U36" s="12">
        <v>17.431999999999999</v>
      </c>
      <c r="V36" s="12">
        <v>23.413</v>
      </c>
      <c r="W36" s="12">
        <v>22.815000000000001</v>
      </c>
      <c r="X36" s="9">
        <v>18.920999999999999</v>
      </c>
      <c r="Y36" s="9">
        <v>23.535</v>
      </c>
      <c r="Z36" s="9">
        <v>25.684000000000001</v>
      </c>
      <c r="AA36" s="12">
        <v>25.012</v>
      </c>
      <c r="AB36" s="12">
        <v>24.451000000000001</v>
      </c>
      <c r="AC36" s="12">
        <v>24.303999999999998</v>
      </c>
      <c r="AD36" s="9">
        <v>19.922000000000001</v>
      </c>
      <c r="AE36" s="9">
        <v>21.338000000000001</v>
      </c>
      <c r="AF36" s="9">
        <v>20.581</v>
      </c>
    </row>
    <row r="37" spans="1:34" x14ac:dyDescent="0.45">
      <c r="A37" s="47"/>
      <c r="B37" s="6" t="s">
        <v>20</v>
      </c>
      <c r="C37" s="12">
        <v>24.695</v>
      </c>
      <c r="D37" s="12">
        <v>24.463000000000001</v>
      </c>
      <c r="E37" s="12">
        <v>26.794</v>
      </c>
      <c r="F37" s="9">
        <v>25.684000000000001</v>
      </c>
      <c r="G37" s="9">
        <v>26.574999999999999</v>
      </c>
      <c r="H37" s="9">
        <v>26.074000000000002</v>
      </c>
      <c r="I37" s="12">
        <v>29.271999999999998</v>
      </c>
      <c r="J37" s="12">
        <v>24.010999999999999</v>
      </c>
      <c r="K37" s="12">
        <v>24.364999999999998</v>
      </c>
      <c r="L37" s="9">
        <v>28.844999999999999</v>
      </c>
      <c r="M37" s="9">
        <v>28.54</v>
      </c>
      <c r="N37" s="9">
        <v>31.177</v>
      </c>
      <c r="O37" s="12">
        <v>25.268999999999998</v>
      </c>
      <c r="P37" s="12">
        <v>25.548999999999999</v>
      </c>
      <c r="Q37" s="12">
        <v>21.558</v>
      </c>
      <c r="R37" s="9">
        <v>24.242999999999999</v>
      </c>
      <c r="S37" s="9">
        <v>27.148</v>
      </c>
      <c r="T37" s="9">
        <v>21.777000000000001</v>
      </c>
      <c r="U37" s="12">
        <v>31.298999999999999</v>
      </c>
      <c r="V37" s="12">
        <v>26.001000000000001</v>
      </c>
      <c r="W37" s="12">
        <v>27.111999999999998</v>
      </c>
      <c r="X37" s="9">
        <v>25.757000000000001</v>
      </c>
      <c r="Y37" s="9">
        <v>25.207999999999998</v>
      </c>
      <c r="Z37" s="9">
        <v>21.312999999999999</v>
      </c>
      <c r="AA37" s="12">
        <v>23.620999999999999</v>
      </c>
      <c r="AB37" s="12">
        <v>25.696000000000002</v>
      </c>
      <c r="AC37" s="12">
        <v>24.622</v>
      </c>
      <c r="AD37" s="9">
        <v>26.221</v>
      </c>
      <c r="AE37" s="9">
        <v>27.1</v>
      </c>
      <c r="AF37" s="9">
        <v>27.013999999999999</v>
      </c>
    </row>
    <row r="38" spans="1:34" x14ac:dyDescent="0.45">
      <c r="A38" s="47"/>
      <c r="B38" s="6" t="s">
        <v>19</v>
      </c>
      <c r="C38" s="12">
        <v>22.728999999999999</v>
      </c>
      <c r="D38" s="12">
        <v>21.777000000000001</v>
      </c>
      <c r="E38" s="12">
        <v>16.309000000000001</v>
      </c>
      <c r="F38" s="9">
        <v>16.565000000000001</v>
      </c>
      <c r="G38" s="9">
        <v>17.748999999999999</v>
      </c>
      <c r="H38" s="9">
        <v>14.16</v>
      </c>
      <c r="I38" s="12">
        <v>17.577999999999999</v>
      </c>
      <c r="J38" s="12">
        <v>21.777000000000001</v>
      </c>
      <c r="K38" s="12">
        <v>19.518999999999998</v>
      </c>
      <c r="L38" s="9">
        <v>19.006</v>
      </c>
      <c r="M38" s="9">
        <v>21.838000000000001</v>
      </c>
      <c r="N38" s="9">
        <v>18.004999999999999</v>
      </c>
      <c r="O38" s="12">
        <v>22.754000000000001</v>
      </c>
      <c r="P38" s="12">
        <v>18.420000000000002</v>
      </c>
      <c r="Q38" s="12">
        <v>16.588999999999999</v>
      </c>
      <c r="R38" s="9">
        <v>17.981000000000002</v>
      </c>
      <c r="S38" s="9">
        <v>18.152000000000001</v>
      </c>
      <c r="T38" s="9">
        <v>16.98</v>
      </c>
      <c r="U38" s="12">
        <v>15.051</v>
      </c>
      <c r="V38" s="12">
        <v>21.448</v>
      </c>
      <c r="W38" s="12">
        <v>20.715</v>
      </c>
      <c r="X38" s="9">
        <v>14.282</v>
      </c>
      <c r="Y38" s="9">
        <v>19.202000000000002</v>
      </c>
      <c r="Z38" s="9">
        <v>16.577000000000002</v>
      </c>
      <c r="AA38" s="12">
        <v>20.593</v>
      </c>
      <c r="AB38" s="12">
        <v>22.693000000000001</v>
      </c>
      <c r="AC38" s="12">
        <v>23.815999999999999</v>
      </c>
      <c r="AD38" s="9">
        <v>15.917999999999999</v>
      </c>
      <c r="AE38" s="9">
        <v>17.504999999999999</v>
      </c>
      <c r="AF38" s="9">
        <v>20.093</v>
      </c>
    </row>
    <row r="39" spans="1:34" x14ac:dyDescent="0.45">
      <c r="A39" s="48" t="s">
        <v>22</v>
      </c>
      <c r="B39" s="48"/>
      <c r="C39" s="12">
        <f>SUM(C36:C38)</f>
        <v>71.861999999999995</v>
      </c>
      <c r="D39" s="12">
        <f t="shared" ref="D39:N39" si="1">SUM(D36:D38)</f>
        <v>69.811999999999998</v>
      </c>
      <c r="E39" s="12">
        <f t="shared" si="1"/>
        <v>63.647000000000006</v>
      </c>
      <c r="F39" s="9">
        <f t="shared" si="1"/>
        <v>61.817000000000007</v>
      </c>
      <c r="G39" s="9">
        <f t="shared" si="1"/>
        <v>65.393000000000001</v>
      </c>
      <c r="H39" s="9">
        <f t="shared" si="1"/>
        <v>59.411000000000001</v>
      </c>
      <c r="I39" s="12">
        <f t="shared" si="1"/>
        <v>65.563000000000002</v>
      </c>
      <c r="J39" s="12">
        <f t="shared" si="1"/>
        <v>71.263999999999996</v>
      </c>
      <c r="K39" s="12">
        <f t="shared" si="1"/>
        <v>68.066000000000003</v>
      </c>
      <c r="L39" s="9">
        <f t="shared" si="1"/>
        <v>68.579000000000008</v>
      </c>
      <c r="M39" s="9">
        <f t="shared" si="1"/>
        <v>71.861999999999995</v>
      </c>
      <c r="N39" s="9">
        <f t="shared" si="1"/>
        <v>67.162999999999997</v>
      </c>
      <c r="O39" s="12">
        <f t="shared" ref="O39:V39" si="2">SUM(O36:O38)</f>
        <v>71.972999999999999</v>
      </c>
      <c r="P39" s="12">
        <f t="shared" si="2"/>
        <v>66.198000000000008</v>
      </c>
      <c r="Q39" s="12">
        <f t="shared" si="2"/>
        <v>62.39</v>
      </c>
      <c r="R39" s="9">
        <f t="shared" si="2"/>
        <v>65.856999999999999</v>
      </c>
      <c r="S39" s="9">
        <f t="shared" si="2"/>
        <v>67.016000000000005</v>
      </c>
      <c r="T39" s="9">
        <f t="shared" si="2"/>
        <v>64.087000000000003</v>
      </c>
      <c r="U39" s="12">
        <f t="shared" si="2"/>
        <v>63.781999999999996</v>
      </c>
      <c r="V39" s="12">
        <f t="shared" si="2"/>
        <v>70.861999999999995</v>
      </c>
      <c r="W39" s="12">
        <f t="shared" ref="W39:AD39" si="3">SUM(W36:W38)</f>
        <v>70.641999999999996</v>
      </c>
      <c r="X39" s="9">
        <f t="shared" si="3"/>
        <v>58.959999999999994</v>
      </c>
      <c r="Y39" s="9">
        <f t="shared" si="3"/>
        <v>67.944999999999993</v>
      </c>
      <c r="Z39" s="9">
        <f t="shared" si="3"/>
        <v>63.573999999999998</v>
      </c>
      <c r="AA39" s="12">
        <f t="shared" si="3"/>
        <v>69.225999999999999</v>
      </c>
      <c r="AB39" s="12">
        <f t="shared" si="3"/>
        <v>72.84</v>
      </c>
      <c r="AC39" s="12">
        <f t="shared" si="3"/>
        <v>72.742000000000004</v>
      </c>
      <c r="AD39" s="9">
        <f t="shared" si="3"/>
        <v>62.061</v>
      </c>
      <c r="AE39" s="9">
        <f>SUM(AE36:AE38)</f>
        <v>65.942999999999998</v>
      </c>
      <c r="AF39" s="9">
        <f>SUM(AF36:AF38)</f>
        <v>67.688000000000002</v>
      </c>
      <c r="AG39" s="12">
        <f>(SUM(C39:E39)+SUM(I39:K39)+SUM(O39:Q39)+SUM(U39:W39)+SUM(AA39:AC39))/15</f>
        <v>68.724599999999995</v>
      </c>
      <c r="AH39" s="9">
        <f>(SUM(F39:H39)+SUM(L39:N39)+SUM(R39:T39)+SUM(X39:Z39)+SUM(AD39:AF39))/15</f>
        <v>65.157066666666665</v>
      </c>
    </row>
    <row r="43" spans="1:34" x14ac:dyDescent="0.45">
      <c r="A43" s="47" t="s">
        <v>0</v>
      </c>
      <c r="B43" s="47"/>
      <c r="C43" s="12" t="s">
        <v>59</v>
      </c>
      <c r="D43" s="12" t="s">
        <v>59</v>
      </c>
      <c r="E43" s="12" t="s">
        <v>59</v>
      </c>
      <c r="F43" s="9" t="s">
        <v>59</v>
      </c>
      <c r="G43" s="9" t="s">
        <v>59</v>
      </c>
      <c r="H43" s="9" t="s">
        <v>59</v>
      </c>
      <c r="I43" s="12" t="s">
        <v>59</v>
      </c>
      <c r="J43" s="12" t="s">
        <v>59</v>
      </c>
      <c r="K43" s="12" t="s">
        <v>59</v>
      </c>
      <c r="L43" s="9" t="s">
        <v>59</v>
      </c>
      <c r="M43" s="9" t="s">
        <v>59</v>
      </c>
      <c r="N43" s="9" t="s">
        <v>59</v>
      </c>
      <c r="O43" s="12" t="s">
        <v>59</v>
      </c>
      <c r="P43" s="12" t="s">
        <v>59</v>
      </c>
      <c r="Q43" s="12" t="s">
        <v>59</v>
      </c>
      <c r="R43" s="9" t="s">
        <v>59</v>
      </c>
      <c r="S43" s="9" t="s">
        <v>59</v>
      </c>
      <c r="T43" s="9" t="s">
        <v>59</v>
      </c>
      <c r="U43" s="12" t="s">
        <v>59</v>
      </c>
      <c r="V43" s="12" t="s">
        <v>59</v>
      </c>
      <c r="W43" s="12" t="s">
        <v>59</v>
      </c>
      <c r="X43" s="9" t="s">
        <v>59</v>
      </c>
      <c r="Y43" s="9" t="s">
        <v>59</v>
      </c>
      <c r="Z43" s="9" t="s">
        <v>59</v>
      </c>
      <c r="AA43" s="12" t="s">
        <v>59</v>
      </c>
      <c r="AB43" s="12" t="s">
        <v>59</v>
      </c>
      <c r="AC43" s="12" t="s">
        <v>59</v>
      </c>
      <c r="AD43" s="9" t="s">
        <v>59</v>
      </c>
      <c r="AE43" s="9" t="s">
        <v>59</v>
      </c>
      <c r="AF43" s="9" t="s">
        <v>59</v>
      </c>
    </row>
    <row r="44" spans="1:34" x14ac:dyDescent="0.45">
      <c r="A44" s="47" t="s">
        <v>10</v>
      </c>
      <c r="B44" s="47"/>
      <c r="C44" s="13" t="s">
        <v>16</v>
      </c>
      <c r="D44" s="13" t="s">
        <v>16</v>
      </c>
      <c r="E44" s="13" t="s">
        <v>16</v>
      </c>
      <c r="F44" s="10" t="s">
        <v>16</v>
      </c>
      <c r="G44" s="10" t="s">
        <v>16</v>
      </c>
      <c r="H44" s="10" t="s">
        <v>16</v>
      </c>
      <c r="I44" s="13" t="s">
        <v>16</v>
      </c>
      <c r="J44" s="13" t="s">
        <v>16</v>
      </c>
      <c r="K44" s="13" t="s">
        <v>16</v>
      </c>
      <c r="L44" s="10" t="s">
        <v>16</v>
      </c>
      <c r="M44" s="10" t="s">
        <v>16</v>
      </c>
      <c r="N44" s="10" t="s">
        <v>16</v>
      </c>
      <c r="O44" s="13" t="s">
        <v>16</v>
      </c>
      <c r="P44" s="13" t="s">
        <v>16</v>
      </c>
      <c r="Q44" s="13" t="s">
        <v>16</v>
      </c>
      <c r="R44" s="10" t="s">
        <v>16</v>
      </c>
      <c r="S44" s="10" t="s">
        <v>16</v>
      </c>
      <c r="T44" s="10" t="s">
        <v>16</v>
      </c>
      <c r="U44" s="13" t="s">
        <v>16</v>
      </c>
      <c r="V44" s="13" t="s">
        <v>16</v>
      </c>
      <c r="W44" s="13" t="s">
        <v>16</v>
      </c>
      <c r="X44" s="10" t="s">
        <v>16</v>
      </c>
      <c r="Y44" s="10" t="s">
        <v>16</v>
      </c>
      <c r="Z44" s="10" t="s">
        <v>16</v>
      </c>
      <c r="AA44" s="13" t="s">
        <v>16</v>
      </c>
      <c r="AB44" s="13" t="s">
        <v>16</v>
      </c>
      <c r="AC44" s="13" t="s">
        <v>16</v>
      </c>
      <c r="AD44" s="10" t="s">
        <v>16</v>
      </c>
      <c r="AE44" s="10" t="s">
        <v>16</v>
      </c>
      <c r="AF44" s="10" t="s">
        <v>16</v>
      </c>
      <c r="AH44" s="5"/>
    </row>
    <row r="45" spans="1:34" x14ac:dyDescent="0.45">
      <c r="A45" s="47" t="s">
        <v>1</v>
      </c>
      <c r="B45" s="47"/>
      <c r="C45" s="12" t="s">
        <v>8</v>
      </c>
      <c r="D45" s="12" t="s">
        <v>8</v>
      </c>
      <c r="E45" s="12" t="s">
        <v>8</v>
      </c>
      <c r="F45" s="9" t="s">
        <v>8</v>
      </c>
      <c r="G45" s="9" t="s">
        <v>8</v>
      </c>
      <c r="H45" s="9" t="s">
        <v>8</v>
      </c>
      <c r="I45" s="12" t="s">
        <v>27</v>
      </c>
      <c r="J45" s="12" t="s">
        <v>27</v>
      </c>
      <c r="K45" s="12" t="s">
        <v>27</v>
      </c>
      <c r="L45" s="9" t="s">
        <v>27</v>
      </c>
      <c r="M45" s="9" t="s">
        <v>27</v>
      </c>
      <c r="N45" s="9" t="s">
        <v>27</v>
      </c>
      <c r="O45" s="12" t="s">
        <v>28</v>
      </c>
      <c r="P45" s="12" t="s">
        <v>28</v>
      </c>
      <c r="Q45" s="12" t="s">
        <v>28</v>
      </c>
      <c r="R45" s="9" t="s">
        <v>28</v>
      </c>
      <c r="S45" s="9" t="s">
        <v>28</v>
      </c>
      <c r="T45" s="9" t="s">
        <v>28</v>
      </c>
      <c r="U45" s="12" t="s">
        <v>29</v>
      </c>
      <c r="V45" s="12" t="s">
        <v>29</v>
      </c>
      <c r="W45" s="12" t="s">
        <v>29</v>
      </c>
      <c r="X45" s="9" t="s">
        <v>29</v>
      </c>
      <c r="Y45" s="9" t="s">
        <v>29</v>
      </c>
      <c r="Z45" s="9" t="s">
        <v>29</v>
      </c>
      <c r="AA45" s="12" t="s">
        <v>30</v>
      </c>
      <c r="AB45" s="12" t="s">
        <v>30</v>
      </c>
      <c r="AC45" s="12" t="s">
        <v>30</v>
      </c>
      <c r="AD45" s="9" t="s">
        <v>30</v>
      </c>
      <c r="AE45" s="9" t="s">
        <v>30</v>
      </c>
      <c r="AF45" s="9" t="s">
        <v>30</v>
      </c>
    </row>
    <row r="46" spans="1:34" x14ac:dyDescent="0.45">
      <c r="A46" s="47" t="s">
        <v>13</v>
      </c>
      <c r="B46" s="4" t="s">
        <v>12</v>
      </c>
      <c r="C46" s="12" t="s">
        <v>21</v>
      </c>
      <c r="D46" s="12" t="s">
        <v>21</v>
      </c>
      <c r="E46" s="12" t="s">
        <v>21</v>
      </c>
      <c r="F46" s="9" t="s">
        <v>26</v>
      </c>
      <c r="G46" s="9" t="s">
        <v>26</v>
      </c>
      <c r="H46" s="9" t="s">
        <v>26</v>
      </c>
      <c r="I46" s="12" t="s">
        <v>21</v>
      </c>
      <c r="J46" s="12" t="s">
        <v>21</v>
      </c>
      <c r="K46" s="12" t="s">
        <v>21</v>
      </c>
      <c r="L46" s="9" t="s">
        <v>26</v>
      </c>
      <c r="M46" s="9" t="s">
        <v>26</v>
      </c>
      <c r="N46" s="9" t="s">
        <v>26</v>
      </c>
      <c r="O46" s="12" t="s">
        <v>21</v>
      </c>
      <c r="P46" s="12" t="s">
        <v>21</v>
      </c>
      <c r="Q46" s="12" t="s">
        <v>21</v>
      </c>
      <c r="R46" s="9" t="s">
        <v>26</v>
      </c>
      <c r="S46" s="9" t="s">
        <v>26</v>
      </c>
      <c r="T46" s="9" t="s">
        <v>26</v>
      </c>
      <c r="U46" s="12" t="s">
        <v>21</v>
      </c>
      <c r="V46" s="12" t="s">
        <v>21</v>
      </c>
      <c r="W46" s="12" t="s">
        <v>26</v>
      </c>
      <c r="X46" s="9" t="s">
        <v>26</v>
      </c>
      <c r="Y46" s="9" t="s">
        <v>26</v>
      </c>
      <c r="Z46" s="9" t="s">
        <v>26</v>
      </c>
      <c r="AA46" s="12" t="s">
        <v>21</v>
      </c>
      <c r="AB46" s="12" t="s">
        <v>21</v>
      </c>
      <c r="AC46" s="12" t="s">
        <v>21</v>
      </c>
      <c r="AD46" s="9" t="s">
        <v>26</v>
      </c>
      <c r="AE46" s="9" t="s">
        <v>26</v>
      </c>
      <c r="AF46" s="9" t="s">
        <v>26</v>
      </c>
    </row>
    <row r="47" spans="1:34" x14ac:dyDescent="0.45">
      <c r="A47" s="47"/>
      <c r="B47" s="4" t="s">
        <v>14</v>
      </c>
      <c r="C47" s="12">
        <v>77</v>
      </c>
      <c r="D47" s="12">
        <v>57</v>
      </c>
      <c r="E47" s="12">
        <v>48</v>
      </c>
      <c r="F47" s="9">
        <v>73</v>
      </c>
      <c r="G47" s="9">
        <v>61</v>
      </c>
      <c r="H47" s="9">
        <v>51</v>
      </c>
      <c r="I47" s="12">
        <v>76</v>
      </c>
      <c r="J47" s="12">
        <v>76</v>
      </c>
      <c r="K47" s="12">
        <v>52</v>
      </c>
      <c r="L47" s="9">
        <v>50</v>
      </c>
      <c r="M47" s="9">
        <v>75</v>
      </c>
      <c r="N47" s="9">
        <v>61</v>
      </c>
      <c r="O47" s="12">
        <v>57</v>
      </c>
      <c r="P47" s="12">
        <v>76</v>
      </c>
      <c r="Q47" s="12">
        <v>58</v>
      </c>
      <c r="R47" s="9">
        <v>61</v>
      </c>
      <c r="S47" s="9">
        <v>65</v>
      </c>
      <c r="T47" s="9">
        <v>69</v>
      </c>
      <c r="U47" s="12">
        <v>79</v>
      </c>
      <c r="V47" s="12">
        <v>82</v>
      </c>
      <c r="W47" s="12">
        <v>55</v>
      </c>
      <c r="X47" s="9">
        <v>52</v>
      </c>
      <c r="Y47" s="9">
        <v>54</v>
      </c>
      <c r="Z47" s="9">
        <v>75</v>
      </c>
      <c r="AA47" s="12">
        <v>57</v>
      </c>
      <c r="AB47" s="12">
        <v>78</v>
      </c>
      <c r="AC47" s="12">
        <v>79</v>
      </c>
      <c r="AD47" s="9">
        <v>73</v>
      </c>
      <c r="AE47" s="9">
        <v>58</v>
      </c>
      <c r="AF47" s="9">
        <v>67</v>
      </c>
    </row>
    <row r="48" spans="1:34" x14ac:dyDescent="0.45">
      <c r="A48" s="47"/>
      <c r="B48" s="3" t="s">
        <v>15</v>
      </c>
      <c r="C48" s="12">
        <v>32</v>
      </c>
      <c r="D48" s="12">
        <v>32</v>
      </c>
      <c r="E48" s="12">
        <v>32</v>
      </c>
      <c r="F48" s="9">
        <v>43</v>
      </c>
      <c r="G48" s="9">
        <v>43</v>
      </c>
      <c r="H48" s="9">
        <v>43</v>
      </c>
      <c r="I48" s="12">
        <v>37</v>
      </c>
      <c r="J48" s="12">
        <v>37</v>
      </c>
      <c r="K48" s="12">
        <v>37</v>
      </c>
      <c r="L48" s="9">
        <v>48</v>
      </c>
      <c r="M48" s="9">
        <v>48</v>
      </c>
      <c r="N48" s="9">
        <v>48</v>
      </c>
      <c r="O48" s="12">
        <v>37</v>
      </c>
      <c r="P48" s="12">
        <v>37</v>
      </c>
      <c r="Q48" s="12">
        <v>37</v>
      </c>
      <c r="R48" s="9">
        <v>47</v>
      </c>
      <c r="S48" s="9">
        <v>47</v>
      </c>
      <c r="T48" s="9">
        <v>48</v>
      </c>
      <c r="U48" s="12">
        <v>37</v>
      </c>
      <c r="V48" s="12">
        <v>37</v>
      </c>
      <c r="W48" s="12">
        <v>37</v>
      </c>
      <c r="X48" s="9">
        <v>48</v>
      </c>
      <c r="Y48" s="9">
        <v>47</v>
      </c>
      <c r="Z48" s="9">
        <v>48</v>
      </c>
      <c r="AA48" s="12">
        <v>37</v>
      </c>
      <c r="AB48" s="12">
        <v>37</v>
      </c>
      <c r="AC48" s="12">
        <v>37</v>
      </c>
      <c r="AD48" s="9">
        <v>48</v>
      </c>
      <c r="AE48" s="9">
        <v>48</v>
      </c>
      <c r="AF48" s="9">
        <v>47</v>
      </c>
    </row>
    <row r="49" spans="1:34" x14ac:dyDescent="0.45">
      <c r="A49" s="47" t="s">
        <v>11</v>
      </c>
      <c r="B49" s="47"/>
      <c r="C49" s="12">
        <v>8192</v>
      </c>
      <c r="D49" s="12">
        <v>8192</v>
      </c>
      <c r="E49" s="12">
        <v>8192</v>
      </c>
      <c r="F49" s="9">
        <v>8192</v>
      </c>
      <c r="G49" s="9">
        <v>8192</v>
      </c>
      <c r="H49" s="9">
        <v>8192</v>
      </c>
      <c r="I49" s="12">
        <v>8192</v>
      </c>
      <c r="J49" s="12">
        <v>8192</v>
      </c>
      <c r="K49" s="12">
        <v>8192</v>
      </c>
      <c r="L49" s="9">
        <v>8192</v>
      </c>
      <c r="M49" s="9">
        <v>8192</v>
      </c>
      <c r="N49" s="9">
        <v>8192</v>
      </c>
      <c r="O49" s="12">
        <v>8192</v>
      </c>
      <c r="P49" s="12">
        <v>8192</v>
      </c>
      <c r="Q49" s="12">
        <v>8192</v>
      </c>
      <c r="R49" s="9">
        <v>8192</v>
      </c>
      <c r="S49" s="9">
        <v>8192</v>
      </c>
      <c r="T49" s="9">
        <v>8192</v>
      </c>
      <c r="U49" s="12">
        <v>8192</v>
      </c>
      <c r="V49" s="12">
        <v>8192</v>
      </c>
      <c r="W49" s="12">
        <v>8192</v>
      </c>
      <c r="X49" s="9">
        <v>8192</v>
      </c>
      <c r="Y49" s="9">
        <v>8192</v>
      </c>
      <c r="Z49" s="9">
        <v>8192</v>
      </c>
      <c r="AA49" s="12">
        <v>8192</v>
      </c>
      <c r="AB49" s="12">
        <v>8192</v>
      </c>
      <c r="AC49" s="12">
        <v>8192</v>
      </c>
      <c r="AD49" s="9">
        <v>8192</v>
      </c>
      <c r="AE49" s="9">
        <v>8192</v>
      </c>
      <c r="AF49" s="9">
        <v>8192</v>
      </c>
    </row>
    <row r="50" spans="1:34" x14ac:dyDescent="0.45">
      <c r="A50" s="47" t="s">
        <v>42</v>
      </c>
      <c r="B50" s="2" t="s">
        <v>2</v>
      </c>
      <c r="C50" s="12">
        <v>0.86199999999999999</v>
      </c>
      <c r="D50" s="12">
        <v>0.85699999999999998</v>
      </c>
      <c r="E50" s="12">
        <v>0.89700000000000002</v>
      </c>
      <c r="F50" s="9">
        <v>0.98899999999999999</v>
      </c>
      <c r="G50" s="9">
        <v>0.879</v>
      </c>
      <c r="H50" s="9">
        <v>0.69699999999999995</v>
      </c>
      <c r="I50" s="12">
        <v>0.94199999999999995</v>
      </c>
      <c r="J50" s="12">
        <v>0.77900000000000003</v>
      </c>
      <c r="K50" s="12">
        <v>0.95899999999999996</v>
      </c>
      <c r="L50" s="9">
        <v>0.95599999999999996</v>
      </c>
      <c r="M50" s="9">
        <v>0.82099999999999995</v>
      </c>
      <c r="N50" s="9">
        <v>0.94699999999999995</v>
      </c>
      <c r="O50" s="12">
        <v>0.96399999999999997</v>
      </c>
      <c r="P50" s="12">
        <v>0.97899999999999998</v>
      </c>
      <c r="Q50" s="12">
        <v>0.92100000000000004</v>
      </c>
      <c r="R50" s="9">
        <v>0.81699999999999995</v>
      </c>
      <c r="S50" s="9">
        <v>1</v>
      </c>
      <c r="T50" s="9">
        <v>0.85399999999999998</v>
      </c>
      <c r="U50" s="12">
        <v>0.90200000000000002</v>
      </c>
      <c r="V50" s="12">
        <v>0.93500000000000005</v>
      </c>
      <c r="W50" s="12">
        <v>0.81499999999999995</v>
      </c>
      <c r="X50" s="9">
        <v>0.93100000000000005</v>
      </c>
      <c r="Y50" s="9">
        <v>0.93899999999999995</v>
      </c>
      <c r="Z50" s="9">
        <v>1.1000000000000001</v>
      </c>
      <c r="AA50" s="12">
        <v>1.2</v>
      </c>
      <c r="AB50" s="12">
        <v>0.92100000000000004</v>
      </c>
      <c r="AC50" s="12">
        <v>0.89600000000000002</v>
      </c>
      <c r="AD50" s="9">
        <v>0.95</v>
      </c>
      <c r="AE50" s="9">
        <v>0.93300000000000005</v>
      </c>
      <c r="AF50" s="9">
        <v>0.96599999999999997</v>
      </c>
    </row>
    <row r="51" spans="1:34" x14ac:dyDescent="0.45">
      <c r="A51" s="47"/>
      <c r="B51" s="2" t="s">
        <v>3</v>
      </c>
      <c r="C51" s="12">
        <v>57.6</v>
      </c>
      <c r="D51" s="12">
        <v>0.34200000000000003</v>
      </c>
      <c r="E51" s="12">
        <v>73.900000000000006</v>
      </c>
      <c r="F51" s="9">
        <v>75.7</v>
      </c>
      <c r="G51" s="9">
        <v>7.5</v>
      </c>
      <c r="H51" s="9">
        <v>73.099999999999994</v>
      </c>
      <c r="I51" s="12">
        <v>76</v>
      </c>
      <c r="J51" s="12">
        <v>0.31900000000000001</v>
      </c>
      <c r="K51" s="12">
        <v>72.7</v>
      </c>
      <c r="L51" s="9">
        <v>72</v>
      </c>
      <c r="M51" s="9">
        <v>75.400000000000006</v>
      </c>
      <c r="N51" s="9">
        <v>74.099999999999994</v>
      </c>
      <c r="O51" s="12">
        <v>0.30099999999999999</v>
      </c>
      <c r="P51" s="12">
        <v>72.7</v>
      </c>
      <c r="Q51" s="12">
        <v>0.16200000000000001</v>
      </c>
      <c r="R51" s="9">
        <v>70.8</v>
      </c>
      <c r="S51" s="9">
        <v>73.3</v>
      </c>
      <c r="T51" s="9">
        <v>72.8</v>
      </c>
      <c r="U51" s="12">
        <v>0.21299999999999999</v>
      </c>
      <c r="V51" s="12">
        <v>73.099999999999994</v>
      </c>
      <c r="W51" s="12">
        <v>72.5</v>
      </c>
      <c r="X51" s="9">
        <v>0.28799999999999998</v>
      </c>
      <c r="Y51" s="9">
        <v>73.5</v>
      </c>
      <c r="Z51" s="9">
        <v>71.8</v>
      </c>
      <c r="AA51" s="12">
        <v>70.3</v>
      </c>
      <c r="AB51" s="12">
        <v>350.2</v>
      </c>
      <c r="AC51" s="12">
        <v>151.69999999999999</v>
      </c>
      <c r="AD51" s="9">
        <v>347.3</v>
      </c>
      <c r="AE51" s="9">
        <v>0.34300000000000003</v>
      </c>
      <c r="AF51" s="9">
        <v>356.8</v>
      </c>
    </row>
    <row r="52" spans="1:34" x14ac:dyDescent="0.45">
      <c r="A52" s="47"/>
      <c r="B52" s="2" t="s">
        <v>4</v>
      </c>
      <c r="C52" s="12">
        <v>26.2</v>
      </c>
      <c r="D52" s="12">
        <v>25.8</v>
      </c>
      <c r="E52" s="12">
        <v>26.3</v>
      </c>
      <c r="F52" s="9">
        <v>26.3</v>
      </c>
      <c r="G52" s="9">
        <v>26.2</v>
      </c>
      <c r="H52" s="9">
        <v>26.2</v>
      </c>
      <c r="I52" s="12">
        <v>26.1</v>
      </c>
      <c r="J52" s="12">
        <v>25.6</v>
      </c>
      <c r="K52" s="12">
        <v>26.4</v>
      </c>
      <c r="L52" s="9">
        <v>28.3</v>
      </c>
      <c r="M52" s="9">
        <v>26.7</v>
      </c>
      <c r="N52" s="9">
        <v>26.2</v>
      </c>
      <c r="O52" s="12">
        <v>26.4</v>
      </c>
      <c r="P52" s="12">
        <v>26.4</v>
      </c>
      <c r="Q52" s="12">
        <v>26.5</v>
      </c>
      <c r="R52" s="9">
        <v>27.2</v>
      </c>
      <c r="S52" s="9">
        <v>27</v>
      </c>
      <c r="T52" s="9">
        <v>26.7</v>
      </c>
      <c r="U52" s="12">
        <v>26.6</v>
      </c>
      <c r="V52" s="12">
        <v>26.9</v>
      </c>
      <c r="W52" s="12">
        <v>26.6</v>
      </c>
      <c r="X52" s="9">
        <v>26.3</v>
      </c>
      <c r="Y52" s="9">
        <v>26.2</v>
      </c>
      <c r="Z52" s="9">
        <v>26.2</v>
      </c>
      <c r="AA52" s="12">
        <v>25.7</v>
      </c>
      <c r="AB52" s="12">
        <v>26.7</v>
      </c>
      <c r="AC52" s="12">
        <v>28.8</v>
      </c>
      <c r="AD52" s="9">
        <v>26.5</v>
      </c>
      <c r="AE52" s="9">
        <v>26.4</v>
      </c>
      <c r="AF52" s="9">
        <v>26.5</v>
      </c>
    </row>
    <row r="53" spans="1:34" x14ac:dyDescent="0.45">
      <c r="A53" s="47"/>
      <c r="B53" s="2" t="s">
        <v>5</v>
      </c>
      <c r="C53" s="12">
        <v>90.1</v>
      </c>
      <c r="D53" s="12">
        <v>32</v>
      </c>
      <c r="E53" s="12">
        <v>106.5</v>
      </c>
      <c r="F53" s="9">
        <v>108.2</v>
      </c>
      <c r="G53" s="9">
        <v>39.6</v>
      </c>
      <c r="H53" s="9">
        <v>105.3</v>
      </c>
      <c r="I53" s="12">
        <v>108</v>
      </c>
      <c r="J53" s="12">
        <v>79.7</v>
      </c>
      <c r="K53" s="12">
        <v>105.1</v>
      </c>
      <c r="L53" s="9">
        <v>106.4</v>
      </c>
      <c r="M53" s="9">
        <v>108.4</v>
      </c>
      <c r="N53" s="9">
        <v>106.1</v>
      </c>
      <c r="O53" s="12">
        <v>33</v>
      </c>
      <c r="P53" s="12">
        <v>105</v>
      </c>
      <c r="Q53" s="12">
        <v>32.5</v>
      </c>
      <c r="R53" s="9">
        <v>131.69999999999999</v>
      </c>
      <c r="S53" s="9">
        <v>107.1</v>
      </c>
      <c r="T53" s="9">
        <v>105.4</v>
      </c>
      <c r="U53" s="12">
        <v>32.9</v>
      </c>
      <c r="V53" s="12">
        <v>106.2</v>
      </c>
      <c r="W53" s="12">
        <v>105</v>
      </c>
      <c r="X53" s="9">
        <v>56.1</v>
      </c>
      <c r="Y53" s="9">
        <v>106.3</v>
      </c>
      <c r="Z53" s="9">
        <v>104.3</v>
      </c>
      <c r="AA53" s="12">
        <v>102.1</v>
      </c>
      <c r="AB53" s="12">
        <v>382.7</v>
      </c>
      <c r="AC53" s="12">
        <v>187.2</v>
      </c>
      <c r="AD53" s="9">
        <v>378.8</v>
      </c>
      <c r="AE53" s="9">
        <v>33</v>
      </c>
      <c r="AF53" s="9">
        <v>390.1</v>
      </c>
    </row>
    <row r="54" spans="1:34" x14ac:dyDescent="0.45">
      <c r="A54" s="8"/>
      <c r="B54" s="2" t="s">
        <v>6</v>
      </c>
      <c r="C54" s="15" t="s">
        <v>64</v>
      </c>
      <c r="D54" s="14" t="s">
        <v>66</v>
      </c>
      <c r="E54" s="14" t="s">
        <v>69</v>
      </c>
      <c r="F54" s="11" t="s">
        <v>70</v>
      </c>
      <c r="G54" s="11" t="s">
        <v>76</v>
      </c>
      <c r="H54" s="11" t="s">
        <v>77</v>
      </c>
      <c r="I54" s="14" t="s">
        <v>82</v>
      </c>
      <c r="J54" s="14" t="s">
        <v>85</v>
      </c>
      <c r="K54" s="14" t="s">
        <v>88</v>
      </c>
      <c r="L54" s="11" t="s">
        <v>90</v>
      </c>
      <c r="M54" s="11" t="s">
        <v>92</v>
      </c>
      <c r="N54" s="11" t="s">
        <v>94</v>
      </c>
      <c r="O54" s="14" t="s">
        <v>96</v>
      </c>
      <c r="P54" s="14" t="s">
        <v>98</v>
      </c>
      <c r="Q54" s="14" t="s">
        <v>100</v>
      </c>
      <c r="R54" s="11" t="s">
        <v>101</v>
      </c>
      <c r="S54" s="11" t="s">
        <v>103</v>
      </c>
      <c r="T54" s="11" t="s">
        <v>106</v>
      </c>
      <c r="U54" s="14" t="s">
        <v>108</v>
      </c>
      <c r="V54" s="14" t="s">
        <v>109</v>
      </c>
      <c r="W54" s="14" t="s">
        <v>110</v>
      </c>
      <c r="X54" s="11" t="s">
        <v>112</v>
      </c>
      <c r="Y54" s="11" t="s">
        <v>114</v>
      </c>
      <c r="Z54" s="11" t="s">
        <v>116</v>
      </c>
      <c r="AA54" s="14" t="s">
        <v>118</v>
      </c>
      <c r="AB54" s="14" t="s">
        <v>120</v>
      </c>
      <c r="AC54" s="14" t="s">
        <v>144</v>
      </c>
      <c r="AD54" s="11" t="s">
        <v>143</v>
      </c>
      <c r="AE54" s="11" t="s">
        <v>142</v>
      </c>
      <c r="AF54" s="11" t="s">
        <v>141</v>
      </c>
      <c r="AH54" s="7"/>
    </row>
    <row r="55" spans="1:34" x14ac:dyDescent="0.45">
      <c r="A55" s="47" t="s">
        <v>17</v>
      </c>
      <c r="B55" s="6" t="s">
        <v>16</v>
      </c>
      <c r="C55" s="12">
        <v>37.878</v>
      </c>
      <c r="D55" s="12">
        <v>39.136000000000003</v>
      </c>
      <c r="E55" s="12">
        <v>50.305</v>
      </c>
      <c r="F55" s="9">
        <v>44.384999999999998</v>
      </c>
      <c r="G55" s="9">
        <v>51.220999999999997</v>
      </c>
      <c r="H55" s="9">
        <v>49.28</v>
      </c>
      <c r="I55" s="12">
        <v>31.885000000000002</v>
      </c>
      <c r="J55" s="12">
        <v>35.912999999999997</v>
      </c>
      <c r="K55" s="12">
        <v>35.460999999999999</v>
      </c>
      <c r="L55" s="9">
        <v>44.311999999999998</v>
      </c>
      <c r="M55" s="9">
        <v>32.213999999999999</v>
      </c>
      <c r="N55" s="9">
        <v>44.262999999999998</v>
      </c>
      <c r="O55" s="12">
        <v>45.435000000000002</v>
      </c>
      <c r="P55" s="12">
        <v>34.484999999999999</v>
      </c>
      <c r="Q55" s="12">
        <v>43.188000000000002</v>
      </c>
      <c r="R55" s="9">
        <v>44.603999999999999</v>
      </c>
      <c r="S55" s="9">
        <v>42.273000000000003</v>
      </c>
      <c r="T55" s="9">
        <v>45.984000000000002</v>
      </c>
      <c r="U55" s="12">
        <v>39.807000000000002</v>
      </c>
      <c r="V55" s="12">
        <v>37.585000000000001</v>
      </c>
      <c r="W55" s="12">
        <v>42.981000000000002</v>
      </c>
      <c r="X55" s="9">
        <v>49.316000000000003</v>
      </c>
      <c r="Y55" s="9">
        <v>55.347000000000001</v>
      </c>
      <c r="Z55" s="9">
        <v>43.579000000000001</v>
      </c>
      <c r="AA55" s="12">
        <v>40.576000000000001</v>
      </c>
      <c r="AB55" s="12">
        <v>36.731000000000002</v>
      </c>
      <c r="AC55" s="12">
        <v>37.207000000000001</v>
      </c>
      <c r="AD55" s="9">
        <v>43.347000000000001</v>
      </c>
      <c r="AE55" s="9">
        <v>51.05</v>
      </c>
      <c r="AF55" s="9">
        <v>40.344000000000001</v>
      </c>
    </row>
    <row r="56" spans="1:34" x14ac:dyDescent="0.45">
      <c r="A56" s="47"/>
      <c r="B56" s="6" t="s">
        <v>18</v>
      </c>
      <c r="C56" s="12">
        <v>23.364000000000001</v>
      </c>
      <c r="D56" s="12">
        <v>24.768000000000001</v>
      </c>
      <c r="E56" s="12">
        <v>20.081</v>
      </c>
      <c r="F56" s="9">
        <v>23.632999999999999</v>
      </c>
      <c r="G56" s="9">
        <v>19.530999999999999</v>
      </c>
      <c r="H56" s="9">
        <v>22.338999999999999</v>
      </c>
      <c r="I56" s="12">
        <v>21.606000000000002</v>
      </c>
      <c r="J56" s="12">
        <v>20.690999999999999</v>
      </c>
      <c r="K56" s="12">
        <v>20.093</v>
      </c>
      <c r="L56" s="9">
        <v>19.640999999999998</v>
      </c>
      <c r="M56" s="9">
        <v>20.776</v>
      </c>
      <c r="N56" s="9">
        <v>17.651</v>
      </c>
      <c r="O56" s="12">
        <v>21.265000000000001</v>
      </c>
      <c r="P56" s="12">
        <v>22.960999999999999</v>
      </c>
      <c r="Q56" s="12">
        <v>19.542999999999999</v>
      </c>
      <c r="R56" s="9">
        <v>20.885999999999999</v>
      </c>
      <c r="S56" s="9">
        <v>20.056000000000001</v>
      </c>
      <c r="T56" s="9">
        <v>24.437999999999999</v>
      </c>
      <c r="U56" s="12">
        <v>21.521000000000001</v>
      </c>
      <c r="V56" s="12">
        <v>22.655999999999999</v>
      </c>
      <c r="W56" s="12">
        <v>19.25</v>
      </c>
      <c r="X56" s="9">
        <v>18.701000000000001</v>
      </c>
      <c r="Y56" s="9">
        <v>21.13</v>
      </c>
      <c r="Z56" s="9">
        <v>22.827000000000002</v>
      </c>
      <c r="AA56" s="12">
        <v>26.501000000000001</v>
      </c>
      <c r="AB56" s="12">
        <v>23.388999999999999</v>
      </c>
      <c r="AC56" s="12">
        <v>22.411999999999999</v>
      </c>
      <c r="AD56" s="9">
        <v>24.975999999999999</v>
      </c>
      <c r="AE56" s="9">
        <v>18.433</v>
      </c>
      <c r="AF56" s="9">
        <v>23.547000000000001</v>
      </c>
    </row>
    <row r="57" spans="1:34" x14ac:dyDescent="0.45">
      <c r="A57" s="47"/>
      <c r="B57" s="6" t="s">
        <v>20</v>
      </c>
      <c r="C57" s="12">
        <v>22.632000000000001</v>
      </c>
      <c r="D57" s="12">
        <v>20.728000000000002</v>
      </c>
      <c r="E57" s="12">
        <v>19.457999999999998</v>
      </c>
      <c r="F57" s="9">
        <v>18.11</v>
      </c>
      <c r="G57" s="9">
        <v>19.128</v>
      </c>
      <c r="H57" s="9">
        <v>18.518000000000001</v>
      </c>
      <c r="I57" s="12">
        <v>27.306999999999999</v>
      </c>
      <c r="J57" s="12">
        <v>25.684000000000001</v>
      </c>
      <c r="K57" s="12">
        <v>29.492000000000001</v>
      </c>
      <c r="L57" s="9">
        <v>23.693999999999999</v>
      </c>
      <c r="M57" s="9">
        <v>27.954000000000001</v>
      </c>
      <c r="N57" s="9">
        <v>26.721</v>
      </c>
      <c r="O57" s="12">
        <v>20.507999999999999</v>
      </c>
      <c r="P57" s="12">
        <v>23.766999999999999</v>
      </c>
      <c r="Q57" s="12">
        <v>24.425999999999998</v>
      </c>
      <c r="R57" s="9">
        <v>22.460999999999999</v>
      </c>
      <c r="S57" s="9">
        <v>23.632999999999999</v>
      </c>
      <c r="T57" s="9">
        <v>16.98</v>
      </c>
      <c r="U57" s="12">
        <v>21.655000000000001</v>
      </c>
      <c r="V57" s="12">
        <v>22.716999999999999</v>
      </c>
      <c r="W57" s="12">
        <v>24.193999999999999</v>
      </c>
      <c r="X57" s="9">
        <v>20.239000000000001</v>
      </c>
      <c r="Y57" s="9">
        <v>14.648</v>
      </c>
      <c r="Z57" s="9">
        <v>19.481999999999999</v>
      </c>
      <c r="AA57" s="12">
        <v>18.53</v>
      </c>
      <c r="AB57" s="12">
        <v>22.411999999999999</v>
      </c>
      <c r="AC57" s="12">
        <v>22.998000000000001</v>
      </c>
      <c r="AD57" s="9">
        <v>17.969000000000001</v>
      </c>
      <c r="AE57" s="9">
        <v>19.568000000000001</v>
      </c>
      <c r="AF57" s="9">
        <v>21.631</v>
      </c>
    </row>
    <row r="58" spans="1:34" x14ac:dyDescent="0.45">
      <c r="A58" s="47"/>
      <c r="B58" s="6" t="s">
        <v>19</v>
      </c>
      <c r="C58" s="12">
        <v>16.125</v>
      </c>
      <c r="D58" s="12">
        <v>15.369</v>
      </c>
      <c r="E58" s="12">
        <v>10.156000000000001</v>
      </c>
      <c r="F58" s="9">
        <v>13.867000000000001</v>
      </c>
      <c r="G58" s="9">
        <v>10.119999999999999</v>
      </c>
      <c r="H58" s="9">
        <v>9.8629999999999995</v>
      </c>
      <c r="I58" s="12">
        <v>19.202000000000002</v>
      </c>
      <c r="J58" s="12">
        <v>17.712</v>
      </c>
      <c r="K58" s="12">
        <v>14.954000000000001</v>
      </c>
      <c r="L58" s="9">
        <v>12.353999999999999</v>
      </c>
      <c r="M58" s="9">
        <v>19.055</v>
      </c>
      <c r="N58" s="9">
        <v>11.365</v>
      </c>
      <c r="O58" s="12">
        <v>12.792999999999999</v>
      </c>
      <c r="P58" s="12">
        <v>18.786999999999999</v>
      </c>
      <c r="Q58" s="12">
        <v>12.842000000000001</v>
      </c>
      <c r="R58" s="9">
        <v>12.048</v>
      </c>
      <c r="S58" s="9">
        <v>14.038</v>
      </c>
      <c r="T58" s="9">
        <v>12.598000000000001</v>
      </c>
      <c r="U58" s="12">
        <v>17.016999999999999</v>
      </c>
      <c r="V58" s="12">
        <v>17.041</v>
      </c>
      <c r="W58" s="12">
        <v>13.574</v>
      </c>
      <c r="X58" s="9">
        <v>11.743</v>
      </c>
      <c r="Y58" s="9">
        <v>8.875</v>
      </c>
      <c r="Z58" s="9">
        <v>14.111000000000001</v>
      </c>
      <c r="AA58" s="12">
        <v>14.391999999999999</v>
      </c>
      <c r="AB58" s="12">
        <v>17.468</v>
      </c>
      <c r="AC58" s="12">
        <v>17.382999999999999</v>
      </c>
      <c r="AD58" s="9">
        <v>13.708</v>
      </c>
      <c r="AE58" s="9">
        <v>10.95</v>
      </c>
      <c r="AF58" s="9">
        <v>14.478</v>
      </c>
    </row>
    <row r="59" spans="1:34" x14ac:dyDescent="0.45">
      <c r="A59" s="48" t="s">
        <v>22</v>
      </c>
      <c r="B59" s="48"/>
      <c r="C59" s="12">
        <f>SUM(C56:C58)</f>
        <v>62.121000000000002</v>
      </c>
      <c r="D59" s="12">
        <f>SUM(F36:F38)</f>
        <v>61.817000000000007</v>
      </c>
      <c r="E59" s="12">
        <f>SUM(D56:D58)</f>
        <v>60.865000000000002</v>
      </c>
      <c r="F59" s="9">
        <f>SUM(F56:F58)</f>
        <v>55.61</v>
      </c>
      <c r="G59" s="9">
        <f>SUM(G56:G58)</f>
        <v>48.778999999999996</v>
      </c>
      <c r="H59" s="9">
        <f>SUM(H56:H58)</f>
        <v>50.72</v>
      </c>
      <c r="I59" s="12">
        <f>SUM(I57:I58)</f>
        <v>46.509</v>
      </c>
      <c r="J59" s="12">
        <f t="shared" ref="J59:AF59" si="4">SUM(J56:J58)</f>
        <v>64.087000000000003</v>
      </c>
      <c r="K59" s="12">
        <f t="shared" si="4"/>
        <v>64.539000000000001</v>
      </c>
      <c r="L59" s="9">
        <f t="shared" si="4"/>
        <v>55.688999999999993</v>
      </c>
      <c r="M59" s="9">
        <f t="shared" si="4"/>
        <v>67.784999999999997</v>
      </c>
      <c r="N59" s="9">
        <f t="shared" si="4"/>
        <v>55.737000000000002</v>
      </c>
      <c r="O59" s="12">
        <f t="shared" si="4"/>
        <v>54.565999999999995</v>
      </c>
      <c r="P59" s="12">
        <f t="shared" si="4"/>
        <v>65.514999999999986</v>
      </c>
      <c r="Q59" s="12">
        <f t="shared" si="4"/>
        <v>56.810999999999993</v>
      </c>
      <c r="R59" s="9">
        <f t="shared" si="4"/>
        <v>55.394999999999996</v>
      </c>
      <c r="S59" s="9">
        <f t="shared" si="4"/>
        <v>57.727000000000004</v>
      </c>
      <c r="T59" s="9">
        <f t="shared" si="4"/>
        <v>54.015999999999998</v>
      </c>
      <c r="U59" s="12">
        <f t="shared" si="4"/>
        <v>60.192999999999998</v>
      </c>
      <c r="V59" s="12">
        <f t="shared" si="4"/>
        <v>62.414000000000001</v>
      </c>
      <c r="W59" s="12">
        <f t="shared" si="4"/>
        <v>57.018000000000001</v>
      </c>
      <c r="X59" s="9">
        <f t="shared" si="4"/>
        <v>50.683</v>
      </c>
      <c r="Y59" s="9">
        <f t="shared" si="4"/>
        <v>44.652999999999999</v>
      </c>
      <c r="Z59" s="9">
        <f t="shared" si="4"/>
        <v>56.42</v>
      </c>
      <c r="AA59" s="12">
        <f t="shared" si="4"/>
        <v>59.423000000000002</v>
      </c>
      <c r="AB59" s="12">
        <f t="shared" si="4"/>
        <v>63.269000000000005</v>
      </c>
      <c r="AC59" s="12">
        <f t="shared" si="4"/>
        <v>62.792999999999992</v>
      </c>
      <c r="AD59" s="9">
        <f t="shared" si="4"/>
        <v>56.652999999999999</v>
      </c>
      <c r="AE59" s="9">
        <f t="shared" si="4"/>
        <v>48.951000000000008</v>
      </c>
      <c r="AF59" s="9">
        <f t="shared" si="4"/>
        <v>59.655999999999999</v>
      </c>
      <c r="AG59" s="12">
        <f>(SUM(C59:E59)+SUM(I59:K59)+SUM(O59:Q59)+SUM(U59:W59)+SUM(AA59:AC59))/15</f>
        <v>60.129333333333328</v>
      </c>
      <c r="AH59" s="9">
        <f>(SUM(F59:H59)+SUM(L59:N59)+SUM(R59:T59)+SUM(X59:Z59)+SUM(AD59:AF59))/15</f>
        <v>54.564933333333329</v>
      </c>
    </row>
    <row r="63" spans="1:34" x14ac:dyDescent="0.45">
      <c r="A63" s="47" t="s">
        <v>0</v>
      </c>
      <c r="B63" s="47"/>
      <c r="C63" s="12" t="s">
        <v>60</v>
      </c>
      <c r="D63" s="12" t="s">
        <v>60</v>
      </c>
      <c r="E63" s="12" t="s">
        <v>60</v>
      </c>
      <c r="F63" s="9" t="s">
        <v>60</v>
      </c>
      <c r="G63" s="9" t="s">
        <v>60</v>
      </c>
      <c r="H63" s="9" t="s">
        <v>60</v>
      </c>
      <c r="I63" s="12" t="s">
        <v>60</v>
      </c>
      <c r="J63" s="12" t="s">
        <v>60</v>
      </c>
      <c r="K63" s="12" t="s">
        <v>60</v>
      </c>
      <c r="L63" s="9" t="s">
        <v>60</v>
      </c>
      <c r="M63" s="9" t="s">
        <v>60</v>
      </c>
      <c r="N63" s="9" t="s">
        <v>60</v>
      </c>
      <c r="O63" s="12" t="s">
        <v>60</v>
      </c>
      <c r="P63" s="12" t="s">
        <v>60</v>
      </c>
      <c r="Q63" s="12" t="s">
        <v>60</v>
      </c>
      <c r="R63" s="9" t="s">
        <v>60</v>
      </c>
      <c r="S63" s="9" t="s">
        <v>60</v>
      </c>
      <c r="T63" s="9" t="s">
        <v>60</v>
      </c>
      <c r="U63" s="12" t="s">
        <v>60</v>
      </c>
      <c r="V63" s="12" t="s">
        <v>60</v>
      </c>
      <c r="W63" s="12" t="s">
        <v>60</v>
      </c>
      <c r="X63" s="9" t="s">
        <v>60</v>
      </c>
      <c r="Y63" s="9" t="s">
        <v>60</v>
      </c>
      <c r="Z63" s="9" t="s">
        <v>60</v>
      </c>
      <c r="AA63" s="12" t="s">
        <v>60</v>
      </c>
      <c r="AB63" s="12" t="s">
        <v>60</v>
      </c>
      <c r="AC63" s="12" t="s">
        <v>60</v>
      </c>
      <c r="AD63" s="9" t="s">
        <v>60</v>
      </c>
      <c r="AE63" s="9" t="s">
        <v>60</v>
      </c>
      <c r="AF63" s="9" t="s">
        <v>60</v>
      </c>
    </row>
    <row r="64" spans="1:34" x14ac:dyDescent="0.45">
      <c r="A64" s="47" t="s">
        <v>10</v>
      </c>
      <c r="B64" s="47"/>
      <c r="C64" s="13" t="s">
        <v>16</v>
      </c>
      <c r="D64" s="13" t="s">
        <v>16</v>
      </c>
      <c r="E64" s="13" t="s">
        <v>16</v>
      </c>
      <c r="F64" s="10" t="s">
        <v>16</v>
      </c>
      <c r="G64" s="10" t="s">
        <v>16</v>
      </c>
      <c r="H64" s="10" t="s">
        <v>16</v>
      </c>
      <c r="I64" s="13" t="s">
        <v>16</v>
      </c>
      <c r="J64" s="13" t="s">
        <v>16</v>
      </c>
      <c r="K64" s="13" t="s">
        <v>16</v>
      </c>
      <c r="L64" s="10" t="s">
        <v>16</v>
      </c>
      <c r="M64" s="10" t="s">
        <v>16</v>
      </c>
      <c r="N64" s="10" t="s">
        <v>16</v>
      </c>
      <c r="O64" s="13" t="s">
        <v>16</v>
      </c>
      <c r="P64" s="13" t="s">
        <v>16</v>
      </c>
      <c r="Q64" s="13" t="s">
        <v>16</v>
      </c>
      <c r="R64" s="10" t="s">
        <v>16</v>
      </c>
      <c r="S64" s="10" t="s">
        <v>16</v>
      </c>
      <c r="T64" s="10" t="s">
        <v>16</v>
      </c>
      <c r="U64" s="13" t="s">
        <v>16</v>
      </c>
      <c r="V64" s="13" t="s">
        <v>16</v>
      </c>
      <c r="W64" s="13" t="s">
        <v>16</v>
      </c>
      <c r="X64" s="10" t="s">
        <v>16</v>
      </c>
      <c r="Y64" s="10" t="s">
        <v>16</v>
      </c>
      <c r="Z64" s="10" t="s">
        <v>16</v>
      </c>
      <c r="AA64" s="13" t="s">
        <v>16</v>
      </c>
      <c r="AB64" s="13" t="s">
        <v>16</v>
      </c>
      <c r="AC64" s="13" t="s">
        <v>16</v>
      </c>
      <c r="AD64" s="10" t="s">
        <v>16</v>
      </c>
      <c r="AE64" s="10" t="s">
        <v>16</v>
      </c>
      <c r="AF64" s="10" t="s">
        <v>16</v>
      </c>
    </row>
    <row r="65" spans="1:34" x14ac:dyDescent="0.45">
      <c r="A65" s="47" t="s">
        <v>1</v>
      </c>
      <c r="B65" s="47"/>
      <c r="C65" s="12" t="s">
        <v>8</v>
      </c>
      <c r="D65" s="12" t="s">
        <v>8</v>
      </c>
      <c r="E65" s="12" t="s">
        <v>8</v>
      </c>
      <c r="F65" s="9" t="s">
        <v>8</v>
      </c>
      <c r="G65" s="9" t="s">
        <v>8</v>
      </c>
      <c r="H65" s="9" t="s">
        <v>8</v>
      </c>
      <c r="I65" s="12" t="s">
        <v>27</v>
      </c>
      <c r="J65" s="12" t="s">
        <v>27</v>
      </c>
      <c r="K65" s="12" t="s">
        <v>27</v>
      </c>
      <c r="L65" s="9" t="s">
        <v>27</v>
      </c>
      <c r="M65" s="9" t="s">
        <v>27</v>
      </c>
      <c r="N65" s="9" t="s">
        <v>27</v>
      </c>
      <c r="O65" s="12" t="s">
        <v>28</v>
      </c>
      <c r="P65" s="12" t="s">
        <v>28</v>
      </c>
      <c r="Q65" s="12" t="s">
        <v>28</v>
      </c>
      <c r="R65" s="9" t="s">
        <v>28</v>
      </c>
      <c r="S65" s="9" t="s">
        <v>28</v>
      </c>
      <c r="T65" s="9" t="s">
        <v>28</v>
      </c>
      <c r="U65" s="12" t="s">
        <v>29</v>
      </c>
      <c r="V65" s="12" t="s">
        <v>29</v>
      </c>
      <c r="W65" s="12" t="s">
        <v>29</v>
      </c>
      <c r="X65" s="9" t="s">
        <v>29</v>
      </c>
      <c r="Y65" s="9" t="s">
        <v>29</v>
      </c>
      <c r="Z65" s="9" t="s">
        <v>29</v>
      </c>
      <c r="AA65" s="12" t="s">
        <v>30</v>
      </c>
      <c r="AB65" s="12" t="s">
        <v>30</v>
      </c>
      <c r="AC65" s="12" t="s">
        <v>30</v>
      </c>
      <c r="AD65" s="9" t="s">
        <v>30</v>
      </c>
      <c r="AE65" s="9" t="s">
        <v>30</v>
      </c>
      <c r="AF65" s="9" t="s">
        <v>30</v>
      </c>
    </row>
    <row r="66" spans="1:34" x14ac:dyDescent="0.45">
      <c r="A66" s="47" t="s">
        <v>13</v>
      </c>
      <c r="B66" s="4" t="s">
        <v>12</v>
      </c>
      <c r="C66" s="12" t="s">
        <v>21</v>
      </c>
      <c r="D66" s="12" t="s">
        <v>21</v>
      </c>
      <c r="E66" s="12" t="s">
        <v>21</v>
      </c>
      <c r="F66" s="9" t="s">
        <v>26</v>
      </c>
      <c r="G66" s="9" t="s">
        <v>26</v>
      </c>
      <c r="H66" s="9" t="s">
        <v>26</v>
      </c>
      <c r="I66" s="12" t="s">
        <v>21</v>
      </c>
      <c r="J66" s="12" t="s">
        <v>21</v>
      </c>
      <c r="K66" s="12" t="s">
        <v>21</v>
      </c>
      <c r="L66" s="9" t="s">
        <v>26</v>
      </c>
      <c r="M66" s="9" t="s">
        <v>26</v>
      </c>
      <c r="N66" s="9" t="s">
        <v>26</v>
      </c>
      <c r="O66" s="12" t="s">
        <v>21</v>
      </c>
      <c r="P66" s="12" t="s">
        <v>21</v>
      </c>
      <c r="Q66" s="12" t="s">
        <v>21</v>
      </c>
      <c r="R66" s="9" t="s">
        <v>26</v>
      </c>
      <c r="S66" s="9" t="s">
        <v>26</v>
      </c>
      <c r="T66" s="9" t="s">
        <v>26</v>
      </c>
      <c r="U66" s="12" t="s">
        <v>21</v>
      </c>
      <c r="V66" s="12" t="s">
        <v>21</v>
      </c>
      <c r="W66" s="12" t="s">
        <v>21</v>
      </c>
      <c r="X66" s="9" t="s">
        <v>26</v>
      </c>
      <c r="Y66" s="9" t="s">
        <v>26</v>
      </c>
      <c r="Z66" s="9" t="s">
        <v>26</v>
      </c>
      <c r="AA66" s="12" t="s">
        <v>21</v>
      </c>
      <c r="AB66" s="12" t="s">
        <v>21</v>
      </c>
      <c r="AC66" s="12" t="s">
        <v>21</v>
      </c>
      <c r="AD66" s="9" t="s">
        <v>26</v>
      </c>
      <c r="AE66" s="9" t="s">
        <v>26</v>
      </c>
      <c r="AF66" s="9" t="s">
        <v>26</v>
      </c>
    </row>
    <row r="67" spans="1:34" x14ac:dyDescent="0.45">
      <c r="A67" s="47"/>
      <c r="B67" s="4" t="s">
        <v>14</v>
      </c>
      <c r="C67" s="12">
        <v>46</v>
      </c>
      <c r="D67" s="12">
        <v>39</v>
      </c>
      <c r="E67" s="12">
        <v>70</v>
      </c>
      <c r="F67" s="9">
        <v>45</v>
      </c>
      <c r="G67" s="9">
        <v>47</v>
      </c>
      <c r="H67" s="9">
        <v>64</v>
      </c>
      <c r="I67" s="12">
        <v>42</v>
      </c>
      <c r="J67" s="12">
        <v>37</v>
      </c>
      <c r="K67" s="12">
        <v>37</v>
      </c>
      <c r="L67" s="9">
        <v>56</v>
      </c>
      <c r="M67" s="9">
        <v>76</v>
      </c>
      <c r="N67" s="9">
        <v>43</v>
      </c>
      <c r="O67" s="12">
        <v>98</v>
      </c>
      <c r="P67" s="12">
        <v>89</v>
      </c>
      <c r="Q67" s="12">
        <v>39</v>
      </c>
      <c r="R67" s="9">
        <v>41</v>
      </c>
      <c r="S67" s="9">
        <v>41</v>
      </c>
      <c r="T67" s="9">
        <v>41</v>
      </c>
      <c r="U67" s="12">
        <v>42</v>
      </c>
      <c r="V67" s="12">
        <v>39</v>
      </c>
      <c r="W67" s="12">
        <v>98</v>
      </c>
      <c r="X67" s="9">
        <v>81</v>
      </c>
      <c r="Y67" s="9">
        <v>90</v>
      </c>
      <c r="Z67" s="9">
        <v>64</v>
      </c>
      <c r="AA67" s="12">
        <v>36</v>
      </c>
      <c r="AB67" s="12">
        <v>86</v>
      </c>
      <c r="AC67" s="12">
        <v>47</v>
      </c>
      <c r="AD67" s="9">
        <v>41</v>
      </c>
      <c r="AE67" s="9">
        <v>75</v>
      </c>
      <c r="AF67" s="9">
        <v>45</v>
      </c>
    </row>
    <row r="68" spans="1:34" x14ac:dyDescent="0.45">
      <c r="A68" s="47"/>
      <c r="B68" s="3" t="s">
        <v>15</v>
      </c>
      <c r="C68" s="12">
        <v>32</v>
      </c>
      <c r="D68" s="12">
        <v>32</v>
      </c>
      <c r="E68" s="12">
        <v>32</v>
      </c>
      <c r="F68" s="9">
        <v>42</v>
      </c>
      <c r="G68" s="9">
        <v>42</v>
      </c>
      <c r="H68" s="9">
        <v>44</v>
      </c>
      <c r="I68" s="12">
        <v>37</v>
      </c>
      <c r="J68" s="12">
        <v>37</v>
      </c>
      <c r="K68" s="12">
        <v>37</v>
      </c>
      <c r="L68" s="9">
        <v>48</v>
      </c>
      <c r="M68" s="9">
        <v>49</v>
      </c>
      <c r="N68" s="9">
        <v>47</v>
      </c>
      <c r="O68" s="12">
        <v>37</v>
      </c>
      <c r="P68" s="12">
        <v>37</v>
      </c>
      <c r="Q68" s="12">
        <v>37</v>
      </c>
      <c r="R68" s="9">
        <v>47</v>
      </c>
      <c r="S68" s="9">
        <v>47</v>
      </c>
      <c r="T68" s="9">
        <v>47</v>
      </c>
      <c r="U68" s="12">
        <v>37</v>
      </c>
      <c r="V68" s="12">
        <v>37</v>
      </c>
      <c r="W68" s="12">
        <v>37</v>
      </c>
      <c r="X68" s="9">
        <v>49</v>
      </c>
      <c r="Y68" s="9">
        <v>49</v>
      </c>
      <c r="Z68" s="9">
        <v>49</v>
      </c>
      <c r="AA68" s="12">
        <v>37</v>
      </c>
      <c r="AB68" s="12">
        <v>37</v>
      </c>
      <c r="AC68" s="12">
        <v>37</v>
      </c>
      <c r="AD68" s="9">
        <v>47</v>
      </c>
      <c r="AE68" s="9">
        <v>47</v>
      </c>
      <c r="AF68" s="9">
        <v>47</v>
      </c>
    </row>
    <row r="69" spans="1:34" x14ac:dyDescent="0.45">
      <c r="A69" s="47" t="s">
        <v>11</v>
      </c>
      <c r="B69" s="47"/>
      <c r="C69" s="12">
        <v>8192</v>
      </c>
      <c r="D69" s="12">
        <v>8192</v>
      </c>
      <c r="E69" s="12">
        <v>8192</v>
      </c>
      <c r="F69" s="9">
        <v>8192</v>
      </c>
      <c r="G69" s="9">
        <v>8192</v>
      </c>
      <c r="H69" s="9">
        <v>8192</v>
      </c>
      <c r="I69" s="12">
        <v>8192</v>
      </c>
      <c r="J69" s="12">
        <v>8192</v>
      </c>
      <c r="K69" s="12">
        <v>8192</v>
      </c>
      <c r="L69" s="9">
        <v>8192</v>
      </c>
      <c r="M69" s="9">
        <v>8192</v>
      </c>
      <c r="N69" s="9">
        <v>8192</v>
      </c>
      <c r="O69" s="12">
        <v>8192</v>
      </c>
      <c r="P69" s="12">
        <v>8192</v>
      </c>
      <c r="Q69" s="12">
        <v>8192</v>
      </c>
      <c r="R69" s="9">
        <v>8192</v>
      </c>
      <c r="S69" s="9">
        <v>8192</v>
      </c>
      <c r="T69" s="9">
        <v>8192</v>
      </c>
      <c r="U69" s="12">
        <v>8192</v>
      </c>
      <c r="V69" s="12">
        <v>8192</v>
      </c>
      <c r="W69" s="12">
        <v>8192</v>
      </c>
      <c r="X69" s="9">
        <v>8192</v>
      </c>
      <c r="Y69" s="9">
        <v>8192</v>
      </c>
      <c r="Z69" s="9">
        <v>8192</v>
      </c>
      <c r="AA69" s="12">
        <v>8192</v>
      </c>
      <c r="AB69" s="12">
        <v>8192</v>
      </c>
      <c r="AC69" s="12">
        <v>8192</v>
      </c>
      <c r="AD69" s="9">
        <v>8192</v>
      </c>
      <c r="AE69" s="9">
        <v>8192</v>
      </c>
      <c r="AF69" s="9">
        <v>8192</v>
      </c>
    </row>
    <row r="70" spans="1:34" x14ac:dyDescent="0.45">
      <c r="A70" s="47" t="s">
        <v>42</v>
      </c>
      <c r="B70" s="2" t="s">
        <v>2</v>
      </c>
      <c r="C70" s="12">
        <v>0.88</v>
      </c>
      <c r="D70" s="12">
        <v>0.94399999999999995</v>
      </c>
      <c r="E70" s="12">
        <v>1.4</v>
      </c>
      <c r="F70" s="9">
        <v>0.80500000000000005</v>
      </c>
      <c r="G70" s="9">
        <v>0.97299999999999998</v>
      </c>
      <c r="H70" s="9">
        <v>1.2</v>
      </c>
      <c r="I70" s="12">
        <v>0.88200000000000001</v>
      </c>
      <c r="J70" s="12">
        <v>0.95799999999999996</v>
      </c>
      <c r="K70" s="12">
        <v>0.96099999999999997</v>
      </c>
      <c r="L70" s="9">
        <v>0.96</v>
      </c>
      <c r="M70" s="9">
        <v>0.89800000000000002</v>
      </c>
      <c r="N70" s="9">
        <v>0.90400000000000003</v>
      </c>
      <c r="O70" s="12">
        <v>0.95899999999999996</v>
      </c>
      <c r="P70" s="12">
        <v>0.94699999999999995</v>
      </c>
      <c r="Q70" s="12">
        <v>0.81599999999999995</v>
      </c>
      <c r="R70" s="9">
        <v>0.94699999999999995</v>
      </c>
      <c r="S70" s="9">
        <v>0.92</v>
      </c>
      <c r="T70" s="9">
        <v>0.81799999999999995</v>
      </c>
      <c r="U70" s="12">
        <v>0.91800000000000004</v>
      </c>
      <c r="V70" s="12">
        <v>0.94599999999999995</v>
      </c>
      <c r="W70" s="12">
        <v>0.90500000000000003</v>
      </c>
      <c r="X70" s="9">
        <v>1</v>
      </c>
      <c r="Y70" s="9">
        <v>0.96799999999999997</v>
      </c>
      <c r="Z70" s="9">
        <v>0.95499999999999996</v>
      </c>
      <c r="AA70" s="12">
        <v>0.93899999999999995</v>
      </c>
      <c r="AB70" s="12">
        <v>0.82799999999999996</v>
      </c>
      <c r="AC70" s="12">
        <v>0.92</v>
      </c>
      <c r="AD70" s="9">
        <v>0.87</v>
      </c>
      <c r="AE70" s="9">
        <v>0.93300000000000005</v>
      </c>
      <c r="AF70" s="9">
        <v>0.86199999999999999</v>
      </c>
    </row>
    <row r="71" spans="1:34" x14ac:dyDescent="0.45">
      <c r="A71" s="47"/>
      <c r="B71" s="2" t="s">
        <v>3</v>
      </c>
      <c r="C71" s="12">
        <v>3192.2</v>
      </c>
      <c r="D71" s="12">
        <v>1124.2</v>
      </c>
      <c r="E71" s="12">
        <v>794</v>
      </c>
      <c r="F71" s="9">
        <v>952.6</v>
      </c>
      <c r="G71" s="9">
        <f>12*60+51.5</f>
        <v>771.5</v>
      </c>
      <c r="H71" s="9">
        <f>14*60+46.9</f>
        <v>886.9</v>
      </c>
      <c r="I71" s="12">
        <f>14*60+16.7</f>
        <v>856.7</v>
      </c>
      <c r="J71" s="12">
        <f>20*60+28.6</f>
        <v>1228.5999999999999</v>
      </c>
      <c r="K71" s="12">
        <f>16*60+1.3</f>
        <v>961.3</v>
      </c>
      <c r="L71" s="9">
        <f>21*60+15.4</f>
        <v>1275.4000000000001</v>
      </c>
      <c r="M71" s="9">
        <f>16*60+25.2</f>
        <v>985.2</v>
      </c>
      <c r="N71" s="9">
        <f>12*60+0.9</f>
        <v>720.9</v>
      </c>
      <c r="O71" s="12">
        <f>14*60+24.9</f>
        <v>864.9</v>
      </c>
      <c r="P71" s="12">
        <f>17*60+21.8</f>
        <v>1041.8</v>
      </c>
      <c r="Q71" s="12">
        <f>18*60+9.3</f>
        <v>1089.3</v>
      </c>
      <c r="R71" s="9">
        <f>15*60+20.3</f>
        <v>920.3</v>
      </c>
      <c r="S71" s="9">
        <f>22*60+51.5</f>
        <v>1371.5</v>
      </c>
      <c r="T71" s="9">
        <f>14*60+34.7</f>
        <v>874.7</v>
      </c>
      <c r="U71" s="12">
        <f>17*60+48.5</f>
        <v>1068.5</v>
      </c>
      <c r="V71" s="12">
        <f>14*60+44.8</f>
        <v>884.8</v>
      </c>
      <c r="W71" s="12">
        <f>20*60+22.3</f>
        <v>1222.3</v>
      </c>
      <c r="X71" s="9">
        <f>14*60+41</f>
        <v>881</v>
      </c>
      <c r="Y71" s="9">
        <f>23*60+38.6</f>
        <v>1418.6</v>
      </c>
      <c r="Z71" s="9">
        <f>11*60+41.8</f>
        <v>701.8</v>
      </c>
      <c r="AA71" s="12">
        <f>11*60+22.7</f>
        <v>682.7</v>
      </c>
      <c r="AB71" s="12">
        <f>13*60+6.1</f>
        <v>786.1</v>
      </c>
      <c r="AC71" s="12">
        <f>9*60+49.6</f>
        <v>589.6</v>
      </c>
      <c r="AD71" s="9">
        <f>13*60+53.7</f>
        <v>833.7</v>
      </c>
      <c r="AE71" s="9">
        <f>11*60+19.2</f>
        <v>679.2</v>
      </c>
      <c r="AF71" s="9">
        <f>13*60+8.9</f>
        <v>788.9</v>
      </c>
    </row>
    <row r="72" spans="1:34" x14ac:dyDescent="0.45">
      <c r="A72" s="47"/>
      <c r="B72" s="2" t="s">
        <v>4</v>
      </c>
      <c r="C72" s="12">
        <v>29.3</v>
      </c>
      <c r="D72" s="12">
        <v>29.6</v>
      </c>
      <c r="E72" s="12">
        <v>29.2</v>
      </c>
      <c r="F72" s="9">
        <v>29.3</v>
      </c>
      <c r="G72" s="9">
        <v>29.2</v>
      </c>
      <c r="H72" s="9">
        <v>29.9</v>
      </c>
      <c r="I72" s="12">
        <v>30</v>
      </c>
      <c r="J72" s="12">
        <v>29.2</v>
      </c>
      <c r="K72" s="12">
        <v>29.4</v>
      </c>
      <c r="L72" s="9">
        <v>29.4</v>
      </c>
      <c r="M72" s="9">
        <v>29.5</v>
      </c>
      <c r="N72" s="9">
        <v>29.3</v>
      </c>
      <c r="O72" s="12">
        <v>29.7</v>
      </c>
      <c r="P72" s="12">
        <v>29.5</v>
      </c>
      <c r="Q72" s="12">
        <v>29.3</v>
      </c>
      <c r="R72" s="9">
        <v>29.3</v>
      </c>
      <c r="S72" s="9">
        <v>30.1</v>
      </c>
      <c r="T72" s="9">
        <v>29.3</v>
      </c>
      <c r="U72" s="12">
        <v>29.5</v>
      </c>
      <c r="V72" s="12">
        <v>29.7</v>
      </c>
      <c r="W72" s="12">
        <v>29.3</v>
      </c>
      <c r="X72" s="9">
        <v>29.3</v>
      </c>
      <c r="Y72" s="9">
        <v>29.3</v>
      </c>
      <c r="Z72" s="9">
        <v>29.7</v>
      </c>
      <c r="AA72" s="12">
        <v>29.4</v>
      </c>
      <c r="AB72" s="12">
        <v>29.6</v>
      </c>
      <c r="AC72" s="12">
        <v>29.9</v>
      </c>
      <c r="AD72" s="9">
        <v>30.2</v>
      </c>
      <c r="AE72" s="9">
        <v>29.7</v>
      </c>
      <c r="AF72" s="9">
        <v>30</v>
      </c>
    </row>
    <row r="73" spans="1:34" x14ac:dyDescent="0.45">
      <c r="A73" s="47"/>
      <c r="B73" s="2" t="s">
        <v>5</v>
      </c>
      <c r="C73" s="12">
        <v>3229.4</v>
      </c>
      <c r="D73" s="12">
        <v>1161.5999999999999</v>
      </c>
      <c r="E73" s="12">
        <v>831.8</v>
      </c>
      <c r="F73" s="9">
        <f>15*60+52.6</f>
        <v>952.6</v>
      </c>
      <c r="G73" s="9">
        <v>808.8</v>
      </c>
      <c r="H73" s="9">
        <f>15*60+24.6</f>
        <v>924.6</v>
      </c>
      <c r="I73" s="12">
        <f>14*60+53.5</f>
        <v>893.5</v>
      </c>
      <c r="J73" s="12">
        <f>21*60+5.7</f>
        <v>1265.7</v>
      </c>
      <c r="K73" s="12">
        <f>16*60+38.4</f>
        <v>998.4</v>
      </c>
      <c r="L73" s="9">
        <f>21*60+52.1</f>
        <v>1312.1</v>
      </c>
      <c r="M73" s="9">
        <f>17*60+2.5</f>
        <v>1022.5</v>
      </c>
      <c r="N73" s="9">
        <f>13*60+8.9</f>
        <v>788.9</v>
      </c>
      <c r="O73" s="12">
        <f>15*60+2.3</f>
        <v>902.3</v>
      </c>
      <c r="P73" s="12">
        <f>17*60+58.9</f>
        <v>1078.9000000000001</v>
      </c>
      <c r="Q73" s="12">
        <f>18*60+46.5</f>
        <v>1126.5</v>
      </c>
      <c r="R73" s="9">
        <f>15*60+57.4</f>
        <v>957.4</v>
      </c>
      <c r="S73" s="9">
        <f>23*60+29.4</f>
        <v>1409.4</v>
      </c>
      <c r="T73" s="9">
        <f>15*60+11.7</f>
        <v>911.7</v>
      </c>
      <c r="U73" s="12">
        <f>18*60+25.5</f>
        <v>1105.5</v>
      </c>
      <c r="V73" s="12">
        <f>15*60+22.5</f>
        <v>922.5</v>
      </c>
      <c r="W73" s="12">
        <f>20*60+59.2</f>
        <v>1259.2</v>
      </c>
      <c r="X73" s="9">
        <f>15*60+18.2</f>
        <v>918.2</v>
      </c>
      <c r="Y73" s="9">
        <f>24*60+15.8</f>
        <v>1455.8</v>
      </c>
      <c r="Z73" s="9">
        <f>12*60+19.1</f>
        <v>739.1</v>
      </c>
      <c r="AA73" s="12">
        <f>11*60+59.8</f>
        <v>719.8</v>
      </c>
      <c r="AB73" s="12">
        <f>13*60+43.4</f>
        <v>823.4</v>
      </c>
      <c r="AC73" s="12">
        <f>10*60+26.8</f>
        <v>626.79999999999995</v>
      </c>
      <c r="AD73" s="9">
        <f>14*60+31.4</f>
        <v>871.4</v>
      </c>
      <c r="AE73" s="9">
        <f>11*60+56.8</f>
        <v>716.8</v>
      </c>
      <c r="AF73" s="9">
        <f>13*60+46.5</f>
        <v>826.5</v>
      </c>
    </row>
    <row r="74" spans="1:34" x14ac:dyDescent="0.45">
      <c r="A74" s="8"/>
      <c r="B74" s="2" t="s">
        <v>6</v>
      </c>
      <c r="C74" s="15" t="s">
        <v>67</v>
      </c>
      <c r="D74" s="14" t="s">
        <v>145</v>
      </c>
      <c r="E74" s="14" t="s">
        <v>146</v>
      </c>
      <c r="F74" s="11" t="s">
        <v>147</v>
      </c>
      <c r="G74" s="11" t="s">
        <v>148</v>
      </c>
      <c r="H74" s="11" t="s">
        <v>149</v>
      </c>
      <c r="I74" s="14" t="s">
        <v>150</v>
      </c>
      <c r="J74" s="14" t="s">
        <v>151</v>
      </c>
      <c r="K74" s="14" t="s">
        <v>152</v>
      </c>
      <c r="L74" s="11" t="s">
        <v>153</v>
      </c>
      <c r="M74" s="11" t="s">
        <v>154</v>
      </c>
      <c r="N74" s="11" t="s">
        <v>155</v>
      </c>
      <c r="O74" s="14" t="s">
        <v>156</v>
      </c>
      <c r="P74" s="14" t="s">
        <v>157</v>
      </c>
      <c r="Q74" s="14" t="s">
        <v>158</v>
      </c>
      <c r="R74" s="11" t="s">
        <v>159</v>
      </c>
      <c r="S74" s="11" t="s">
        <v>160</v>
      </c>
      <c r="T74" s="11" t="s">
        <v>161</v>
      </c>
      <c r="U74" s="14" t="s">
        <v>162</v>
      </c>
      <c r="V74" s="14" t="s">
        <v>163</v>
      </c>
      <c r="W74" s="14" t="s">
        <v>164</v>
      </c>
      <c r="X74" s="11" t="s">
        <v>165</v>
      </c>
      <c r="Y74" s="11" t="s">
        <v>166</v>
      </c>
      <c r="Z74" s="11" t="s">
        <v>167</v>
      </c>
      <c r="AA74" s="14" t="s">
        <v>168</v>
      </c>
      <c r="AB74" s="14" t="s">
        <v>169</v>
      </c>
      <c r="AC74" s="14" t="s">
        <v>170</v>
      </c>
      <c r="AD74" s="11" t="s">
        <v>171</v>
      </c>
      <c r="AE74" s="11" t="s">
        <v>172</v>
      </c>
      <c r="AF74" s="11" t="s">
        <v>173</v>
      </c>
    </row>
    <row r="75" spans="1:34" x14ac:dyDescent="0.45">
      <c r="A75" s="47" t="s">
        <v>17</v>
      </c>
      <c r="B75" s="6" t="s">
        <v>16</v>
      </c>
      <c r="C75" s="12">
        <v>47.192</v>
      </c>
      <c r="D75" s="12">
        <v>63.476999999999997</v>
      </c>
      <c r="E75" s="12">
        <v>54.027999999999999</v>
      </c>
      <c r="F75" s="9">
        <v>64.221000000000004</v>
      </c>
      <c r="G75" s="9">
        <v>75.244</v>
      </c>
      <c r="H75" s="9">
        <v>66.150000000000006</v>
      </c>
      <c r="I75" s="12">
        <v>63.036999999999999</v>
      </c>
      <c r="J75" s="12">
        <v>52.002000000000002</v>
      </c>
      <c r="K75" s="12">
        <v>51.183999999999997</v>
      </c>
      <c r="L75" s="9">
        <v>59.68</v>
      </c>
      <c r="M75" s="9">
        <v>56.152000000000001</v>
      </c>
      <c r="N75" s="9">
        <v>73.34</v>
      </c>
      <c r="O75" s="12">
        <v>49.231000000000002</v>
      </c>
      <c r="P75" s="12">
        <v>50.915999999999997</v>
      </c>
      <c r="Q75" s="12">
        <v>58.191000000000003</v>
      </c>
      <c r="R75" s="9">
        <v>65.441999999999993</v>
      </c>
      <c r="S75" s="9">
        <v>72.790999999999997</v>
      </c>
      <c r="T75" s="9">
        <v>72.534000000000006</v>
      </c>
      <c r="U75" s="12">
        <v>54.944000000000003</v>
      </c>
      <c r="V75" s="12">
        <v>62.292000000000002</v>
      </c>
      <c r="W75" s="12">
        <v>48.180999999999997</v>
      </c>
      <c r="X75" s="9">
        <v>57.067999999999998</v>
      </c>
      <c r="Y75" s="9">
        <v>52.197000000000003</v>
      </c>
      <c r="Z75" s="9">
        <v>55.139000000000003</v>
      </c>
      <c r="AA75" s="12">
        <v>72.313999999999993</v>
      </c>
      <c r="AB75" s="12">
        <v>50.731999999999999</v>
      </c>
      <c r="AC75" s="12">
        <v>69.311999999999998</v>
      </c>
      <c r="AD75" s="9">
        <v>59.741</v>
      </c>
      <c r="AE75" s="9">
        <v>59.253</v>
      </c>
      <c r="AF75" s="9">
        <v>62.036000000000001</v>
      </c>
    </row>
    <row r="76" spans="1:34" x14ac:dyDescent="0.45">
      <c r="A76" s="47"/>
      <c r="B76" s="6" t="s">
        <v>18</v>
      </c>
      <c r="C76" s="12">
        <v>31.664999999999999</v>
      </c>
      <c r="D76" s="12">
        <v>20.715</v>
      </c>
      <c r="E76" s="12">
        <v>23.462</v>
      </c>
      <c r="F76" s="9">
        <v>16.173999999999999</v>
      </c>
      <c r="G76" s="9">
        <v>13</v>
      </c>
      <c r="H76" s="9">
        <v>17.236000000000001</v>
      </c>
      <c r="I76" s="12">
        <v>18.786999999999999</v>
      </c>
      <c r="J76" s="12">
        <v>32.140999999999998</v>
      </c>
      <c r="K76" s="12">
        <v>36.255000000000003</v>
      </c>
      <c r="L76" s="9">
        <v>16.832999999999998</v>
      </c>
      <c r="M76" s="9">
        <v>21.106000000000002</v>
      </c>
      <c r="N76" s="9">
        <v>13.074</v>
      </c>
      <c r="O76" s="12">
        <v>21.887</v>
      </c>
      <c r="P76" s="12">
        <v>21.190999999999999</v>
      </c>
      <c r="Q76" s="12">
        <v>24.939</v>
      </c>
      <c r="R76" s="9">
        <v>17.2</v>
      </c>
      <c r="S76" s="9">
        <v>13.281000000000001</v>
      </c>
      <c r="T76" s="9">
        <v>15.21</v>
      </c>
      <c r="U76" s="12">
        <v>30.359000000000002</v>
      </c>
      <c r="V76" s="12">
        <v>23.096</v>
      </c>
      <c r="W76" s="12">
        <v>22.765999999999998</v>
      </c>
      <c r="X76" s="9">
        <v>19.861000000000001</v>
      </c>
      <c r="Y76" s="9">
        <v>20.898</v>
      </c>
      <c r="Z76" s="9">
        <v>29.15</v>
      </c>
      <c r="AA76" s="12">
        <v>15.259</v>
      </c>
      <c r="AB76" s="12">
        <v>21.79</v>
      </c>
      <c r="AC76" s="12">
        <v>14.88</v>
      </c>
      <c r="AD76" s="9">
        <v>22.4</v>
      </c>
      <c r="AE76" s="9">
        <v>20.239000000000001</v>
      </c>
      <c r="AF76" s="9">
        <v>10.657</v>
      </c>
    </row>
    <row r="77" spans="1:34" x14ac:dyDescent="0.45">
      <c r="A77" s="47"/>
      <c r="B77" s="6" t="s">
        <v>20</v>
      </c>
      <c r="C77" s="12">
        <v>10.827999999999999</v>
      </c>
      <c r="D77" s="12">
        <v>10.254</v>
      </c>
      <c r="E77" s="12">
        <v>13.208</v>
      </c>
      <c r="F77" s="9">
        <v>14.368</v>
      </c>
      <c r="G77" s="9">
        <v>8.8010000000000002</v>
      </c>
      <c r="H77" s="9">
        <v>11.23</v>
      </c>
      <c r="I77" s="12">
        <v>12.329000000000001</v>
      </c>
      <c r="J77" s="12">
        <v>9.4239999999999995</v>
      </c>
      <c r="K77" s="12">
        <v>6.8239999999999998</v>
      </c>
      <c r="L77" s="9">
        <v>14.49</v>
      </c>
      <c r="M77" s="9">
        <v>14.111000000000001</v>
      </c>
      <c r="N77" s="9">
        <v>10.167999999999999</v>
      </c>
      <c r="O77" s="12">
        <v>16.015999999999998</v>
      </c>
      <c r="P77" s="12">
        <v>15.515000000000001</v>
      </c>
      <c r="Q77" s="12">
        <v>10.266</v>
      </c>
      <c r="R77" s="9">
        <v>11.938000000000001</v>
      </c>
      <c r="S77" s="9">
        <v>10.045999999999999</v>
      </c>
      <c r="T77" s="9">
        <v>8.74</v>
      </c>
      <c r="U77" s="12">
        <v>7.2270000000000003</v>
      </c>
      <c r="V77" s="12">
        <v>9.3989999999999991</v>
      </c>
      <c r="W77" s="12">
        <v>16.895</v>
      </c>
      <c r="X77" s="9">
        <v>13.074</v>
      </c>
      <c r="Y77" s="9">
        <v>16.565000000000001</v>
      </c>
      <c r="Z77" s="9">
        <v>8.923</v>
      </c>
      <c r="AA77" s="12">
        <v>9.1920000000000002</v>
      </c>
      <c r="AB77" s="12">
        <v>16.295999999999999</v>
      </c>
      <c r="AC77" s="12">
        <v>11.243</v>
      </c>
      <c r="AD77" s="9">
        <v>10.558999999999999</v>
      </c>
      <c r="AE77" s="9">
        <v>12.048</v>
      </c>
      <c r="AF77" s="9">
        <v>22.327000000000002</v>
      </c>
    </row>
    <row r="78" spans="1:34" x14ac:dyDescent="0.45">
      <c r="A78" s="47"/>
      <c r="B78" s="6" t="s">
        <v>19</v>
      </c>
      <c r="C78" s="12">
        <v>10.315</v>
      </c>
      <c r="D78" s="12">
        <v>5.5540000000000003</v>
      </c>
      <c r="E78" s="12">
        <v>9.3019999999999996</v>
      </c>
      <c r="F78" s="9">
        <v>5.2370000000000001</v>
      </c>
      <c r="G78" s="9">
        <v>2.9540000000000002</v>
      </c>
      <c r="H78" s="9">
        <v>5.383</v>
      </c>
      <c r="I78" s="12">
        <v>5.8470000000000004</v>
      </c>
      <c r="J78" s="12">
        <v>6.4329999999999998</v>
      </c>
      <c r="K78" s="12">
        <v>5.7370000000000001</v>
      </c>
      <c r="L78" s="9">
        <v>8.9969999999999999</v>
      </c>
      <c r="M78" s="9">
        <v>8.6300000000000008</v>
      </c>
      <c r="N78" s="9">
        <v>3.4180000000000001</v>
      </c>
      <c r="O78" s="12">
        <v>12.866</v>
      </c>
      <c r="P78" s="12">
        <v>12.378</v>
      </c>
      <c r="Q78" s="12">
        <v>6.6040000000000001</v>
      </c>
      <c r="R78" s="9">
        <v>5.42</v>
      </c>
      <c r="S78" s="9">
        <v>3.8820000000000001</v>
      </c>
      <c r="T78" s="9">
        <v>3.516</v>
      </c>
      <c r="U78" s="12">
        <v>7.4710000000000001</v>
      </c>
      <c r="V78" s="12">
        <v>5.2119999999999997</v>
      </c>
      <c r="W78" s="12">
        <v>12.157999999999999</v>
      </c>
      <c r="X78" s="9">
        <v>9.9979999999999993</v>
      </c>
      <c r="Y78" s="9">
        <v>10.339</v>
      </c>
      <c r="Z78" s="9">
        <v>6.7869999999999999</v>
      </c>
      <c r="AA78" s="12">
        <v>3.2349999999999999</v>
      </c>
      <c r="AB78" s="12">
        <v>11.182</v>
      </c>
      <c r="AC78" s="12">
        <v>4.5650000000000004</v>
      </c>
      <c r="AD78" s="9">
        <v>7.3</v>
      </c>
      <c r="AE78" s="9">
        <v>8.4589999999999996</v>
      </c>
      <c r="AF78" s="9">
        <v>4.9800000000000004</v>
      </c>
    </row>
    <row r="79" spans="1:34" x14ac:dyDescent="0.45">
      <c r="A79" s="48" t="s">
        <v>22</v>
      </c>
      <c r="B79" s="48"/>
      <c r="C79" s="12">
        <f>SUM(C76:C78)</f>
        <v>52.807999999999993</v>
      </c>
      <c r="D79" s="12">
        <f>SUM(D76:D78)</f>
        <v>36.523000000000003</v>
      </c>
      <c r="E79" s="12">
        <f>SUM(E76:E78)</f>
        <v>45.972000000000001</v>
      </c>
      <c r="F79" s="9">
        <f>SUM(F76:F78)</f>
        <v>35.779000000000003</v>
      </c>
      <c r="G79" s="9">
        <f t="shared" ref="G79:V79" si="5">SUM(G76:G78)</f>
        <v>24.755000000000003</v>
      </c>
      <c r="H79" s="9">
        <f t="shared" si="5"/>
        <v>33.849000000000004</v>
      </c>
      <c r="I79" s="12">
        <f t="shared" si="5"/>
        <v>36.963000000000001</v>
      </c>
      <c r="J79" s="12">
        <f>SUM(J76:J78)</f>
        <v>47.997999999999998</v>
      </c>
      <c r="K79" s="12">
        <f>SUM(K76:K78)</f>
        <v>48.816000000000003</v>
      </c>
      <c r="L79" s="9">
        <v>8.9969999999999999</v>
      </c>
      <c r="M79" s="9">
        <f t="shared" si="5"/>
        <v>43.847000000000001</v>
      </c>
      <c r="N79" s="9">
        <f t="shared" si="5"/>
        <v>26.659999999999997</v>
      </c>
      <c r="O79" s="12">
        <f t="shared" si="5"/>
        <v>50.768999999999998</v>
      </c>
      <c r="P79" s="12">
        <f t="shared" si="5"/>
        <v>49.084000000000003</v>
      </c>
      <c r="Q79" s="12">
        <f t="shared" si="5"/>
        <v>41.808999999999997</v>
      </c>
      <c r="R79" s="9">
        <f t="shared" si="5"/>
        <v>34.558</v>
      </c>
      <c r="S79" s="9">
        <f t="shared" si="5"/>
        <v>27.209</v>
      </c>
      <c r="T79" s="9">
        <f t="shared" si="5"/>
        <v>27.466000000000001</v>
      </c>
      <c r="U79" s="12">
        <f t="shared" si="5"/>
        <v>45.057000000000002</v>
      </c>
      <c r="V79" s="12">
        <f t="shared" si="5"/>
        <v>37.706999999999994</v>
      </c>
      <c r="W79" s="12">
        <f t="shared" ref="W79:AD79" si="6">SUM(W76:W78)</f>
        <v>51.819000000000003</v>
      </c>
      <c r="X79" s="9">
        <f t="shared" si="6"/>
        <v>42.933</v>
      </c>
      <c r="Y79" s="9">
        <f t="shared" si="6"/>
        <v>47.802</v>
      </c>
      <c r="Z79" s="9">
        <f t="shared" si="6"/>
        <v>44.86</v>
      </c>
      <c r="AA79" s="12">
        <f t="shared" si="6"/>
        <v>27.686</v>
      </c>
      <c r="AB79" s="12">
        <f t="shared" si="6"/>
        <v>49.268000000000001</v>
      </c>
      <c r="AC79" s="12">
        <f t="shared" si="6"/>
        <v>30.688000000000002</v>
      </c>
      <c r="AD79" s="9">
        <f t="shared" si="6"/>
        <v>40.258999999999993</v>
      </c>
      <c r="AE79" s="9">
        <f>SUM(AE76:AE78)</f>
        <v>40.745999999999995</v>
      </c>
      <c r="AF79" s="9">
        <f>SUM(AF76:AF78)</f>
        <v>37.963999999999999</v>
      </c>
      <c r="AG79" s="12">
        <f>(SUM(C79:E79)+SUM(I79:K79)+SUM(O79:Q79)+SUM(U79:W79)+SUM(AA79:AC79))/15</f>
        <v>43.531133333333329</v>
      </c>
      <c r="AH79" s="9">
        <f>(SUM(F79:H79)+SUM(L79:N79)+SUM(R79:T79)+SUM(X79:Z79)+SUM(AD79:AF79))/15</f>
        <v>34.512266666666662</v>
      </c>
    </row>
    <row r="80" spans="1:34" x14ac:dyDescent="0.45">
      <c r="A80" s="1"/>
      <c r="B80" s="1"/>
    </row>
    <row r="81" spans="1:32" x14ac:dyDescent="0.45">
      <c r="A81" s="1"/>
      <c r="B81" s="1"/>
    </row>
    <row r="83" spans="1:32" x14ac:dyDescent="0.45">
      <c r="A83" s="47" t="s">
        <v>0</v>
      </c>
      <c r="B83" s="47"/>
      <c r="C83" s="12" t="s">
        <v>73</v>
      </c>
      <c r="D83" s="12" t="s">
        <v>73</v>
      </c>
      <c r="E83" s="12" t="s">
        <v>73</v>
      </c>
      <c r="F83" s="9" t="s">
        <v>73</v>
      </c>
      <c r="G83" s="9" t="s">
        <v>73</v>
      </c>
      <c r="H83" s="9" t="s">
        <v>73</v>
      </c>
      <c r="I83" s="12" t="s">
        <v>73</v>
      </c>
      <c r="J83" s="12" t="s">
        <v>73</v>
      </c>
      <c r="K83" s="12" t="s">
        <v>73</v>
      </c>
      <c r="L83" s="9" t="s">
        <v>73</v>
      </c>
      <c r="M83" s="9" t="s">
        <v>73</v>
      </c>
      <c r="N83" s="9" t="s">
        <v>73</v>
      </c>
      <c r="O83" s="12" t="s">
        <v>73</v>
      </c>
      <c r="P83" s="12" t="s">
        <v>73</v>
      </c>
      <c r="Q83" s="12" t="s">
        <v>73</v>
      </c>
      <c r="R83" s="9" t="s">
        <v>73</v>
      </c>
      <c r="S83" s="9" t="s">
        <v>73</v>
      </c>
      <c r="T83" s="9" t="s">
        <v>73</v>
      </c>
      <c r="U83" s="12" t="s">
        <v>73</v>
      </c>
      <c r="V83" s="12" t="s">
        <v>73</v>
      </c>
      <c r="W83" s="12" t="s">
        <v>73</v>
      </c>
      <c r="X83" s="9" t="s">
        <v>73</v>
      </c>
      <c r="Y83" s="9" t="s">
        <v>73</v>
      </c>
      <c r="Z83" s="9" t="s">
        <v>73</v>
      </c>
      <c r="AA83" s="12" t="s">
        <v>73</v>
      </c>
      <c r="AB83" s="12" t="s">
        <v>73</v>
      </c>
      <c r="AC83" s="12" t="s">
        <v>73</v>
      </c>
      <c r="AD83" s="9" t="s">
        <v>73</v>
      </c>
      <c r="AE83" s="9" t="s">
        <v>73</v>
      </c>
      <c r="AF83" s="9" t="s">
        <v>73</v>
      </c>
    </row>
    <row r="84" spans="1:32" x14ac:dyDescent="0.45">
      <c r="A84" s="47" t="s">
        <v>10</v>
      </c>
      <c r="B84" s="47"/>
      <c r="C84" s="13" t="s">
        <v>16</v>
      </c>
      <c r="D84" s="13" t="s">
        <v>16</v>
      </c>
      <c r="E84" s="13" t="s">
        <v>16</v>
      </c>
      <c r="F84" s="10" t="s">
        <v>16</v>
      </c>
      <c r="G84" s="10" t="s">
        <v>16</v>
      </c>
      <c r="H84" s="10" t="s">
        <v>16</v>
      </c>
      <c r="I84" s="13" t="s">
        <v>16</v>
      </c>
      <c r="J84" s="13" t="s">
        <v>16</v>
      </c>
      <c r="K84" s="13" t="s">
        <v>16</v>
      </c>
      <c r="L84" s="10" t="s">
        <v>16</v>
      </c>
      <c r="M84" s="10" t="s">
        <v>16</v>
      </c>
      <c r="N84" s="10" t="s">
        <v>16</v>
      </c>
      <c r="O84" s="13" t="s">
        <v>16</v>
      </c>
      <c r="P84" s="13" t="s">
        <v>16</v>
      </c>
      <c r="Q84" s="13" t="s">
        <v>16</v>
      </c>
      <c r="R84" s="10" t="s">
        <v>16</v>
      </c>
      <c r="S84" s="10" t="s">
        <v>16</v>
      </c>
      <c r="T84" s="10" t="s">
        <v>16</v>
      </c>
      <c r="U84" s="13" t="s">
        <v>16</v>
      </c>
      <c r="V84" s="13" t="s">
        <v>16</v>
      </c>
      <c r="W84" s="13" t="s">
        <v>16</v>
      </c>
      <c r="X84" s="10" t="s">
        <v>16</v>
      </c>
      <c r="Y84" s="10" t="s">
        <v>16</v>
      </c>
      <c r="Z84" s="10" t="s">
        <v>16</v>
      </c>
      <c r="AA84" s="13" t="s">
        <v>16</v>
      </c>
      <c r="AB84" s="13" t="s">
        <v>16</v>
      </c>
      <c r="AC84" s="13" t="s">
        <v>16</v>
      </c>
      <c r="AD84" s="10" t="s">
        <v>16</v>
      </c>
      <c r="AE84" s="10" t="s">
        <v>16</v>
      </c>
      <c r="AF84" s="10" t="s">
        <v>16</v>
      </c>
    </row>
    <row r="85" spans="1:32" x14ac:dyDescent="0.45">
      <c r="A85" s="47" t="s">
        <v>1</v>
      </c>
      <c r="B85" s="47"/>
      <c r="C85" s="12" t="s">
        <v>8</v>
      </c>
      <c r="D85" s="12" t="s">
        <v>8</v>
      </c>
      <c r="E85" s="12" t="s">
        <v>8</v>
      </c>
      <c r="F85" s="9" t="s">
        <v>8</v>
      </c>
      <c r="G85" s="9" t="s">
        <v>8</v>
      </c>
      <c r="H85" s="9" t="s">
        <v>8</v>
      </c>
      <c r="I85" s="12" t="s">
        <v>27</v>
      </c>
      <c r="J85" s="12" t="s">
        <v>27</v>
      </c>
      <c r="K85" s="12" t="s">
        <v>27</v>
      </c>
      <c r="L85" s="9" t="s">
        <v>27</v>
      </c>
      <c r="M85" s="9" t="s">
        <v>27</v>
      </c>
      <c r="N85" s="9" t="s">
        <v>27</v>
      </c>
      <c r="O85" s="12" t="s">
        <v>28</v>
      </c>
      <c r="P85" s="12" t="s">
        <v>28</v>
      </c>
      <c r="Q85" s="12" t="s">
        <v>28</v>
      </c>
      <c r="R85" s="9" t="s">
        <v>28</v>
      </c>
      <c r="S85" s="9" t="s">
        <v>28</v>
      </c>
      <c r="T85" s="9" t="s">
        <v>28</v>
      </c>
      <c r="U85" s="12" t="s">
        <v>29</v>
      </c>
      <c r="V85" s="12" t="s">
        <v>29</v>
      </c>
      <c r="W85" s="12" t="s">
        <v>29</v>
      </c>
      <c r="X85" s="9" t="s">
        <v>29</v>
      </c>
      <c r="Y85" s="9" t="s">
        <v>29</v>
      </c>
      <c r="Z85" s="9" t="s">
        <v>29</v>
      </c>
      <c r="AA85" s="12" t="s">
        <v>30</v>
      </c>
      <c r="AB85" s="12" t="s">
        <v>30</v>
      </c>
      <c r="AC85" s="12" t="s">
        <v>30</v>
      </c>
      <c r="AD85" s="9" t="s">
        <v>30</v>
      </c>
      <c r="AE85" s="9" t="s">
        <v>30</v>
      </c>
      <c r="AF85" s="9" t="s">
        <v>30</v>
      </c>
    </row>
    <row r="86" spans="1:32" x14ac:dyDescent="0.45">
      <c r="A86" s="47" t="s">
        <v>13</v>
      </c>
      <c r="B86" s="4" t="s">
        <v>12</v>
      </c>
      <c r="C86" s="12" t="s">
        <v>21</v>
      </c>
      <c r="D86" s="12" t="s">
        <v>21</v>
      </c>
      <c r="E86" s="12" t="s">
        <v>21</v>
      </c>
      <c r="F86" s="9" t="s">
        <v>26</v>
      </c>
      <c r="G86" s="9" t="s">
        <v>26</v>
      </c>
      <c r="H86" s="9" t="s">
        <v>26</v>
      </c>
      <c r="I86" s="12" t="s">
        <v>21</v>
      </c>
      <c r="J86" s="12" t="s">
        <v>21</v>
      </c>
      <c r="K86" s="12" t="s">
        <v>21</v>
      </c>
      <c r="L86" s="9" t="s">
        <v>26</v>
      </c>
      <c r="M86" s="9" t="s">
        <v>26</v>
      </c>
      <c r="N86" s="9" t="s">
        <v>26</v>
      </c>
      <c r="O86" s="12" t="s">
        <v>21</v>
      </c>
      <c r="P86" s="12" t="s">
        <v>21</v>
      </c>
      <c r="Q86" s="12" t="s">
        <v>21</v>
      </c>
      <c r="R86" s="9" t="s">
        <v>26</v>
      </c>
      <c r="S86" s="9" t="s">
        <v>26</v>
      </c>
      <c r="T86" s="9" t="s">
        <v>26</v>
      </c>
      <c r="U86" s="12" t="s">
        <v>21</v>
      </c>
      <c r="V86" s="12" t="s">
        <v>21</v>
      </c>
      <c r="W86" s="12" t="s">
        <v>21</v>
      </c>
      <c r="X86" s="9" t="s">
        <v>26</v>
      </c>
      <c r="Y86" s="9" t="s">
        <v>26</v>
      </c>
      <c r="Z86" s="9" t="s">
        <v>26</v>
      </c>
      <c r="AA86" s="12" t="s">
        <v>21</v>
      </c>
      <c r="AB86" s="12" t="s">
        <v>21</v>
      </c>
      <c r="AC86" s="12" t="s">
        <v>21</v>
      </c>
      <c r="AD86" s="9" t="s">
        <v>26</v>
      </c>
      <c r="AE86" s="9" t="s">
        <v>26</v>
      </c>
      <c r="AF86" s="9" t="s">
        <v>26</v>
      </c>
    </row>
    <row r="87" spans="1:32" x14ac:dyDescent="0.45">
      <c r="A87" s="47"/>
      <c r="B87" s="4" t="s">
        <v>14</v>
      </c>
      <c r="C87" s="12">
        <v>60</v>
      </c>
      <c r="D87" s="12">
        <v>70</v>
      </c>
      <c r="E87" s="12">
        <v>68</v>
      </c>
      <c r="F87" s="9">
        <v>75</v>
      </c>
      <c r="G87" s="9">
        <v>70</v>
      </c>
      <c r="H87" s="9">
        <v>51</v>
      </c>
      <c r="I87" s="12">
        <v>85</v>
      </c>
      <c r="J87" s="12">
        <v>73</v>
      </c>
      <c r="K87" s="12">
        <v>78</v>
      </c>
      <c r="L87" s="9">
        <v>56</v>
      </c>
      <c r="M87" s="9">
        <v>56</v>
      </c>
      <c r="N87" s="9">
        <v>75</v>
      </c>
      <c r="O87" s="12">
        <v>57</v>
      </c>
      <c r="P87" s="12">
        <v>49</v>
      </c>
      <c r="Q87" s="12">
        <v>49</v>
      </c>
      <c r="R87" s="9">
        <v>56</v>
      </c>
      <c r="S87" s="9">
        <v>75</v>
      </c>
      <c r="T87" s="9">
        <v>69</v>
      </c>
      <c r="U87" s="12">
        <v>77</v>
      </c>
      <c r="V87" s="12">
        <v>76</v>
      </c>
      <c r="W87" s="12">
        <v>61</v>
      </c>
      <c r="X87" s="9">
        <v>51</v>
      </c>
      <c r="Y87" s="9">
        <v>55</v>
      </c>
      <c r="Z87" s="9">
        <v>84</v>
      </c>
      <c r="AA87" s="12">
        <v>77</v>
      </c>
      <c r="AB87" s="12">
        <v>76</v>
      </c>
      <c r="AC87" s="12">
        <v>77</v>
      </c>
      <c r="AD87" s="9">
        <v>73</v>
      </c>
      <c r="AE87" s="9">
        <v>73</v>
      </c>
      <c r="AF87" s="9">
        <v>71</v>
      </c>
    </row>
    <row r="88" spans="1:32" x14ac:dyDescent="0.45">
      <c r="A88" s="47"/>
      <c r="B88" s="3" t="s">
        <v>15</v>
      </c>
      <c r="C88" s="12">
        <v>32</v>
      </c>
      <c r="D88" s="12">
        <v>32</v>
      </c>
      <c r="E88" s="12">
        <v>32</v>
      </c>
      <c r="F88" s="9">
        <v>43</v>
      </c>
      <c r="G88" s="9">
        <v>42</v>
      </c>
      <c r="H88" s="9">
        <v>43</v>
      </c>
      <c r="I88" s="12">
        <v>37</v>
      </c>
      <c r="J88" s="12">
        <v>37</v>
      </c>
      <c r="K88" s="12">
        <v>37</v>
      </c>
      <c r="L88" s="9">
        <v>48</v>
      </c>
      <c r="M88" s="9">
        <v>48</v>
      </c>
      <c r="N88" s="9">
        <v>48</v>
      </c>
      <c r="O88" s="12">
        <v>37</v>
      </c>
      <c r="P88" s="12">
        <v>37</v>
      </c>
      <c r="Q88" s="12">
        <v>37</v>
      </c>
      <c r="R88" s="9">
        <v>47</v>
      </c>
      <c r="S88" s="9">
        <v>48</v>
      </c>
      <c r="T88" s="9">
        <v>48</v>
      </c>
      <c r="U88" s="12">
        <v>37</v>
      </c>
      <c r="V88" s="12">
        <v>37</v>
      </c>
      <c r="W88" s="12">
        <v>37</v>
      </c>
      <c r="X88" s="9">
        <v>48</v>
      </c>
      <c r="Y88" s="9">
        <v>48</v>
      </c>
      <c r="Z88" s="9">
        <v>49</v>
      </c>
      <c r="AA88" s="12">
        <v>37</v>
      </c>
      <c r="AB88" s="12">
        <v>37</v>
      </c>
      <c r="AC88" s="12">
        <v>37</v>
      </c>
      <c r="AD88" s="9">
        <v>47</v>
      </c>
      <c r="AE88" s="9">
        <v>48</v>
      </c>
      <c r="AF88" s="9">
        <v>47</v>
      </c>
    </row>
    <row r="89" spans="1:32" x14ac:dyDescent="0.45">
      <c r="A89" s="47" t="s">
        <v>11</v>
      </c>
      <c r="B89" s="47"/>
      <c r="C89" s="12">
        <v>8192</v>
      </c>
      <c r="D89" s="12">
        <v>8192</v>
      </c>
      <c r="E89" s="12">
        <v>8192</v>
      </c>
      <c r="F89" s="9">
        <v>8192</v>
      </c>
      <c r="G89" s="9">
        <v>8192</v>
      </c>
      <c r="H89" s="9">
        <v>8192</v>
      </c>
      <c r="I89" s="12">
        <v>8192</v>
      </c>
      <c r="J89" s="12">
        <v>8192</v>
      </c>
      <c r="K89" s="12">
        <v>8192</v>
      </c>
      <c r="L89" s="9">
        <v>8192</v>
      </c>
      <c r="M89" s="9">
        <v>8192</v>
      </c>
      <c r="N89" s="9">
        <v>8192</v>
      </c>
      <c r="O89" s="12">
        <v>8192</v>
      </c>
      <c r="P89" s="12">
        <v>8192</v>
      </c>
      <c r="Q89" s="12">
        <v>8192</v>
      </c>
      <c r="R89" s="9">
        <v>8192</v>
      </c>
      <c r="S89" s="9">
        <v>8192</v>
      </c>
      <c r="T89" s="9">
        <v>8192</v>
      </c>
      <c r="U89" s="12">
        <v>8192</v>
      </c>
      <c r="V89" s="12">
        <v>8192</v>
      </c>
      <c r="W89" s="12">
        <v>8192</v>
      </c>
      <c r="X89" s="9">
        <v>8192</v>
      </c>
      <c r="Y89" s="9">
        <v>8192</v>
      </c>
      <c r="Z89" s="9">
        <v>8192</v>
      </c>
      <c r="AA89" s="12">
        <v>8192</v>
      </c>
      <c r="AB89" s="12">
        <v>8192</v>
      </c>
      <c r="AC89" s="12">
        <v>8192</v>
      </c>
      <c r="AD89" s="9">
        <v>8192</v>
      </c>
      <c r="AE89" s="9">
        <v>8192</v>
      </c>
      <c r="AF89" s="9">
        <v>8192</v>
      </c>
    </row>
    <row r="90" spans="1:32" x14ac:dyDescent="0.45">
      <c r="A90" s="47" t="s">
        <v>42</v>
      </c>
      <c r="B90" s="2" t="s">
        <v>2</v>
      </c>
      <c r="C90" s="12">
        <v>0.872</v>
      </c>
      <c r="D90" s="12">
        <v>0.81299999999999994</v>
      </c>
      <c r="E90" s="12">
        <v>1</v>
      </c>
      <c r="F90" s="9">
        <v>0.89900000000000002</v>
      </c>
      <c r="G90" s="9">
        <v>1</v>
      </c>
      <c r="H90" s="9">
        <v>0.83799999999999997</v>
      </c>
      <c r="I90" s="12">
        <v>0.88800000000000001</v>
      </c>
      <c r="J90" s="12">
        <v>0.89800000000000002</v>
      </c>
      <c r="K90" s="12">
        <v>0.78900000000000003</v>
      </c>
      <c r="L90" s="9">
        <v>0.86199999999999999</v>
      </c>
      <c r="M90" s="9">
        <v>0.94499999999999995</v>
      </c>
      <c r="N90" s="9">
        <v>0.79</v>
      </c>
      <c r="O90" s="12">
        <v>0.80600000000000005</v>
      </c>
      <c r="P90" s="12">
        <v>0.79600000000000004</v>
      </c>
      <c r="Q90" s="12">
        <v>0.92200000000000004</v>
      </c>
      <c r="R90" s="9">
        <v>0.878</v>
      </c>
      <c r="S90" s="9">
        <v>0.89100000000000001</v>
      </c>
      <c r="T90" s="9">
        <v>1.1000000000000001</v>
      </c>
      <c r="U90" s="12">
        <v>0.82799999999999996</v>
      </c>
      <c r="V90" s="12">
        <v>0.88100000000000001</v>
      </c>
      <c r="W90" s="12">
        <v>0.88100000000000001</v>
      </c>
      <c r="X90" s="9">
        <v>0.92500000000000004</v>
      </c>
      <c r="Y90" s="9">
        <v>0.82099999999999995</v>
      </c>
      <c r="Z90" s="9">
        <v>0.95399999999999996</v>
      </c>
      <c r="AA90" s="12">
        <v>2</v>
      </c>
      <c r="AB90" s="12">
        <v>0.93700000000000006</v>
      </c>
      <c r="AC90" s="12">
        <v>0.91500000000000004</v>
      </c>
      <c r="AD90" s="9">
        <v>0.92900000000000005</v>
      </c>
      <c r="AE90" s="9">
        <v>0.92100000000000004</v>
      </c>
      <c r="AF90" s="9">
        <v>1</v>
      </c>
    </row>
    <row r="91" spans="1:32" x14ac:dyDescent="0.45">
      <c r="A91" s="47"/>
      <c r="B91" s="2" t="s">
        <v>3</v>
      </c>
      <c r="C91" s="12">
        <v>39.5</v>
      </c>
      <c r="D91" s="12">
        <v>56.5</v>
      </c>
      <c r="E91" s="12">
        <v>79.3</v>
      </c>
      <c r="F91" s="9">
        <v>55</v>
      </c>
      <c r="G91" s="9">
        <v>56.6</v>
      </c>
      <c r="H91" s="9">
        <v>56.7</v>
      </c>
      <c r="I91" s="12">
        <v>53.9</v>
      </c>
      <c r="J91" s="12">
        <v>55.7</v>
      </c>
      <c r="K91" s="12">
        <v>56.8</v>
      </c>
      <c r="L91" s="9">
        <v>77.099999999999994</v>
      </c>
      <c r="M91" s="9">
        <v>58.3</v>
      </c>
      <c r="N91" s="9">
        <v>58.1</v>
      </c>
      <c r="O91" s="12">
        <v>54.9</v>
      </c>
      <c r="P91" s="12">
        <v>55.1</v>
      </c>
      <c r="Q91" s="12">
        <v>72.5</v>
      </c>
      <c r="R91" s="9">
        <v>69</v>
      </c>
      <c r="S91" s="9">
        <v>56.4</v>
      </c>
      <c r="T91" s="9">
        <v>54.4</v>
      </c>
      <c r="U91" s="12">
        <v>53.9</v>
      </c>
      <c r="V91" s="12">
        <v>56.6</v>
      </c>
      <c r="W91" s="12">
        <v>56.3</v>
      </c>
      <c r="X91" s="9">
        <v>78.5</v>
      </c>
      <c r="Y91" s="9">
        <v>57.1</v>
      </c>
      <c r="Z91" s="9">
        <v>55.7</v>
      </c>
      <c r="AA91" s="12">
        <v>53.2</v>
      </c>
      <c r="AB91" s="12">
        <v>57.5</v>
      </c>
      <c r="AC91" s="12">
        <v>53.3</v>
      </c>
      <c r="AD91" s="9">
        <v>77.900000000000006</v>
      </c>
      <c r="AE91" s="9">
        <v>55</v>
      </c>
      <c r="AF91" s="9">
        <v>56</v>
      </c>
    </row>
    <row r="92" spans="1:32" x14ac:dyDescent="0.45">
      <c r="A92" s="47"/>
      <c r="B92" s="2" t="s">
        <v>4</v>
      </c>
      <c r="C92" s="12">
        <v>26.2</v>
      </c>
      <c r="D92" s="12">
        <v>25.8</v>
      </c>
      <c r="E92" s="12">
        <v>26.7</v>
      </c>
      <c r="F92" s="9">
        <v>26.2</v>
      </c>
      <c r="G92" s="9">
        <v>26.5</v>
      </c>
      <c r="H92" s="9">
        <v>26.2</v>
      </c>
      <c r="I92" s="12">
        <v>26</v>
      </c>
      <c r="J92" s="12">
        <v>26.5</v>
      </c>
      <c r="K92" s="12">
        <v>27.4</v>
      </c>
      <c r="L92" s="9">
        <v>26.9</v>
      </c>
      <c r="M92" s="9">
        <v>26.9</v>
      </c>
      <c r="N92" s="9">
        <v>27.1</v>
      </c>
      <c r="O92" s="12">
        <v>26.5</v>
      </c>
      <c r="P92" s="12">
        <v>26.1</v>
      </c>
      <c r="Q92" s="12">
        <v>26.2</v>
      </c>
      <c r="R92" s="9">
        <v>26</v>
      </c>
      <c r="S92" s="9">
        <v>26.2</v>
      </c>
      <c r="T92" s="9">
        <v>26.1</v>
      </c>
      <c r="U92" s="12">
        <v>26.2</v>
      </c>
      <c r="V92" s="12">
        <v>26.8</v>
      </c>
      <c r="W92" s="12">
        <v>27.2</v>
      </c>
      <c r="X92" s="9">
        <v>27</v>
      </c>
      <c r="Y92" s="9">
        <v>26.7</v>
      </c>
      <c r="Z92" s="9">
        <v>26.2</v>
      </c>
      <c r="AA92" s="12">
        <v>26.2</v>
      </c>
      <c r="AB92" s="12">
        <v>26</v>
      </c>
      <c r="AC92" s="12">
        <v>26.4</v>
      </c>
      <c r="AD92" s="9">
        <v>26.4</v>
      </c>
      <c r="AE92" s="9">
        <v>26.2</v>
      </c>
      <c r="AF92" s="9">
        <v>26.6</v>
      </c>
    </row>
    <row r="93" spans="1:32" x14ac:dyDescent="0.45">
      <c r="A93" s="47"/>
      <c r="B93" s="2" t="s">
        <v>5</v>
      </c>
      <c r="C93" s="12">
        <v>71.7</v>
      </c>
      <c r="D93" s="12">
        <v>88.4</v>
      </c>
      <c r="E93" s="12">
        <v>112.9</v>
      </c>
      <c r="F93" s="9">
        <v>87.3</v>
      </c>
      <c r="G93" s="9">
        <v>90.1</v>
      </c>
      <c r="H93" s="9">
        <v>89.2</v>
      </c>
      <c r="I93" s="12">
        <v>86.2</v>
      </c>
      <c r="J93" s="12">
        <v>87.9</v>
      </c>
      <c r="K93" s="12">
        <v>89</v>
      </c>
      <c r="L93" s="9">
        <v>111.1</v>
      </c>
      <c r="M93" s="9">
        <v>90.4</v>
      </c>
      <c r="N93" s="9">
        <v>90.8</v>
      </c>
      <c r="O93" s="12">
        <v>87.2</v>
      </c>
      <c r="P93" s="12">
        <v>87.2</v>
      </c>
      <c r="Q93" s="12">
        <v>123.2</v>
      </c>
      <c r="R93" s="9">
        <v>101.3</v>
      </c>
      <c r="S93" s="9">
        <v>88.5</v>
      </c>
      <c r="T93" s="9">
        <v>86.8</v>
      </c>
      <c r="U93" s="12">
        <v>86.4</v>
      </c>
      <c r="V93" s="12">
        <v>89.4</v>
      </c>
      <c r="W93" s="12">
        <v>89.8</v>
      </c>
      <c r="X93" s="9">
        <v>110.3</v>
      </c>
      <c r="Y93" s="9">
        <v>89.9</v>
      </c>
      <c r="Z93" s="9">
        <v>88.2</v>
      </c>
      <c r="AA93" s="12">
        <v>87.2</v>
      </c>
      <c r="AB93" s="12">
        <v>89.7</v>
      </c>
      <c r="AC93" s="12">
        <v>84.7</v>
      </c>
      <c r="AD93" s="9">
        <v>110.7</v>
      </c>
      <c r="AE93" s="9">
        <v>86.1</v>
      </c>
      <c r="AF93" s="9">
        <v>89.1</v>
      </c>
    </row>
    <row r="94" spans="1:32" x14ac:dyDescent="0.45">
      <c r="A94" s="8"/>
      <c r="B94" s="2" t="s">
        <v>6</v>
      </c>
      <c r="C94" s="15" t="s">
        <v>74</v>
      </c>
      <c r="D94" s="14" t="s">
        <v>78</v>
      </c>
      <c r="E94" s="14" t="s">
        <v>80</v>
      </c>
      <c r="F94" s="11" t="s">
        <v>84</v>
      </c>
      <c r="G94" s="11" t="s">
        <v>87</v>
      </c>
      <c r="H94" s="11" t="s">
        <v>89</v>
      </c>
      <c r="I94" s="14" t="s">
        <v>91</v>
      </c>
      <c r="J94" s="14" t="s">
        <v>93</v>
      </c>
      <c r="K94" s="14" t="s">
        <v>95</v>
      </c>
      <c r="L94" s="11" t="s">
        <v>97</v>
      </c>
      <c r="M94" s="11" t="s">
        <v>99</v>
      </c>
      <c r="N94" s="11" t="s">
        <v>102</v>
      </c>
      <c r="O94" s="14" t="s">
        <v>104</v>
      </c>
      <c r="P94" s="14" t="s">
        <v>105</v>
      </c>
      <c r="Q94" s="14" t="s">
        <v>107</v>
      </c>
      <c r="R94" s="11" t="s">
        <v>205</v>
      </c>
      <c r="S94" s="11" t="s">
        <v>111</v>
      </c>
      <c r="T94" s="11" t="s">
        <v>113</v>
      </c>
      <c r="U94" s="14" t="s">
        <v>115</v>
      </c>
      <c r="V94" s="14" t="s">
        <v>117</v>
      </c>
      <c r="W94" s="14" t="s">
        <v>119</v>
      </c>
      <c r="X94" s="11" t="s">
        <v>121</v>
      </c>
      <c r="Y94" s="11" t="s">
        <v>122</v>
      </c>
      <c r="Z94" s="11" t="s">
        <v>206</v>
      </c>
      <c r="AA94" s="14" t="s">
        <v>207</v>
      </c>
      <c r="AB94" s="14" t="s">
        <v>208</v>
      </c>
      <c r="AC94" s="14" t="s">
        <v>209</v>
      </c>
      <c r="AD94" s="11" t="s">
        <v>210</v>
      </c>
      <c r="AE94" s="11" t="s">
        <v>211</v>
      </c>
      <c r="AF94" s="11" t="s">
        <v>212</v>
      </c>
    </row>
    <row r="95" spans="1:32" x14ac:dyDescent="0.45">
      <c r="A95" s="47" t="s">
        <v>17</v>
      </c>
      <c r="B95" s="6" t="s">
        <v>16</v>
      </c>
      <c r="C95" s="12">
        <v>37.012</v>
      </c>
      <c r="D95" s="12">
        <v>30.126999999999999</v>
      </c>
      <c r="E95" s="12">
        <v>36.511000000000003</v>
      </c>
      <c r="F95" s="9">
        <v>36.426000000000002</v>
      </c>
      <c r="G95" s="9">
        <v>38.170999999999999</v>
      </c>
      <c r="H95" s="9">
        <v>57.52</v>
      </c>
      <c r="I95" s="12">
        <v>29.626000000000001</v>
      </c>
      <c r="J95" s="12">
        <v>32.813000000000002</v>
      </c>
      <c r="K95" s="12">
        <v>24.622</v>
      </c>
      <c r="L95" s="9">
        <v>33.337000000000003</v>
      </c>
      <c r="M95" s="9">
        <v>39.612000000000002</v>
      </c>
      <c r="N95" s="9">
        <v>32.335999999999999</v>
      </c>
      <c r="O95" s="12">
        <v>38.353999999999999</v>
      </c>
      <c r="P95" s="12">
        <v>37.902999999999999</v>
      </c>
      <c r="Q95" s="12">
        <v>38.036999999999999</v>
      </c>
      <c r="R95" s="9">
        <v>42.505000000000003</v>
      </c>
      <c r="S95" s="9">
        <v>41.04</v>
      </c>
      <c r="T95" s="9">
        <v>46.191000000000003</v>
      </c>
      <c r="U95" s="12">
        <v>29.088999999999999</v>
      </c>
      <c r="V95" s="12">
        <v>28.454999999999998</v>
      </c>
      <c r="W95" s="12">
        <v>31.152000000000001</v>
      </c>
      <c r="X95" s="9">
        <v>53.417999999999999</v>
      </c>
      <c r="Y95" s="9">
        <v>46.875</v>
      </c>
      <c r="Z95" s="9">
        <v>29.736000000000001</v>
      </c>
      <c r="AA95" s="12">
        <v>26.038</v>
      </c>
      <c r="AB95" s="12">
        <v>29.271999999999998</v>
      </c>
      <c r="AC95" s="12">
        <v>27.722000000000001</v>
      </c>
      <c r="AD95" s="9">
        <v>38.610999999999997</v>
      </c>
      <c r="AE95" s="9">
        <v>34.411999999999999</v>
      </c>
      <c r="AF95" s="9">
        <v>27.637</v>
      </c>
    </row>
    <row r="96" spans="1:32" x14ac:dyDescent="0.45">
      <c r="A96" s="47"/>
      <c r="B96" s="6" t="s">
        <v>18</v>
      </c>
      <c r="C96" s="12">
        <v>18.506</v>
      </c>
      <c r="D96" s="12">
        <v>18.018000000000001</v>
      </c>
      <c r="E96" s="12">
        <v>25.488</v>
      </c>
      <c r="F96" s="9">
        <v>30.212</v>
      </c>
      <c r="G96" s="9">
        <v>21.765000000000001</v>
      </c>
      <c r="H96" s="9">
        <v>22.094999999999999</v>
      </c>
      <c r="I96" s="12">
        <v>21.802</v>
      </c>
      <c r="J96" s="12">
        <v>24.536000000000001</v>
      </c>
      <c r="K96" s="12">
        <v>23.352</v>
      </c>
      <c r="L96" s="9">
        <v>15.051</v>
      </c>
      <c r="M96" s="9">
        <v>19.140999999999998</v>
      </c>
      <c r="N96" s="9">
        <v>27.942</v>
      </c>
      <c r="O96" s="12">
        <v>31.530999999999999</v>
      </c>
      <c r="P96" s="12">
        <v>15.491</v>
      </c>
      <c r="Q96" s="12">
        <v>16.710999999999999</v>
      </c>
      <c r="R96" s="9">
        <v>28.137</v>
      </c>
      <c r="S96" s="9">
        <v>24.67</v>
      </c>
      <c r="T96" s="9">
        <v>27.344000000000001</v>
      </c>
      <c r="U96" s="12">
        <v>21.521000000000001</v>
      </c>
      <c r="V96" s="12">
        <v>27.318999999999999</v>
      </c>
      <c r="W96" s="12">
        <v>15.734999999999999</v>
      </c>
      <c r="X96" s="9">
        <v>25.916</v>
      </c>
      <c r="Y96" s="9">
        <v>24.158000000000001</v>
      </c>
      <c r="Z96" s="9">
        <v>24.951000000000001</v>
      </c>
      <c r="AA96" s="12">
        <v>24.988</v>
      </c>
      <c r="AB96" s="12">
        <v>30.896000000000001</v>
      </c>
      <c r="AC96" s="12">
        <v>21.814</v>
      </c>
      <c r="AD96" s="9">
        <v>23.853000000000002</v>
      </c>
      <c r="AE96" s="9">
        <v>31.103999999999999</v>
      </c>
      <c r="AF96" s="9">
        <v>22.681000000000001</v>
      </c>
    </row>
    <row r="97" spans="1:34" x14ac:dyDescent="0.45">
      <c r="A97" s="47"/>
      <c r="B97" s="6" t="s">
        <v>20</v>
      </c>
      <c r="C97" s="12">
        <v>27.966000000000001</v>
      </c>
      <c r="D97" s="12">
        <v>32.996000000000002</v>
      </c>
      <c r="E97" s="12">
        <v>20.959</v>
      </c>
      <c r="F97" s="9">
        <v>17.920000000000002</v>
      </c>
      <c r="G97" s="9">
        <v>23.071000000000002</v>
      </c>
      <c r="H97" s="9">
        <v>13.305999999999999</v>
      </c>
      <c r="I97" s="12">
        <v>27.49</v>
      </c>
      <c r="J97" s="12">
        <v>24.242999999999999</v>
      </c>
      <c r="K97" s="12">
        <v>27.405000000000001</v>
      </c>
      <c r="L97" s="9">
        <v>33.899000000000001</v>
      </c>
      <c r="M97" s="9">
        <v>26.891999999999999</v>
      </c>
      <c r="N97" s="9">
        <v>21.899000000000001</v>
      </c>
      <c r="O97" s="12">
        <v>16.858000000000001</v>
      </c>
      <c r="P97" s="12">
        <v>33.386000000000003</v>
      </c>
      <c r="Q97" s="12">
        <v>31.408999999999999</v>
      </c>
      <c r="R97" s="9">
        <v>16.626000000000001</v>
      </c>
      <c r="S97" s="9">
        <v>18.957999999999998</v>
      </c>
      <c r="T97" s="9">
        <v>15.198</v>
      </c>
      <c r="U97" s="12">
        <v>28.088000000000001</v>
      </c>
      <c r="V97" s="12">
        <v>21.655000000000001</v>
      </c>
      <c r="W97" s="12">
        <v>34.631</v>
      </c>
      <c r="X97" s="9">
        <v>12.146000000000001</v>
      </c>
      <c r="Y97" s="9">
        <v>18.957999999999998</v>
      </c>
      <c r="Z97" s="9">
        <v>25.513000000000002</v>
      </c>
      <c r="AA97" s="12">
        <v>25.012</v>
      </c>
      <c r="AB97" s="12">
        <v>19.116</v>
      </c>
      <c r="AC97" s="12">
        <v>28.795999999999999</v>
      </c>
      <c r="AD97" s="9">
        <v>22.484999999999999</v>
      </c>
      <c r="AE97" s="9">
        <v>18.542000000000002</v>
      </c>
      <c r="AF97" s="9">
        <v>28.344999999999999</v>
      </c>
    </row>
    <row r="98" spans="1:34" x14ac:dyDescent="0.45">
      <c r="A98" s="47"/>
      <c r="B98" s="6" t="s">
        <v>19</v>
      </c>
      <c r="C98" s="12">
        <v>16.515999999999998</v>
      </c>
      <c r="D98" s="12">
        <v>18.86</v>
      </c>
      <c r="E98" s="12">
        <v>17.041</v>
      </c>
      <c r="F98" s="9">
        <v>15.442</v>
      </c>
      <c r="G98" s="9">
        <v>16.992000000000001</v>
      </c>
      <c r="H98" s="9">
        <v>7.08</v>
      </c>
      <c r="I98" s="12">
        <v>21.082000000000001</v>
      </c>
      <c r="J98" s="12">
        <v>18.408000000000001</v>
      </c>
      <c r="K98" s="12">
        <v>24.622</v>
      </c>
      <c r="L98" s="9">
        <v>17.712</v>
      </c>
      <c r="M98" s="9">
        <v>14.355</v>
      </c>
      <c r="N98" s="9">
        <v>17.821999999999999</v>
      </c>
      <c r="O98" s="12">
        <v>13.257</v>
      </c>
      <c r="P98" s="12">
        <v>13.22</v>
      </c>
      <c r="Q98" s="12">
        <v>13.843</v>
      </c>
      <c r="R98" s="9">
        <v>12.731999999999999</v>
      </c>
      <c r="S98" s="9">
        <v>15.332000000000001</v>
      </c>
      <c r="T98" s="9">
        <v>11.266999999999999</v>
      </c>
      <c r="U98" s="12">
        <v>21.300999999999998</v>
      </c>
      <c r="V98" s="12">
        <v>22.571000000000002</v>
      </c>
      <c r="W98" s="12">
        <v>18.481000000000002</v>
      </c>
      <c r="X98" s="9">
        <v>8.5210000000000008</v>
      </c>
      <c r="Y98" s="9">
        <v>10.01</v>
      </c>
      <c r="Z98" s="9">
        <v>19.8</v>
      </c>
      <c r="AA98" s="12">
        <v>23.962</v>
      </c>
      <c r="AB98" s="12">
        <v>20.715</v>
      </c>
      <c r="AC98" s="12">
        <v>21.667000000000002</v>
      </c>
      <c r="AD98" s="9">
        <v>15.051</v>
      </c>
      <c r="AE98" s="9">
        <v>15.942</v>
      </c>
      <c r="AF98" s="9">
        <v>21.338000000000001</v>
      </c>
    </row>
    <row r="99" spans="1:34" x14ac:dyDescent="0.45">
      <c r="A99" s="48" t="s">
        <v>22</v>
      </c>
      <c r="B99" s="48"/>
      <c r="C99" s="12">
        <f t="shared" ref="C99:R99" si="7">SUM(C96:C98)</f>
        <v>62.988</v>
      </c>
      <c r="D99" s="12">
        <f t="shared" si="7"/>
        <v>69.873999999999995</v>
      </c>
      <c r="E99" s="12">
        <f t="shared" si="7"/>
        <v>63.488</v>
      </c>
      <c r="F99" s="9">
        <f t="shared" si="7"/>
        <v>63.574000000000005</v>
      </c>
      <c r="G99" s="9">
        <f t="shared" si="7"/>
        <v>61.828000000000003</v>
      </c>
      <c r="H99" s="9">
        <f t="shared" si="7"/>
        <v>42.480999999999995</v>
      </c>
      <c r="I99" s="12">
        <f t="shared" si="7"/>
        <v>70.373999999999995</v>
      </c>
      <c r="J99" s="12">
        <f t="shared" si="7"/>
        <v>67.186999999999998</v>
      </c>
      <c r="K99" s="12">
        <f t="shared" si="7"/>
        <v>75.379000000000005</v>
      </c>
      <c r="L99" s="9">
        <f t="shared" si="7"/>
        <v>66.662000000000006</v>
      </c>
      <c r="M99" s="9">
        <f t="shared" si="7"/>
        <v>60.388000000000005</v>
      </c>
      <c r="N99" s="9">
        <f t="shared" si="7"/>
        <v>67.662999999999997</v>
      </c>
      <c r="O99" s="12">
        <f t="shared" si="7"/>
        <v>61.645999999999994</v>
      </c>
      <c r="P99" s="12">
        <f t="shared" si="7"/>
        <v>62.097000000000001</v>
      </c>
      <c r="Q99" s="12">
        <f t="shared" si="7"/>
        <v>61.962999999999994</v>
      </c>
      <c r="R99" s="9">
        <f t="shared" si="7"/>
        <v>57.495000000000005</v>
      </c>
      <c r="S99" s="9">
        <f>SUM(S96:S98)</f>
        <v>58.96</v>
      </c>
      <c r="T99" s="9">
        <f t="shared" ref="T99:Y99" si="8">SUM(T96:T98)</f>
        <v>53.808999999999997</v>
      </c>
      <c r="U99" s="12">
        <f t="shared" si="8"/>
        <v>70.91</v>
      </c>
      <c r="V99" s="12">
        <f t="shared" si="8"/>
        <v>71.545000000000002</v>
      </c>
      <c r="W99" s="12">
        <f t="shared" si="8"/>
        <v>68.847000000000008</v>
      </c>
      <c r="X99" s="9">
        <f t="shared" si="8"/>
        <v>46.582999999999998</v>
      </c>
      <c r="Y99" s="9">
        <f t="shared" si="8"/>
        <v>53.125999999999998</v>
      </c>
      <c r="Z99" s="9">
        <f t="shared" ref="Z99:AF99" si="9">SUM(Z96:Z98)</f>
        <v>70.263999999999996</v>
      </c>
      <c r="AA99" s="12">
        <f t="shared" si="9"/>
        <v>73.962000000000003</v>
      </c>
      <c r="AB99" s="12">
        <f t="shared" si="9"/>
        <v>70.727000000000004</v>
      </c>
      <c r="AC99" s="12">
        <f t="shared" si="9"/>
        <v>72.277000000000001</v>
      </c>
      <c r="AD99" s="9">
        <f t="shared" si="9"/>
        <v>61.389000000000003</v>
      </c>
      <c r="AE99" s="9">
        <f t="shared" si="9"/>
        <v>65.587999999999994</v>
      </c>
      <c r="AF99" s="9">
        <f t="shared" si="9"/>
        <v>72.364000000000004</v>
      </c>
      <c r="AG99" s="12">
        <f>(SUM(C99:E99)+SUM(I99:K99)+SUM(O99:Q99)+SUM(U99:W99)+SUM(AA99:AC99))/15</f>
        <v>68.217600000000004</v>
      </c>
      <c r="AH99" s="9">
        <f>(SUM(F99:H99)+SUM(L99:N99)+SUM(R99:T99)+SUM(X99:Z99)+SUM(AD99:AF99))/15</f>
        <v>60.144933333333341</v>
      </c>
    </row>
    <row r="103" spans="1:34" x14ac:dyDescent="0.45">
      <c r="A103" s="47" t="s">
        <v>0</v>
      </c>
      <c r="B103" s="47"/>
      <c r="C103" s="12" t="s">
        <v>174</v>
      </c>
      <c r="D103" s="12" t="s">
        <v>174</v>
      </c>
      <c r="E103" s="12" t="s">
        <v>174</v>
      </c>
      <c r="F103" s="9" t="s">
        <v>174</v>
      </c>
      <c r="G103" s="9" t="s">
        <v>174</v>
      </c>
      <c r="H103" s="9" t="s">
        <v>174</v>
      </c>
      <c r="I103" s="12" t="s">
        <v>174</v>
      </c>
      <c r="J103" s="12" t="s">
        <v>174</v>
      </c>
      <c r="K103" s="12" t="s">
        <v>174</v>
      </c>
      <c r="L103" s="9" t="s">
        <v>174</v>
      </c>
      <c r="M103" s="9" t="s">
        <v>174</v>
      </c>
      <c r="N103" s="9" t="s">
        <v>174</v>
      </c>
      <c r="O103" s="12" t="s">
        <v>174</v>
      </c>
      <c r="P103" s="12" t="s">
        <v>174</v>
      </c>
      <c r="Q103" s="12" t="s">
        <v>174</v>
      </c>
      <c r="R103" s="9" t="s">
        <v>174</v>
      </c>
      <c r="S103" s="9" t="s">
        <v>174</v>
      </c>
      <c r="T103" s="9" t="s">
        <v>174</v>
      </c>
      <c r="U103" s="12" t="s">
        <v>174</v>
      </c>
      <c r="V103" s="12" t="s">
        <v>174</v>
      </c>
      <c r="W103" s="12" t="s">
        <v>174</v>
      </c>
      <c r="X103" s="9" t="s">
        <v>174</v>
      </c>
      <c r="Y103" s="9" t="s">
        <v>174</v>
      </c>
      <c r="Z103" s="9" t="s">
        <v>174</v>
      </c>
      <c r="AA103" s="12" t="s">
        <v>174</v>
      </c>
      <c r="AB103" s="12" t="s">
        <v>174</v>
      </c>
      <c r="AC103" s="12" t="s">
        <v>174</v>
      </c>
      <c r="AD103" s="9" t="s">
        <v>174</v>
      </c>
      <c r="AE103" s="9" t="s">
        <v>174</v>
      </c>
      <c r="AF103" s="9" t="s">
        <v>174</v>
      </c>
    </row>
    <row r="104" spans="1:34" x14ac:dyDescent="0.45">
      <c r="A104" s="47" t="s">
        <v>10</v>
      </c>
      <c r="B104" s="47"/>
      <c r="C104" s="13" t="s">
        <v>16</v>
      </c>
      <c r="D104" s="13" t="s">
        <v>16</v>
      </c>
      <c r="E104" s="13" t="s">
        <v>16</v>
      </c>
      <c r="F104" s="10" t="s">
        <v>16</v>
      </c>
      <c r="G104" s="10" t="s">
        <v>16</v>
      </c>
      <c r="H104" s="10" t="s">
        <v>16</v>
      </c>
      <c r="I104" s="13" t="s">
        <v>16</v>
      </c>
      <c r="J104" s="13" t="s">
        <v>16</v>
      </c>
      <c r="K104" s="13" t="s">
        <v>16</v>
      </c>
      <c r="L104" s="10" t="s">
        <v>16</v>
      </c>
      <c r="M104" s="10" t="s">
        <v>16</v>
      </c>
      <c r="N104" s="10" t="s">
        <v>16</v>
      </c>
      <c r="O104" s="13" t="s">
        <v>16</v>
      </c>
      <c r="P104" s="13" t="s">
        <v>16</v>
      </c>
      <c r="Q104" s="13" t="s">
        <v>16</v>
      </c>
      <c r="R104" s="10" t="s">
        <v>16</v>
      </c>
      <c r="S104" s="10" t="s">
        <v>16</v>
      </c>
      <c r="T104" s="10" t="s">
        <v>16</v>
      </c>
      <c r="U104" s="13" t="s">
        <v>16</v>
      </c>
      <c r="V104" s="13" t="s">
        <v>16</v>
      </c>
      <c r="W104" s="13" t="s">
        <v>16</v>
      </c>
      <c r="X104" s="10" t="s">
        <v>16</v>
      </c>
      <c r="Y104" s="10" t="s">
        <v>16</v>
      </c>
      <c r="Z104" s="10" t="s">
        <v>16</v>
      </c>
      <c r="AA104" s="13" t="s">
        <v>16</v>
      </c>
      <c r="AB104" s="13" t="s">
        <v>16</v>
      </c>
      <c r="AC104" s="13" t="s">
        <v>16</v>
      </c>
      <c r="AD104" s="10" t="s">
        <v>16</v>
      </c>
      <c r="AE104" s="10" t="s">
        <v>16</v>
      </c>
      <c r="AF104" s="10" t="s">
        <v>16</v>
      </c>
    </row>
    <row r="105" spans="1:34" x14ac:dyDescent="0.45">
      <c r="A105" s="47" t="s">
        <v>1</v>
      </c>
      <c r="B105" s="47"/>
      <c r="C105" s="12" t="s">
        <v>8</v>
      </c>
      <c r="D105" s="12" t="s">
        <v>8</v>
      </c>
      <c r="E105" s="12" t="s">
        <v>8</v>
      </c>
      <c r="F105" s="9" t="s">
        <v>8</v>
      </c>
      <c r="G105" s="9" t="s">
        <v>8</v>
      </c>
      <c r="H105" s="9" t="s">
        <v>8</v>
      </c>
      <c r="I105" s="12" t="s">
        <v>27</v>
      </c>
      <c r="J105" s="12" t="s">
        <v>27</v>
      </c>
      <c r="K105" s="12" t="s">
        <v>27</v>
      </c>
      <c r="L105" s="9" t="s">
        <v>27</v>
      </c>
      <c r="M105" s="9" t="s">
        <v>27</v>
      </c>
      <c r="N105" s="9" t="s">
        <v>27</v>
      </c>
      <c r="O105" s="12" t="s">
        <v>28</v>
      </c>
      <c r="P105" s="12" t="s">
        <v>28</v>
      </c>
      <c r="Q105" s="12" t="s">
        <v>28</v>
      </c>
      <c r="R105" s="9" t="s">
        <v>28</v>
      </c>
      <c r="S105" s="9" t="s">
        <v>28</v>
      </c>
      <c r="T105" s="9" t="s">
        <v>28</v>
      </c>
      <c r="U105" s="12" t="s">
        <v>29</v>
      </c>
      <c r="V105" s="12" t="s">
        <v>29</v>
      </c>
      <c r="W105" s="12" t="s">
        <v>29</v>
      </c>
      <c r="X105" s="9" t="s">
        <v>29</v>
      </c>
      <c r="Y105" s="9" t="s">
        <v>29</v>
      </c>
      <c r="Z105" s="9" t="s">
        <v>29</v>
      </c>
      <c r="AA105" s="12" t="s">
        <v>30</v>
      </c>
      <c r="AB105" s="12" t="s">
        <v>30</v>
      </c>
      <c r="AC105" s="12" t="s">
        <v>30</v>
      </c>
      <c r="AD105" s="9" t="s">
        <v>30</v>
      </c>
      <c r="AE105" s="9" t="s">
        <v>30</v>
      </c>
      <c r="AF105" s="9" t="s">
        <v>30</v>
      </c>
    </row>
    <row r="106" spans="1:34" x14ac:dyDescent="0.45">
      <c r="A106" s="47" t="s">
        <v>13</v>
      </c>
      <c r="B106" s="16" t="s">
        <v>12</v>
      </c>
      <c r="C106" s="12" t="s">
        <v>21</v>
      </c>
      <c r="D106" s="12" t="s">
        <v>21</v>
      </c>
      <c r="E106" s="12" t="s">
        <v>21</v>
      </c>
      <c r="F106" s="9" t="s">
        <v>26</v>
      </c>
      <c r="G106" s="9" t="s">
        <v>26</v>
      </c>
      <c r="H106" s="9" t="s">
        <v>26</v>
      </c>
      <c r="I106" s="12" t="s">
        <v>21</v>
      </c>
      <c r="J106" s="12" t="s">
        <v>21</v>
      </c>
      <c r="K106" s="12" t="s">
        <v>21</v>
      </c>
      <c r="L106" s="9" t="s">
        <v>26</v>
      </c>
      <c r="M106" s="9" t="s">
        <v>26</v>
      </c>
      <c r="N106" s="9" t="s">
        <v>26</v>
      </c>
      <c r="O106" s="12" t="s">
        <v>21</v>
      </c>
      <c r="P106" s="12" t="s">
        <v>21</v>
      </c>
      <c r="Q106" s="12" t="s">
        <v>21</v>
      </c>
      <c r="R106" s="9" t="s">
        <v>26</v>
      </c>
      <c r="S106" s="9" t="s">
        <v>26</v>
      </c>
      <c r="T106" s="9" t="s">
        <v>26</v>
      </c>
      <c r="U106" s="12" t="s">
        <v>21</v>
      </c>
      <c r="V106" s="12" t="s">
        <v>21</v>
      </c>
      <c r="W106" s="12" t="s">
        <v>21</v>
      </c>
      <c r="X106" s="9" t="s">
        <v>26</v>
      </c>
      <c r="Y106" s="9" t="s">
        <v>26</v>
      </c>
      <c r="Z106" s="9" t="s">
        <v>26</v>
      </c>
      <c r="AA106" s="12" t="s">
        <v>21</v>
      </c>
      <c r="AB106" s="12" t="s">
        <v>21</v>
      </c>
      <c r="AC106" s="12" t="s">
        <v>21</v>
      </c>
      <c r="AD106" s="9" t="s">
        <v>26</v>
      </c>
      <c r="AE106" s="9" t="s">
        <v>26</v>
      </c>
      <c r="AF106" s="9" t="s">
        <v>26</v>
      </c>
    </row>
    <row r="107" spans="1:34" x14ac:dyDescent="0.45">
      <c r="A107" s="47"/>
      <c r="B107" s="16" t="s">
        <v>14</v>
      </c>
      <c r="C107" s="12">
        <v>79</v>
      </c>
      <c r="D107" s="12">
        <v>76</v>
      </c>
      <c r="E107" s="12">
        <v>44</v>
      </c>
      <c r="F107" s="9">
        <v>55</v>
      </c>
      <c r="G107" s="9">
        <v>54</v>
      </c>
      <c r="H107" s="9">
        <v>58</v>
      </c>
      <c r="I107" s="12">
        <v>70</v>
      </c>
      <c r="J107" s="12">
        <v>77</v>
      </c>
      <c r="K107" s="12">
        <v>73</v>
      </c>
      <c r="L107" s="9">
        <v>51</v>
      </c>
      <c r="M107" s="9">
        <v>51</v>
      </c>
      <c r="N107" s="9">
        <v>74</v>
      </c>
      <c r="O107" s="12">
        <v>67</v>
      </c>
      <c r="P107" s="12">
        <v>83</v>
      </c>
      <c r="Q107" s="12">
        <v>55</v>
      </c>
      <c r="R107" s="9">
        <v>51</v>
      </c>
      <c r="S107" s="9">
        <v>54</v>
      </c>
      <c r="T107" s="9">
        <v>75</v>
      </c>
      <c r="U107" s="12">
        <v>77</v>
      </c>
      <c r="V107" s="12">
        <v>70</v>
      </c>
      <c r="W107" s="12">
        <v>77</v>
      </c>
      <c r="X107" s="9">
        <v>50</v>
      </c>
      <c r="Y107" s="9">
        <v>75</v>
      </c>
      <c r="Z107" s="9">
        <v>67</v>
      </c>
      <c r="AA107" s="12">
        <v>79</v>
      </c>
      <c r="AB107" s="12">
        <v>82</v>
      </c>
      <c r="AC107" s="12">
        <v>43</v>
      </c>
      <c r="AD107" s="9">
        <v>57</v>
      </c>
      <c r="AE107" s="9">
        <v>73</v>
      </c>
      <c r="AF107" s="9">
        <v>75</v>
      </c>
    </row>
    <row r="108" spans="1:34" x14ac:dyDescent="0.45">
      <c r="A108" s="47"/>
      <c r="B108" s="3" t="s">
        <v>15</v>
      </c>
      <c r="C108" s="12">
        <v>32</v>
      </c>
      <c r="D108" s="12">
        <v>32</v>
      </c>
      <c r="E108" s="12">
        <v>32</v>
      </c>
      <c r="F108" s="9">
        <v>43</v>
      </c>
      <c r="G108" s="9">
        <v>43</v>
      </c>
      <c r="H108" s="9">
        <v>43</v>
      </c>
      <c r="I108" s="12">
        <v>37</v>
      </c>
      <c r="J108" s="12">
        <v>37</v>
      </c>
      <c r="K108" s="12">
        <v>37</v>
      </c>
      <c r="L108" s="9">
        <v>48</v>
      </c>
      <c r="M108" s="9">
        <v>48</v>
      </c>
      <c r="N108" s="9">
        <v>48</v>
      </c>
      <c r="O108" s="12">
        <v>37</v>
      </c>
      <c r="P108" s="12">
        <v>37</v>
      </c>
      <c r="Q108" s="12">
        <v>37</v>
      </c>
      <c r="R108" s="9">
        <v>48</v>
      </c>
      <c r="S108" s="9">
        <v>48</v>
      </c>
      <c r="T108" s="9">
        <v>48</v>
      </c>
      <c r="U108" s="12">
        <v>37</v>
      </c>
      <c r="V108" s="12">
        <v>37</v>
      </c>
      <c r="W108" s="12">
        <v>37</v>
      </c>
      <c r="X108" s="9">
        <v>48</v>
      </c>
      <c r="Y108" s="9">
        <v>48</v>
      </c>
      <c r="Z108" s="9">
        <v>48</v>
      </c>
      <c r="AA108" s="12">
        <v>37</v>
      </c>
      <c r="AB108" s="12">
        <v>37</v>
      </c>
      <c r="AC108" s="12">
        <v>37</v>
      </c>
      <c r="AD108" s="9">
        <v>48</v>
      </c>
      <c r="AE108" s="9">
        <v>47</v>
      </c>
      <c r="AF108" s="9">
        <v>48</v>
      </c>
    </row>
    <row r="109" spans="1:34" x14ac:dyDescent="0.45">
      <c r="A109" s="47" t="s">
        <v>11</v>
      </c>
      <c r="B109" s="47"/>
      <c r="C109" s="12">
        <v>8192</v>
      </c>
      <c r="D109" s="12">
        <v>8192</v>
      </c>
      <c r="E109" s="12">
        <v>8192</v>
      </c>
      <c r="F109" s="9">
        <v>8192</v>
      </c>
      <c r="G109" s="9">
        <v>8192</v>
      </c>
      <c r="H109" s="9">
        <v>8192</v>
      </c>
      <c r="I109" s="12">
        <v>8192</v>
      </c>
      <c r="J109" s="12">
        <v>8192</v>
      </c>
      <c r="K109" s="12">
        <v>8192</v>
      </c>
      <c r="L109" s="9">
        <v>8192</v>
      </c>
      <c r="M109" s="9">
        <v>8192</v>
      </c>
      <c r="N109" s="9">
        <v>8192</v>
      </c>
      <c r="O109" s="12">
        <v>8192</v>
      </c>
      <c r="P109" s="12">
        <v>8192</v>
      </c>
      <c r="Q109" s="12">
        <v>8192</v>
      </c>
      <c r="R109" s="9">
        <v>8192</v>
      </c>
      <c r="S109" s="9">
        <v>8192</v>
      </c>
      <c r="T109" s="9">
        <v>8192</v>
      </c>
      <c r="U109" s="12">
        <v>8192</v>
      </c>
      <c r="V109" s="12">
        <v>8192</v>
      </c>
      <c r="W109" s="12">
        <v>8192</v>
      </c>
      <c r="X109" s="9">
        <v>8192</v>
      </c>
      <c r="Y109" s="9">
        <v>8192</v>
      </c>
      <c r="Z109" s="9">
        <v>8192</v>
      </c>
      <c r="AA109" s="12">
        <v>8192</v>
      </c>
      <c r="AB109" s="12">
        <v>8192</v>
      </c>
      <c r="AC109" s="12">
        <v>8192</v>
      </c>
      <c r="AD109" s="9">
        <v>8192</v>
      </c>
      <c r="AE109" s="9">
        <v>8192</v>
      </c>
      <c r="AF109" s="9">
        <v>8192</v>
      </c>
    </row>
    <row r="110" spans="1:34" x14ac:dyDescent="0.45">
      <c r="A110" s="47" t="s">
        <v>42</v>
      </c>
      <c r="B110" s="2" t="s">
        <v>2</v>
      </c>
      <c r="C110" s="12">
        <v>0.91500000000000004</v>
      </c>
      <c r="D110" s="12">
        <v>0.81</v>
      </c>
      <c r="E110" s="12">
        <v>1.1000000000000001</v>
      </c>
      <c r="F110" s="9">
        <v>0.89400000000000002</v>
      </c>
      <c r="G110" s="9">
        <v>1</v>
      </c>
      <c r="H110" s="9">
        <v>0.81699999999999995</v>
      </c>
      <c r="I110" s="12">
        <v>0.85</v>
      </c>
      <c r="J110" s="12">
        <v>0.72899999999999998</v>
      </c>
      <c r="K110" s="12">
        <v>0.98799999999999999</v>
      </c>
      <c r="L110" s="9">
        <v>0.87</v>
      </c>
      <c r="M110" s="9">
        <v>0.80500000000000005</v>
      </c>
      <c r="N110" s="9">
        <v>0.90500000000000003</v>
      </c>
      <c r="O110" s="12">
        <v>0.86799999999999999</v>
      </c>
      <c r="P110" s="12">
        <v>0.94399999999999995</v>
      </c>
      <c r="Q110" s="12">
        <v>0.879</v>
      </c>
      <c r="R110" s="9">
        <v>0.89900000000000002</v>
      </c>
      <c r="S110" s="9">
        <v>0.754</v>
      </c>
      <c r="T110" s="9">
        <v>0.79800000000000004</v>
      </c>
      <c r="U110" s="12">
        <v>0.85599999999999998</v>
      </c>
      <c r="V110" s="12">
        <v>0.78200000000000003</v>
      </c>
      <c r="W110" s="12">
        <v>0.95499999999999996</v>
      </c>
      <c r="X110" s="9">
        <v>0.77100000000000002</v>
      </c>
      <c r="Y110" s="9">
        <v>0.95399999999999996</v>
      </c>
      <c r="Z110" s="9">
        <v>0.92700000000000005</v>
      </c>
      <c r="AA110" s="12">
        <v>0.90800000000000003</v>
      </c>
      <c r="AB110" s="12">
        <v>0.81100000000000005</v>
      </c>
      <c r="AC110" s="12">
        <v>1.2</v>
      </c>
      <c r="AD110" s="9">
        <v>0.90600000000000003</v>
      </c>
      <c r="AE110" s="9">
        <v>0.91300000000000003</v>
      </c>
      <c r="AF110" s="9">
        <v>0.75900000000000001</v>
      </c>
    </row>
    <row r="111" spans="1:34" x14ac:dyDescent="0.45">
      <c r="A111" s="47"/>
      <c r="B111" s="2" t="s">
        <v>3</v>
      </c>
      <c r="C111" s="12">
        <f>8*60+55.4</f>
        <v>535.4</v>
      </c>
      <c r="D111" s="12">
        <f>9*60+4.7</f>
        <v>544.70000000000005</v>
      </c>
      <c r="E111" s="12">
        <f>10*60+16.9</f>
        <v>616.9</v>
      </c>
      <c r="F111" s="9">
        <f>10*60+15</f>
        <v>615</v>
      </c>
      <c r="G111" s="9">
        <f>11*60+0.8</f>
        <v>660.8</v>
      </c>
      <c r="H111" s="9">
        <f>10*60+19.7</f>
        <v>619.70000000000005</v>
      </c>
      <c r="I111" s="12">
        <f>10*60+37.5</f>
        <v>637.5</v>
      </c>
      <c r="J111" s="12">
        <f>10*60+20.5</f>
        <v>620.5</v>
      </c>
      <c r="K111" s="12">
        <f>10*60+19.1</f>
        <v>619.1</v>
      </c>
      <c r="L111" s="9">
        <f>10*60+18</f>
        <v>618</v>
      </c>
      <c r="M111" s="9">
        <f>7*60+50.3</f>
        <v>470.3</v>
      </c>
      <c r="N111" s="9">
        <f>10*60+11.5</f>
        <v>611.5</v>
      </c>
      <c r="O111" s="12">
        <f>10*60+10.8</f>
        <v>610.79999999999995</v>
      </c>
      <c r="P111" s="12">
        <f>7*60+49.7</f>
        <v>469.7</v>
      </c>
      <c r="Q111" s="12">
        <f>7*60+49</f>
        <v>469</v>
      </c>
      <c r="R111" s="9">
        <f>7*60+47.1</f>
        <v>467.1</v>
      </c>
      <c r="S111" s="9">
        <f>8*60+19.4</f>
        <v>499.4</v>
      </c>
      <c r="T111" s="9">
        <f>12*60+51.6</f>
        <v>771.6</v>
      </c>
      <c r="U111" s="12">
        <f>11*60+1.8</f>
        <v>661.8</v>
      </c>
      <c r="V111" s="12">
        <f>12*60+55.2</f>
        <v>775.2</v>
      </c>
      <c r="W111" s="12">
        <f>10*60+41.4</f>
        <v>641.4</v>
      </c>
      <c r="X111" s="9">
        <f>10*60+29.8</f>
        <v>629.79999999999995</v>
      </c>
      <c r="Y111" s="9">
        <f>10*60+42.6</f>
        <v>642.6</v>
      </c>
      <c r="Z111" s="9">
        <f>13*60+17.9</f>
        <v>797.9</v>
      </c>
      <c r="AA111" s="12">
        <f>10*60+9.2</f>
        <v>609.20000000000005</v>
      </c>
      <c r="AB111" s="12">
        <f>12*60+56.8</f>
        <v>776.8</v>
      </c>
      <c r="AC111" s="12">
        <f>8*60+17.9</f>
        <v>497.9</v>
      </c>
      <c r="AD111" s="9">
        <f>12*60+51.7</f>
        <v>771.7</v>
      </c>
      <c r="AE111" s="9">
        <f>9*60+56.7</f>
        <v>596.70000000000005</v>
      </c>
      <c r="AF111" s="9">
        <f>13*60+12.2</f>
        <v>792.2</v>
      </c>
    </row>
    <row r="112" spans="1:34" x14ac:dyDescent="0.45">
      <c r="A112" s="47"/>
      <c r="B112" s="2" t="s">
        <v>4</v>
      </c>
      <c r="C112" s="12">
        <v>24.7</v>
      </c>
      <c r="D112" s="12">
        <v>24.9</v>
      </c>
      <c r="E112" s="12">
        <v>24.6</v>
      </c>
      <c r="F112" s="9">
        <v>24.6</v>
      </c>
      <c r="G112" s="9">
        <v>24.7</v>
      </c>
      <c r="H112" s="9">
        <v>24.4</v>
      </c>
      <c r="I112" s="12">
        <v>24.5</v>
      </c>
      <c r="J112" s="12">
        <v>24.7</v>
      </c>
      <c r="K112" s="12">
        <v>24.3</v>
      </c>
      <c r="L112" s="9">
        <v>24.3</v>
      </c>
      <c r="M112" s="9">
        <v>24.6</v>
      </c>
      <c r="N112" s="9">
        <v>24.7</v>
      </c>
      <c r="O112" s="12">
        <v>24.7</v>
      </c>
      <c r="P112" s="12">
        <v>24.3</v>
      </c>
      <c r="Q112" s="12">
        <v>24.6</v>
      </c>
      <c r="R112" s="9">
        <v>24.5</v>
      </c>
      <c r="S112" s="9">
        <v>24.4</v>
      </c>
      <c r="T112" s="9">
        <v>24.6</v>
      </c>
      <c r="U112" s="12">
        <v>24.5</v>
      </c>
      <c r="V112" s="12">
        <v>24.8</v>
      </c>
      <c r="W112" s="12">
        <v>24.5</v>
      </c>
      <c r="X112" s="9">
        <v>24.7</v>
      </c>
      <c r="Y112" s="9">
        <v>24.3</v>
      </c>
      <c r="Z112" s="9">
        <v>24.4</v>
      </c>
      <c r="AA112" s="12">
        <v>24.5</v>
      </c>
      <c r="AB112" s="12">
        <v>24.6</v>
      </c>
      <c r="AC112" s="12">
        <v>24.5</v>
      </c>
      <c r="AD112" s="9">
        <v>24.4</v>
      </c>
      <c r="AE112" s="9">
        <v>24.6</v>
      </c>
      <c r="AF112" s="9">
        <v>24.9</v>
      </c>
    </row>
    <row r="113" spans="1:34" x14ac:dyDescent="0.45">
      <c r="A113" s="47"/>
      <c r="B113" s="2" t="s">
        <v>5</v>
      </c>
      <c r="C113" s="12">
        <f>9*60+49.7</f>
        <v>589.70000000000005</v>
      </c>
      <c r="D113" s="12">
        <f>9*60+35.9</f>
        <v>575.9</v>
      </c>
      <c r="E113" s="12">
        <f>10*60+47.7</f>
        <v>647.70000000000005</v>
      </c>
      <c r="F113" s="9">
        <f>10*60+45.6</f>
        <v>645.6</v>
      </c>
      <c r="G113" s="9">
        <f>11*60+31.5</f>
        <v>691.5</v>
      </c>
      <c r="H113" s="9">
        <f>10*60+49.8</f>
        <v>649.79999999999995</v>
      </c>
      <c r="I113" s="12">
        <f>11*60+8.2</f>
        <v>668.2</v>
      </c>
      <c r="J113" s="12">
        <f>10*60+51.3</f>
        <v>651.29999999999995</v>
      </c>
      <c r="K113" s="12">
        <f>10*60+49.5</f>
        <v>649.5</v>
      </c>
      <c r="L113" s="9">
        <f>10*60+48.4</f>
        <v>648.4</v>
      </c>
      <c r="M113" s="9">
        <f>8*60+20.9</f>
        <v>500.9</v>
      </c>
      <c r="N113" s="9">
        <f>11*60+4</f>
        <v>664</v>
      </c>
      <c r="O113" s="12">
        <f>10*60+41.5</f>
        <v>641.5</v>
      </c>
      <c r="P113" s="12">
        <f>8*60+18.8</f>
        <v>498.8</v>
      </c>
      <c r="Q113" s="12">
        <f>8*60+20</f>
        <v>500</v>
      </c>
      <c r="R113" s="9">
        <f>8*60+17.9</f>
        <v>497.9</v>
      </c>
      <c r="S113" s="9">
        <f>8*60+49.9</f>
        <v>529.9</v>
      </c>
      <c r="T113" s="9">
        <f>13*60+22.4</f>
        <v>802.4</v>
      </c>
      <c r="U113" s="12">
        <f>11*60+32</f>
        <v>692</v>
      </c>
      <c r="V113" s="12">
        <f>13*60+25.9</f>
        <v>805.9</v>
      </c>
      <c r="W113" s="12">
        <f>11*60+12.6</f>
        <v>672.6</v>
      </c>
      <c r="X113" s="9">
        <f>11*60+0.6</f>
        <v>660.6</v>
      </c>
      <c r="Y113" s="9">
        <f>11*60+13.2</f>
        <v>673.2</v>
      </c>
      <c r="Z113" s="9">
        <f>13*60+48.8</f>
        <v>828.8</v>
      </c>
      <c r="AA113" s="12">
        <f>11*60+9.2</f>
        <v>669.2</v>
      </c>
      <c r="AB113" s="12">
        <f>13*60+27</f>
        <v>807</v>
      </c>
      <c r="AC113" s="12">
        <f>8*60+48.7</f>
        <v>528.70000000000005</v>
      </c>
      <c r="AD113" s="9">
        <f>13*60+22.2</f>
        <v>802.2</v>
      </c>
      <c r="AE113" s="9">
        <f>10*60+27.3</f>
        <v>627.29999999999995</v>
      </c>
      <c r="AF113" s="9">
        <f>13*60+43.4</f>
        <v>823.4</v>
      </c>
    </row>
    <row r="114" spans="1:34" x14ac:dyDescent="0.45">
      <c r="A114" s="8"/>
      <c r="B114" s="2" t="s">
        <v>6</v>
      </c>
      <c r="C114" s="14" t="s">
        <v>175</v>
      </c>
      <c r="D114" s="14" t="s">
        <v>176</v>
      </c>
      <c r="E114" s="14" t="s">
        <v>177</v>
      </c>
      <c r="F114" s="11" t="s">
        <v>178</v>
      </c>
      <c r="G114" s="11" t="s">
        <v>179</v>
      </c>
      <c r="H114" s="11" t="s">
        <v>180</v>
      </c>
      <c r="I114" s="14" t="s">
        <v>181</v>
      </c>
      <c r="J114" s="14" t="s">
        <v>182</v>
      </c>
      <c r="K114" s="14" t="s">
        <v>183</v>
      </c>
      <c r="L114" s="11" t="s">
        <v>184</v>
      </c>
      <c r="M114" s="11" t="s">
        <v>185</v>
      </c>
      <c r="N114" s="11" t="s">
        <v>186</v>
      </c>
      <c r="O114" s="14" t="s">
        <v>187</v>
      </c>
      <c r="P114" s="14" t="s">
        <v>188</v>
      </c>
      <c r="Q114" s="14" t="s">
        <v>189</v>
      </c>
      <c r="R114" s="11" t="s">
        <v>190</v>
      </c>
      <c r="S114" s="11" t="s">
        <v>191</v>
      </c>
      <c r="T114" s="11" t="s">
        <v>192</v>
      </c>
      <c r="U114" s="14" t="s">
        <v>193</v>
      </c>
      <c r="V114" s="14" t="s">
        <v>194</v>
      </c>
      <c r="W114" s="14" t="s">
        <v>195</v>
      </c>
      <c r="X114" s="11" t="s">
        <v>196</v>
      </c>
      <c r="Y114" s="11" t="s">
        <v>197</v>
      </c>
      <c r="Z114" s="11" t="s">
        <v>198</v>
      </c>
      <c r="AA114" s="14" t="s">
        <v>199</v>
      </c>
      <c r="AB114" s="14" t="s">
        <v>200</v>
      </c>
      <c r="AC114" s="14" t="s">
        <v>201</v>
      </c>
      <c r="AD114" s="11" t="s">
        <v>202</v>
      </c>
      <c r="AE114" s="11" t="s">
        <v>203</v>
      </c>
      <c r="AF114" s="11" t="s">
        <v>204</v>
      </c>
    </row>
    <row r="115" spans="1:34" x14ac:dyDescent="0.45">
      <c r="A115" s="47" t="s">
        <v>17</v>
      </c>
      <c r="B115" s="6" t="s">
        <v>16</v>
      </c>
      <c r="C115" s="12">
        <v>37.853999999999999</v>
      </c>
      <c r="D115" s="12">
        <v>33.667000000000002</v>
      </c>
      <c r="E115" s="12">
        <v>47.338999999999999</v>
      </c>
      <c r="F115" s="9">
        <v>49.658000000000001</v>
      </c>
      <c r="G115" s="9">
        <v>53.478999999999999</v>
      </c>
      <c r="H115" s="9">
        <v>55.481000000000002</v>
      </c>
      <c r="I115" s="12">
        <v>35.436999999999998</v>
      </c>
      <c r="J115" s="12">
        <v>33.594000000000001</v>
      </c>
      <c r="K115" s="12">
        <v>33.85</v>
      </c>
      <c r="L115" s="9">
        <v>48.962000000000003</v>
      </c>
      <c r="M115" s="9">
        <v>46.802</v>
      </c>
      <c r="N115" s="9">
        <v>33.459000000000003</v>
      </c>
      <c r="O115" s="12">
        <v>44.860999999999997</v>
      </c>
      <c r="P115" s="12">
        <v>32.030999999999999</v>
      </c>
      <c r="Q115" s="12">
        <v>40.1</v>
      </c>
      <c r="R115" s="9">
        <v>52.441000000000003</v>
      </c>
      <c r="S115" s="9">
        <v>52.393000000000001</v>
      </c>
      <c r="T115" s="9">
        <v>41.454999999999998</v>
      </c>
      <c r="U115" s="12">
        <v>38.817999999999998</v>
      </c>
      <c r="V115" s="12">
        <v>38.512999999999998</v>
      </c>
      <c r="W115" s="12">
        <v>37</v>
      </c>
      <c r="X115" s="9">
        <v>51.465000000000003</v>
      </c>
      <c r="Y115" s="9">
        <v>40.295000000000002</v>
      </c>
      <c r="Z115" s="9">
        <v>48.73</v>
      </c>
      <c r="AA115" s="12">
        <v>33.875</v>
      </c>
      <c r="AB115" s="12">
        <v>34.241</v>
      </c>
      <c r="AC115" s="12">
        <v>48.914000000000001</v>
      </c>
      <c r="AD115" s="9">
        <v>48.865000000000002</v>
      </c>
      <c r="AE115" s="9">
        <v>39.648000000000003</v>
      </c>
      <c r="AF115" s="9">
        <v>41.881999999999998</v>
      </c>
    </row>
    <row r="116" spans="1:34" x14ac:dyDescent="0.45">
      <c r="A116" s="47"/>
      <c r="B116" s="6" t="s">
        <v>18</v>
      </c>
      <c r="C116" s="12">
        <v>25.658999999999999</v>
      </c>
      <c r="D116" s="12">
        <v>24.829000000000001</v>
      </c>
      <c r="E116" s="12">
        <v>26.648</v>
      </c>
      <c r="F116" s="9">
        <v>25.524999999999999</v>
      </c>
      <c r="G116" s="9">
        <v>27.245999999999999</v>
      </c>
      <c r="H116" s="9">
        <v>23.596</v>
      </c>
      <c r="I116" s="12">
        <v>25.195</v>
      </c>
      <c r="J116" s="12">
        <v>23.437999999999999</v>
      </c>
      <c r="K116" s="12">
        <v>22.423999999999999</v>
      </c>
      <c r="L116" s="9">
        <v>24.719000000000001</v>
      </c>
      <c r="M116" s="9">
        <v>23.206</v>
      </c>
      <c r="N116" s="9">
        <v>21.911999999999999</v>
      </c>
      <c r="O116" s="12">
        <v>22.045999999999999</v>
      </c>
      <c r="P116" s="12">
        <v>24.561</v>
      </c>
      <c r="Q116" s="12">
        <v>18.555</v>
      </c>
      <c r="R116" s="9">
        <v>23.645</v>
      </c>
      <c r="S116" s="9">
        <v>27.257999999999999</v>
      </c>
      <c r="T116" s="9">
        <v>23.523</v>
      </c>
      <c r="U116" s="12">
        <v>23.291</v>
      </c>
      <c r="V116" s="12">
        <v>29.651</v>
      </c>
      <c r="W116" s="12">
        <v>23.462</v>
      </c>
      <c r="X116" s="9">
        <v>21.850999999999999</v>
      </c>
      <c r="Y116" s="9">
        <v>24.268000000000001</v>
      </c>
      <c r="Z116" s="9">
        <v>21.533000000000001</v>
      </c>
      <c r="AA116" s="12">
        <v>23.035</v>
      </c>
      <c r="AB116" s="12">
        <v>24.878</v>
      </c>
      <c r="AC116" s="12">
        <v>25.183</v>
      </c>
      <c r="AD116" s="9">
        <v>24.988</v>
      </c>
      <c r="AE116" s="9">
        <v>24.719000000000001</v>
      </c>
      <c r="AF116" s="9">
        <v>24.524000000000001</v>
      </c>
    </row>
    <row r="117" spans="1:34" x14ac:dyDescent="0.45">
      <c r="A117" s="47"/>
      <c r="B117" s="6" t="s">
        <v>20</v>
      </c>
      <c r="C117" s="12">
        <v>18.677</v>
      </c>
      <c r="D117" s="12">
        <v>22.716999999999999</v>
      </c>
      <c r="E117" s="12">
        <v>14.172000000000001</v>
      </c>
      <c r="F117" s="9">
        <v>13.952999999999999</v>
      </c>
      <c r="G117" s="9">
        <v>10.706</v>
      </c>
      <c r="H117" s="9">
        <v>12.134</v>
      </c>
      <c r="I117" s="12">
        <v>22.643999999999998</v>
      </c>
      <c r="J117" s="12">
        <v>23.596</v>
      </c>
      <c r="K117" s="12">
        <v>25.122</v>
      </c>
      <c r="L117" s="9">
        <v>15.648999999999999</v>
      </c>
      <c r="M117" s="9">
        <v>17.151</v>
      </c>
      <c r="N117" s="9">
        <v>26.806999999999999</v>
      </c>
      <c r="O117" s="12">
        <v>19.568000000000001</v>
      </c>
      <c r="P117" s="12">
        <v>21.997</v>
      </c>
      <c r="Q117" s="12">
        <v>24.914999999999999</v>
      </c>
      <c r="R117" s="9">
        <v>14.343</v>
      </c>
      <c r="S117" s="9">
        <v>11.632999999999999</v>
      </c>
      <c r="T117" s="9">
        <v>18.103000000000002</v>
      </c>
      <c r="U117" s="12">
        <v>21.265000000000001</v>
      </c>
      <c r="V117" s="12">
        <v>17.407</v>
      </c>
      <c r="W117" s="12">
        <v>20.776</v>
      </c>
      <c r="X117" s="9">
        <v>14.954000000000001</v>
      </c>
      <c r="Y117" s="9">
        <v>19.116</v>
      </c>
      <c r="Z117" s="9">
        <v>16.492000000000001</v>
      </c>
      <c r="AA117" s="12">
        <v>23.279</v>
      </c>
      <c r="AB117" s="12">
        <v>22.338999999999999</v>
      </c>
      <c r="AC117" s="12">
        <v>15.039</v>
      </c>
      <c r="AD117" s="9">
        <v>14.893000000000001</v>
      </c>
      <c r="AE117" s="9">
        <v>18.762</v>
      </c>
      <c r="AF117" s="9">
        <v>18.225000000000001</v>
      </c>
    </row>
    <row r="118" spans="1:34" x14ac:dyDescent="0.45">
      <c r="A118" s="47"/>
      <c r="B118" s="6" t="s">
        <v>19</v>
      </c>
      <c r="C118" s="12">
        <v>17.809999999999999</v>
      </c>
      <c r="D118" s="12">
        <v>18.786999999999999</v>
      </c>
      <c r="E118" s="12">
        <v>11.840999999999999</v>
      </c>
      <c r="F118" s="9">
        <v>10.864000000000001</v>
      </c>
      <c r="G118" s="9">
        <v>8.5690000000000008</v>
      </c>
      <c r="H118" s="9">
        <v>8.7889999999999997</v>
      </c>
      <c r="I118" s="12">
        <v>16.724</v>
      </c>
      <c r="J118" s="12">
        <v>19.373000000000001</v>
      </c>
      <c r="K118" s="12">
        <v>18.603999999999999</v>
      </c>
      <c r="L118" s="9">
        <v>10.669</v>
      </c>
      <c r="M118" s="9">
        <v>12.842000000000001</v>
      </c>
      <c r="N118" s="9">
        <v>17.821999999999999</v>
      </c>
      <c r="O118" s="12">
        <v>13.525</v>
      </c>
      <c r="P118" s="12">
        <v>21.411000000000001</v>
      </c>
      <c r="Q118" s="12">
        <v>16.431000000000001</v>
      </c>
      <c r="R118" s="9">
        <v>9.57</v>
      </c>
      <c r="S118" s="9">
        <v>8.7159999999999993</v>
      </c>
      <c r="T118" s="9">
        <v>16.919</v>
      </c>
      <c r="U118" s="12">
        <v>16.626000000000001</v>
      </c>
      <c r="V118" s="12">
        <v>14.429</v>
      </c>
      <c r="W118" s="12">
        <v>18.762</v>
      </c>
      <c r="X118" s="9">
        <v>11.731</v>
      </c>
      <c r="Y118" s="9">
        <v>16.321000000000002</v>
      </c>
      <c r="Z118" s="9">
        <v>13.244999999999999</v>
      </c>
      <c r="AA118" s="12">
        <v>19.812000000000001</v>
      </c>
      <c r="AB118" s="12">
        <v>18.542000000000002</v>
      </c>
      <c r="AC118" s="12">
        <v>10.864000000000001</v>
      </c>
      <c r="AD118" s="9">
        <v>11.255000000000001</v>
      </c>
      <c r="AE118" s="9">
        <v>16.87</v>
      </c>
      <c r="AF118" s="9">
        <v>15.369</v>
      </c>
    </row>
    <row r="119" spans="1:34" x14ac:dyDescent="0.45">
      <c r="A119" s="48" t="s">
        <v>22</v>
      </c>
      <c r="B119" s="48"/>
      <c r="C119" s="12">
        <f>SUM(C116:C118)</f>
        <v>62.146000000000001</v>
      </c>
      <c r="D119" s="12">
        <f t="shared" ref="D119:AF119" si="10">SUM(D116:D118)</f>
        <v>66.332999999999998</v>
      </c>
      <c r="E119" s="12">
        <f t="shared" si="10"/>
        <v>52.661000000000001</v>
      </c>
      <c r="F119" s="9">
        <f t="shared" si="10"/>
        <v>50.341999999999999</v>
      </c>
      <c r="G119" s="9">
        <f t="shared" si="10"/>
        <v>46.521000000000001</v>
      </c>
      <c r="H119" s="9">
        <f t="shared" si="10"/>
        <v>44.519000000000005</v>
      </c>
      <c r="I119" s="12">
        <f t="shared" si="10"/>
        <v>64.563000000000002</v>
      </c>
      <c r="J119" s="12">
        <f t="shared" si="10"/>
        <v>66.406999999999996</v>
      </c>
      <c r="K119" s="12">
        <f t="shared" si="10"/>
        <v>66.150000000000006</v>
      </c>
      <c r="L119" s="9">
        <f t="shared" si="10"/>
        <v>51.037000000000006</v>
      </c>
      <c r="M119" s="9">
        <f t="shared" si="10"/>
        <v>53.198999999999998</v>
      </c>
      <c r="N119" s="9">
        <f t="shared" si="10"/>
        <v>66.540999999999997</v>
      </c>
      <c r="O119" s="12">
        <f t="shared" si="10"/>
        <v>55.139000000000003</v>
      </c>
      <c r="P119" s="12">
        <f t="shared" si="10"/>
        <v>67.968999999999994</v>
      </c>
      <c r="Q119" s="12">
        <f t="shared" si="10"/>
        <v>59.900999999999996</v>
      </c>
      <c r="R119" s="9">
        <f t="shared" si="10"/>
        <v>47.558</v>
      </c>
      <c r="S119" s="9">
        <f t="shared" si="10"/>
        <v>47.606999999999999</v>
      </c>
      <c r="T119" s="9">
        <f t="shared" si="10"/>
        <v>58.545000000000002</v>
      </c>
      <c r="U119" s="12">
        <f t="shared" si="10"/>
        <v>61.182000000000002</v>
      </c>
      <c r="V119" s="12">
        <f t="shared" si="10"/>
        <v>61.487000000000002</v>
      </c>
      <c r="W119" s="12">
        <f t="shared" si="10"/>
        <v>63</v>
      </c>
      <c r="X119" s="9">
        <f t="shared" si="10"/>
        <v>48.536000000000001</v>
      </c>
      <c r="Y119" s="9">
        <f t="shared" si="10"/>
        <v>59.704999999999998</v>
      </c>
      <c r="Z119" s="9">
        <f t="shared" si="10"/>
        <v>51.27</v>
      </c>
      <c r="AA119" s="12">
        <f t="shared" si="10"/>
        <v>66.126000000000005</v>
      </c>
      <c r="AB119" s="12">
        <f t="shared" si="10"/>
        <v>65.759</v>
      </c>
      <c r="AC119" s="12">
        <f t="shared" si="10"/>
        <v>51.085999999999999</v>
      </c>
      <c r="AD119" s="9">
        <f t="shared" si="10"/>
        <v>51.136000000000003</v>
      </c>
      <c r="AE119" s="9">
        <f t="shared" si="10"/>
        <v>60.350999999999999</v>
      </c>
      <c r="AF119" s="9">
        <f t="shared" si="10"/>
        <v>58.118000000000002</v>
      </c>
      <c r="AG119" s="12">
        <f>(SUM(C119:E119)+SUM(I119:K119)+SUM(O119:Q119)+SUM(U119:W119)+SUM(AA119:AC119))/15</f>
        <v>61.993933333333331</v>
      </c>
      <c r="AH119" s="9">
        <f>(SUM(F119:H119)+SUM(L119:N119)+SUM(R119:T119)+SUM(X119:Z119)+SUM(AD119:AF119))/15</f>
        <v>52.999000000000002</v>
      </c>
    </row>
    <row r="120" spans="1:34" s="19" customFormat="1" x14ac:dyDescent="0.45">
      <c r="A120" s="24"/>
      <c r="B120" s="24"/>
    </row>
    <row r="121" spans="1:34" s="19" customFormat="1" x14ac:dyDescent="0.45">
      <c r="A121" s="24"/>
      <c r="B121" s="24"/>
    </row>
    <row r="123" spans="1:34" x14ac:dyDescent="0.45">
      <c r="A123" s="47" t="s">
        <v>0</v>
      </c>
      <c r="B123" s="47"/>
      <c r="C123" s="12" t="s">
        <v>213</v>
      </c>
      <c r="D123" s="12" t="s">
        <v>213</v>
      </c>
      <c r="E123" s="12" t="s">
        <v>213</v>
      </c>
      <c r="F123" s="9" t="s">
        <v>213</v>
      </c>
      <c r="G123" s="9" t="s">
        <v>213</v>
      </c>
      <c r="H123" s="9" t="s">
        <v>213</v>
      </c>
      <c r="I123" s="12" t="s">
        <v>213</v>
      </c>
      <c r="J123" s="12" t="s">
        <v>213</v>
      </c>
      <c r="K123" s="12" t="s">
        <v>213</v>
      </c>
      <c r="L123" s="9" t="s">
        <v>213</v>
      </c>
      <c r="M123" s="9" t="s">
        <v>213</v>
      </c>
      <c r="N123" s="9" t="s">
        <v>213</v>
      </c>
      <c r="O123" s="12" t="s">
        <v>213</v>
      </c>
      <c r="P123" s="12" t="s">
        <v>213</v>
      </c>
      <c r="Q123" s="12" t="s">
        <v>213</v>
      </c>
      <c r="R123" s="9" t="s">
        <v>213</v>
      </c>
      <c r="S123" s="9" t="s">
        <v>213</v>
      </c>
      <c r="T123" s="9" t="s">
        <v>213</v>
      </c>
      <c r="U123" s="12" t="s">
        <v>213</v>
      </c>
      <c r="V123" s="12" t="s">
        <v>213</v>
      </c>
      <c r="W123" s="12" t="s">
        <v>213</v>
      </c>
      <c r="X123" s="9" t="s">
        <v>213</v>
      </c>
      <c r="Y123" s="9" t="s">
        <v>213</v>
      </c>
      <c r="Z123" s="9" t="s">
        <v>213</v>
      </c>
      <c r="AA123" s="12" t="s">
        <v>213</v>
      </c>
      <c r="AB123" s="12" t="s">
        <v>213</v>
      </c>
      <c r="AC123" s="12" t="s">
        <v>213</v>
      </c>
      <c r="AD123" s="9" t="s">
        <v>213</v>
      </c>
      <c r="AE123" s="9" t="s">
        <v>213</v>
      </c>
      <c r="AF123" s="9" t="s">
        <v>213</v>
      </c>
    </row>
    <row r="124" spans="1:34" x14ac:dyDescent="0.45">
      <c r="A124" s="47" t="s">
        <v>10</v>
      </c>
      <c r="B124" s="47"/>
      <c r="C124" s="13" t="s">
        <v>16</v>
      </c>
      <c r="D124" s="13" t="s">
        <v>16</v>
      </c>
      <c r="E124" s="13" t="s">
        <v>16</v>
      </c>
      <c r="F124" s="10" t="s">
        <v>16</v>
      </c>
      <c r="G124" s="10" t="s">
        <v>16</v>
      </c>
      <c r="H124" s="10" t="s">
        <v>16</v>
      </c>
      <c r="I124" s="13" t="s">
        <v>16</v>
      </c>
      <c r="J124" s="13" t="s">
        <v>16</v>
      </c>
      <c r="K124" s="13" t="s">
        <v>16</v>
      </c>
      <c r="L124" s="10" t="s">
        <v>16</v>
      </c>
      <c r="M124" s="10" t="s">
        <v>16</v>
      </c>
      <c r="N124" s="10" t="s">
        <v>16</v>
      </c>
      <c r="O124" s="13" t="s">
        <v>16</v>
      </c>
      <c r="P124" s="13" t="s">
        <v>16</v>
      </c>
      <c r="Q124" s="13" t="s">
        <v>16</v>
      </c>
      <c r="R124" s="10" t="s">
        <v>16</v>
      </c>
      <c r="S124" s="10" t="s">
        <v>16</v>
      </c>
      <c r="T124" s="10" t="s">
        <v>16</v>
      </c>
      <c r="U124" s="13" t="s">
        <v>16</v>
      </c>
      <c r="V124" s="13" t="s">
        <v>16</v>
      </c>
      <c r="W124" s="13" t="s">
        <v>16</v>
      </c>
      <c r="X124" s="10" t="s">
        <v>16</v>
      </c>
      <c r="Y124" s="10" t="s">
        <v>16</v>
      </c>
      <c r="Z124" s="10" t="s">
        <v>16</v>
      </c>
      <c r="AA124" s="13" t="s">
        <v>16</v>
      </c>
      <c r="AB124" s="13" t="s">
        <v>16</v>
      </c>
      <c r="AC124" s="13" t="s">
        <v>16</v>
      </c>
      <c r="AD124" s="10" t="s">
        <v>16</v>
      </c>
      <c r="AE124" s="10" t="s">
        <v>16</v>
      </c>
      <c r="AF124" s="10" t="s">
        <v>16</v>
      </c>
    </row>
    <row r="125" spans="1:34" x14ac:dyDescent="0.45">
      <c r="A125" s="47" t="s">
        <v>1</v>
      </c>
      <c r="B125" s="47"/>
      <c r="C125" s="12" t="s">
        <v>8</v>
      </c>
      <c r="D125" s="12" t="s">
        <v>8</v>
      </c>
      <c r="E125" s="12" t="s">
        <v>8</v>
      </c>
      <c r="F125" s="9" t="s">
        <v>8</v>
      </c>
      <c r="G125" s="9" t="s">
        <v>8</v>
      </c>
      <c r="H125" s="9" t="s">
        <v>8</v>
      </c>
      <c r="I125" s="12" t="s">
        <v>27</v>
      </c>
      <c r="J125" s="12" t="s">
        <v>27</v>
      </c>
      <c r="K125" s="12" t="s">
        <v>27</v>
      </c>
      <c r="L125" s="9" t="s">
        <v>27</v>
      </c>
      <c r="M125" s="9" t="s">
        <v>27</v>
      </c>
      <c r="N125" s="9" t="s">
        <v>27</v>
      </c>
      <c r="O125" s="12" t="s">
        <v>28</v>
      </c>
      <c r="P125" s="12" t="s">
        <v>28</v>
      </c>
      <c r="Q125" s="12" t="s">
        <v>28</v>
      </c>
      <c r="R125" s="9" t="s">
        <v>28</v>
      </c>
      <c r="S125" s="9" t="s">
        <v>28</v>
      </c>
      <c r="T125" s="9" t="s">
        <v>28</v>
      </c>
      <c r="U125" s="12" t="s">
        <v>29</v>
      </c>
      <c r="V125" s="12" t="s">
        <v>29</v>
      </c>
      <c r="W125" s="12" t="s">
        <v>29</v>
      </c>
      <c r="X125" s="9" t="s">
        <v>29</v>
      </c>
      <c r="Y125" s="9" t="s">
        <v>29</v>
      </c>
      <c r="Z125" s="9" t="s">
        <v>29</v>
      </c>
      <c r="AA125" s="12" t="s">
        <v>30</v>
      </c>
      <c r="AB125" s="12" t="s">
        <v>30</v>
      </c>
      <c r="AC125" s="12" t="s">
        <v>30</v>
      </c>
      <c r="AD125" s="9" t="s">
        <v>30</v>
      </c>
      <c r="AE125" s="9" t="s">
        <v>30</v>
      </c>
      <c r="AF125" s="9" t="s">
        <v>30</v>
      </c>
    </row>
    <row r="126" spans="1:34" x14ac:dyDescent="0.45">
      <c r="A126" s="47" t="s">
        <v>13</v>
      </c>
      <c r="B126" s="16" t="s">
        <v>12</v>
      </c>
      <c r="C126" s="12" t="s">
        <v>21</v>
      </c>
      <c r="D126" s="12" t="s">
        <v>21</v>
      </c>
      <c r="E126" s="12" t="s">
        <v>21</v>
      </c>
      <c r="F126" s="9" t="s">
        <v>26</v>
      </c>
      <c r="G126" s="9" t="s">
        <v>26</v>
      </c>
      <c r="H126" s="9" t="s">
        <v>26</v>
      </c>
      <c r="I126" s="12" t="s">
        <v>21</v>
      </c>
      <c r="J126" s="12" t="s">
        <v>21</v>
      </c>
      <c r="K126" s="12" t="s">
        <v>21</v>
      </c>
      <c r="L126" s="9" t="s">
        <v>26</v>
      </c>
      <c r="M126" s="9" t="s">
        <v>26</v>
      </c>
      <c r="N126" s="9" t="s">
        <v>26</v>
      </c>
      <c r="O126" s="12" t="s">
        <v>21</v>
      </c>
      <c r="P126" s="12" t="s">
        <v>21</v>
      </c>
      <c r="Q126" s="12" t="s">
        <v>21</v>
      </c>
      <c r="R126" s="9" t="s">
        <v>26</v>
      </c>
      <c r="S126" s="9" t="s">
        <v>26</v>
      </c>
      <c r="T126" s="9" t="s">
        <v>26</v>
      </c>
      <c r="U126" s="12" t="s">
        <v>21</v>
      </c>
      <c r="V126" s="12" t="s">
        <v>21</v>
      </c>
      <c r="W126" s="12" t="s">
        <v>21</v>
      </c>
      <c r="X126" s="9" t="s">
        <v>26</v>
      </c>
      <c r="Y126" s="9" t="s">
        <v>26</v>
      </c>
      <c r="Z126" s="9" t="s">
        <v>26</v>
      </c>
      <c r="AA126" s="12" t="s">
        <v>21</v>
      </c>
      <c r="AB126" s="12" t="s">
        <v>21</v>
      </c>
      <c r="AC126" s="12" t="s">
        <v>21</v>
      </c>
      <c r="AD126" s="9" t="s">
        <v>26</v>
      </c>
      <c r="AE126" s="9" t="s">
        <v>26</v>
      </c>
      <c r="AF126" s="9" t="s">
        <v>26</v>
      </c>
    </row>
    <row r="127" spans="1:34" x14ac:dyDescent="0.45">
      <c r="A127" s="47"/>
      <c r="B127" s="16" t="s">
        <v>14</v>
      </c>
      <c r="C127" s="12">
        <v>61</v>
      </c>
      <c r="D127" s="12">
        <v>70</v>
      </c>
      <c r="E127" s="12">
        <v>77</v>
      </c>
      <c r="F127" s="9">
        <v>53</v>
      </c>
      <c r="G127" s="9">
        <v>79</v>
      </c>
      <c r="H127" s="9">
        <v>66</v>
      </c>
      <c r="I127" s="12">
        <v>78</v>
      </c>
      <c r="J127" s="12">
        <v>57</v>
      </c>
      <c r="K127" s="12">
        <v>76</v>
      </c>
      <c r="L127" s="9">
        <v>73</v>
      </c>
      <c r="M127" s="9">
        <v>56</v>
      </c>
      <c r="N127" s="9">
        <v>65</v>
      </c>
      <c r="O127" s="12">
        <v>70</v>
      </c>
      <c r="P127" s="12">
        <v>57</v>
      </c>
      <c r="Q127" s="12">
        <v>70</v>
      </c>
      <c r="R127" s="9">
        <v>75</v>
      </c>
      <c r="S127" s="9">
        <v>73</v>
      </c>
      <c r="T127" s="9">
        <v>66</v>
      </c>
      <c r="U127" s="12">
        <v>79</v>
      </c>
      <c r="V127" s="12">
        <v>55</v>
      </c>
      <c r="W127" s="12">
        <v>84</v>
      </c>
      <c r="X127" s="9">
        <v>59</v>
      </c>
      <c r="Y127" s="9">
        <v>54</v>
      </c>
      <c r="Z127" s="9">
        <v>73</v>
      </c>
      <c r="AA127" s="12">
        <v>76</v>
      </c>
      <c r="AB127" s="12">
        <v>57</v>
      </c>
      <c r="AC127" s="12">
        <v>55</v>
      </c>
      <c r="AD127" s="9">
        <v>72</v>
      </c>
      <c r="AE127" s="9">
        <v>56</v>
      </c>
      <c r="AF127" s="9">
        <v>74</v>
      </c>
    </row>
    <row r="128" spans="1:34" x14ac:dyDescent="0.45">
      <c r="A128" s="47"/>
      <c r="B128" s="3" t="s">
        <v>15</v>
      </c>
      <c r="C128" s="12">
        <v>32</v>
      </c>
      <c r="D128" s="12">
        <v>32</v>
      </c>
      <c r="E128" s="12">
        <v>32</v>
      </c>
      <c r="F128" s="9">
        <v>44</v>
      </c>
      <c r="G128" s="9">
        <v>44</v>
      </c>
      <c r="H128" s="9">
        <v>42</v>
      </c>
      <c r="I128" s="12">
        <v>37</v>
      </c>
      <c r="J128" s="12">
        <v>37</v>
      </c>
      <c r="K128" s="12">
        <v>37</v>
      </c>
      <c r="L128" s="9">
        <v>47</v>
      </c>
      <c r="M128" s="9">
        <v>48</v>
      </c>
      <c r="N128" s="9">
        <v>47</v>
      </c>
      <c r="O128" s="12">
        <v>37</v>
      </c>
      <c r="P128" s="12">
        <v>37</v>
      </c>
      <c r="Q128" s="12">
        <v>37</v>
      </c>
      <c r="R128" s="9">
        <v>48</v>
      </c>
      <c r="S128" s="9">
        <v>47</v>
      </c>
      <c r="T128" s="9">
        <v>47</v>
      </c>
      <c r="U128" s="12">
        <v>37</v>
      </c>
      <c r="V128" s="12">
        <v>37</v>
      </c>
      <c r="W128" s="12">
        <v>37</v>
      </c>
      <c r="X128" s="9">
        <v>47</v>
      </c>
      <c r="Y128" s="9">
        <v>48</v>
      </c>
      <c r="Z128" s="9">
        <v>48</v>
      </c>
      <c r="AA128" s="12">
        <v>37</v>
      </c>
      <c r="AB128" s="12">
        <v>37</v>
      </c>
      <c r="AC128" s="12">
        <v>37</v>
      </c>
      <c r="AD128" s="9">
        <v>48</v>
      </c>
      <c r="AE128" s="9">
        <v>48</v>
      </c>
      <c r="AF128" s="9">
        <v>47</v>
      </c>
    </row>
    <row r="129" spans="1:36" x14ac:dyDescent="0.45">
      <c r="A129" s="47" t="s">
        <v>11</v>
      </c>
      <c r="B129" s="47"/>
      <c r="C129" s="12">
        <v>8192</v>
      </c>
      <c r="D129" s="12">
        <v>8192</v>
      </c>
      <c r="E129" s="12">
        <v>8192</v>
      </c>
      <c r="F129" s="9">
        <v>8192</v>
      </c>
      <c r="G129" s="9">
        <v>8192</v>
      </c>
      <c r="H129" s="9">
        <v>8192</v>
      </c>
      <c r="I129" s="12">
        <v>8192</v>
      </c>
      <c r="J129" s="12">
        <v>8192</v>
      </c>
      <c r="K129" s="12">
        <v>8192</v>
      </c>
      <c r="L129" s="9">
        <v>8192</v>
      </c>
      <c r="M129" s="9">
        <v>8192</v>
      </c>
      <c r="N129" s="9">
        <v>8192</v>
      </c>
      <c r="O129" s="12">
        <v>8192</v>
      </c>
      <c r="P129" s="12">
        <v>8192</v>
      </c>
      <c r="Q129" s="12">
        <v>8192</v>
      </c>
      <c r="R129" s="9">
        <v>8192</v>
      </c>
      <c r="S129" s="9">
        <v>8192</v>
      </c>
      <c r="T129" s="9">
        <v>8192</v>
      </c>
      <c r="U129" s="12">
        <v>8192</v>
      </c>
      <c r="V129" s="12">
        <v>8192</v>
      </c>
      <c r="W129" s="12">
        <v>8192</v>
      </c>
      <c r="X129" s="9">
        <v>8192</v>
      </c>
      <c r="Y129" s="9">
        <v>8192</v>
      </c>
      <c r="Z129" s="9">
        <v>8192</v>
      </c>
      <c r="AA129" s="12">
        <v>8192</v>
      </c>
      <c r="AB129" s="12">
        <v>8192</v>
      </c>
      <c r="AC129" s="12">
        <v>8192</v>
      </c>
      <c r="AD129" s="9">
        <v>8192</v>
      </c>
      <c r="AE129" s="9">
        <v>8192</v>
      </c>
      <c r="AF129" s="9">
        <v>8192</v>
      </c>
    </row>
    <row r="130" spans="1:36" x14ac:dyDescent="0.45">
      <c r="A130" s="47" t="s">
        <v>42</v>
      </c>
      <c r="B130" s="2" t="s">
        <v>2</v>
      </c>
      <c r="C130" s="12">
        <v>0.97199999999999998</v>
      </c>
      <c r="D130" s="12">
        <v>0.91900000000000004</v>
      </c>
      <c r="E130" s="12">
        <v>0.91600000000000004</v>
      </c>
      <c r="F130" s="9">
        <v>0.95499999999999996</v>
      </c>
      <c r="G130" s="9">
        <v>0.752</v>
      </c>
      <c r="H130" s="9">
        <v>0.79100000000000004</v>
      </c>
      <c r="I130" s="12">
        <v>0.84499999999999997</v>
      </c>
      <c r="J130" s="12">
        <v>0.89700000000000002</v>
      </c>
      <c r="K130" s="12">
        <v>0.83499999999999996</v>
      </c>
      <c r="L130" s="9">
        <v>0.85099999999999998</v>
      </c>
      <c r="M130" s="9">
        <v>1</v>
      </c>
      <c r="N130" s="9">
        <v>0.83499999999999996</v>
      </c>
      <c r="O130" s="12">
        <v>0.95099999999999996</v>
      </c>
      <c r="P130" s="12">
        <v>0.82499999999999996</v>
      </c>
      <c r="Q130" s="12">
        <v>0.95299999999999996</v>
      </c>
      <c r="R130" s="9">
        <v>0.85799999999999998</v>
      </c>
      <c r="S130" s="9">
        <v>0.91500000000000004</v>
      </c>
      <c r="T130" s="9">
        <v>0.88</v>
      </c>
      <c r="U130" s="12">
        <v>0.9</v>
      </c>
      <c r="V130" s="12">
        <v>0.99399999999999999</v>
      </c>
      <c r="W130" s="12">
        <v>0.67200000000000004</v>
      </c>
      <c r="X130" s="9">
        <v>0.90900000000000003</v>
      </c>
      <c r="Y130" s="9">
        <v>0.95399999999999996</v>
      </c>
      <c r="Z130" s="9">
        <v>0.91900000000000004</v>
      </c>
      <c r="AA130" s="12">
        <v>0.71199999999999997</v>
      </c>
      <c r="AB130" s="12">
        <v>0.97199999999999998</v>
      </c>
      <c r="AC130" s="12">
        <v>0.78200000000000003</v>
      </c>
      <c r="AD130" s="9">
        <v>1</v>
      </c>
      <c r="AE130" s="9">
        <v>0.99099999999999999</v>
      </c>
      <c r="AF130" s="9">
        <v>0.97799999999999998</v>
      </c>
    </row>
    <row r="131" spans="1:36" x14ac:dyDescent="0.45">
      <c r="A131" s="47"/>
      <c r="B131" s="2" t="s">
        <v>3</v>
      </c>
      <c r="C131" s="12">
        <f>6*60+59.3</f>
        <v>419.3</v>
      </c>
      <c r="D131" s="12">
        <f>8*60+18.6</f>
        <v>498.6</v>
      </c>
      <c r="E131" s="12">
        <f>8*60+29.7</f>
        <v>509.7</v>
      </c>
      <c r="F131" s="9">
        <f>8*60+30.7</f>
        <v>510.7</v>
      </c>
      <c r="G131" s="9">
        <f>8*60+33.5</f>
        <v>513.5</v>
      </c>
      <c r="H131" s="9">
        <f>8*60+37.4</f>
        <v>517.4</v>
      </c>
      <c r="I131" s="12">
        <f>8*60+34.6</f>
        <v>514.6</v>
      </c>
      <c r="J131" s="12">
        <f>9*60+6.2</f>
        <v>546.20000000000005</v>
      </c>
      <c r="K131" s="12">
        <f>8*60+40</f>
        <v>520</v>
      </c>
      <c r="L131" s="9">
        <f>8*60+24.2</f>
        <v>504.2</v>
      </c>
      <c r="M131" s="9">
        <f>8*60+5.9</f>
        <v>485.9</v>
      </c>
      <c r="N131" s="9">
        <f>8*60+34.9</f>
        <v>514.9</v>
      </c>
      <c r="O131" s="12">
        <f>8*60+12.1</f>
        <v>492.1</v>
      </c>
      <c r="P131" s="12">
        <f>8*60+38.9</f>
        <v>518.9</v>
      </c>
      <c r="Q131" s="12">
        <f>8*60+51.5</f>
        <v>531.5</v>
      </c>
      <c r="R131" s="9">
        <f>8*60+33.8</f>
        <v>513.79999999999995</v>
      </c>
      <c r="S131" s="9">
        <f>9*60+1.2</f>
        <v>541.20000000000005</v>
      </c>
      <c r="T131" s="9">
        <f>10*60+5.3</f>
        <v>605.29999999999995</v>
      </c>
      <c r="U131" s="12">
        <f>11*60+52.3</f>
        <v>712.3</v>
      </c>
      <c r="V131" s="12">
        <f>9*60+33.1</f>
        <v>573.1</v>
      </c>
      <c r="W131" s="12">
        <f>12*60+42.9</f>
        <v>762.9</v>
      </c>
      <c r="X131" s="9">
        <f>10*60+18.9</f>
        <v>618.9</v>
      </c>
      <c r="Y131" s="9">
        <f>12*60+0.6</f>
        <v>720.6</v>
      </c>
      <c r="Z131" s="9">
        <f>9*60+30.3</f>
        <v>570.29999999999995</v>
      </c>
      <c r="AA131" s="12">
        <f>12*60+11.7</f>
        <v>731.7</v>
      </c>
      <c r="AB131" s="12">
        <f>10*60+18.5</f>
        <v>618.5</v>
      </c>
      <c r="AC131" s="12">
        <f>12*60+32.4</f>
        <v>752.4</v>
      </c>
      <c r="AD131" s="9">
        <f>10*60+4</f>
        <v>604</v>
      </c>
      <c r="AE131" s="9">
        <f>12*60+2.1</f>
        <v>722.1</v>
      </c>
      <c r="AF131" s="9">
        <f>9*60+50.8</f>
        <v>590.79999999999995</v>
      </c>
    </row>
    <row r="132" spans="1:36" x14ac:dyDescent="0.45">
      <c r="A132" s="47"/>
      <c r="B132" s="2" t="s">
        <v>4</v>
      </c>
      <c r="C132" s="12">
        <v>27</v>
      </c>
      <c r="D132" s="12">
        <v>27</v>
      </c>
      <c r="E132" s="12">
        <v>27.5</v>
      </c>
      <c r="F132" s="9">
        <v>27.7</v>
      </c>
      <c r="G132" s="9">
        <v>28.9</v>
      </c>
      <c r="H132" s="9">
        <v>29.1</v>
      </c>
      <c r="I132" s="12">
        <v>28.8</v>
      </c>
      <c r="J132" s="12">
        <v>29.1</v>
      </c>
      <c r="K132" s="12">
        <v>26.8</v>
      </c>
      <c r="L132" s="9">
        <v>26.8</v>
      </c>
      <c r="M132" s="9">
        <v>27.5</v>
      </c>
      <c r="N132" s="9">
        <v>27.9</v>
      </c>
      <c r="O132" s="12">
        <v>29.9</v>
      </c>
      <c r="P132" s="12">
        <v>26.7</v>
      </c>
      <c r="Q132" s="12">
        <v>25.8</v>
      </c>
      <c r="R132" s="9">
        <v>26</v>
      </c>
      <c r="S132" s="9">
        <v>26.1</v>
      </c>
      <c r="T132" s="9">
        <v>27.6</v>
      </c>
      <c r="U132" s="12">
        <v>27.9</v>
      </c>
      <c r="V132" s="12">
        <v>29.2</v>
      </c>
      <c r="W132" s="12">
        <v>26.2</v>
      </c>
      <c r="X132" s="9">
        <v>26.3</v>
      </c>
      <c r="Y132" s="9">
        <v>26.8</v>
      </c>
      <c r="Z132" s="9">
        <v>27.2</v>
      </c>
      <c r="AA132" s="12">
        <v>27.4</v>
      </c>
      <c r="AB132" s="12">
        <v>26</v>
      </c>
      <c r="AC132" s="12">
        <v>29.5</v>
      </c>
      <c r="AD132" s="9">
        <v>28.8</v>
      </c>
      <c r="AE132" s="9">
        <v>28.5</v>
      </c>
      <c r="AF132" s="9">
        <v>26</v>
      </c>
    </row>
    <row r="133" spans="1:36" x14ac:dyDescent="0.45">
      <c r="A133" s="47"/>
      <c r="B133" s="2" t="s">
        <v>5</v>
      </c>
      <c r="C133" s="12">
        <f>7*60+33.2</f>
        <v>453.2</v>
      </c>
      <c r="D133" s="12">
        <f>8*60+52</f>
        <v>532</v>
      </c>
      <c r="E133" s="12">
        <f>9*60+3.3</f>
        <v>543.29999999999995</v>
      </c>
      <c r="F133" s="9">
        <f>9*60+6</f>
        <v>546</v>
      </c>
      <c r="G133" s="9">
        <f>9*60+9.2</f>
        <v>549.20000000000005</v>
      </c>
      <c r="H133" s="9">
        <f>9*60+13.2</f>
        <v>553.20000000000005</v>
      </c>
      <c r="I133" s="12">
        <f>9*60+10.6</f>
        <v>550.6</v>
      </c>
      <c r="J133" s="12">
        <f>9*60+41.6</f>
        <v>581.6</v>
      </c>
      <c r="K133" s="12">
        <f>9*60+13</f>
        <v>553</v>
      </c>
      <c r="L133" s="9">
        <f>8*60+57.4</f>
        <v>537.4</v>
      </c>
      <c r="M133" s="9">
        <f>8*60+40.1</f>
        <v>520.1</v>
      </c>
      <c r="N133" s="9">
        <f>9*60+9.7</f>
        <v>549.70000000000005</v>
      </c>
      <c r="O133" s="12">
        <f>8*60+48.7</f>
        <v>528.70000000000005</v>
      </c>
      <c r="P133" s="12">
        <f>9*60+11.7</f>
        <v>551.70000000000005</v>
      </c>
      <c r="Q133" s="12">
        <f>9*60+22.9</f>
        <v>562.9</v>
      </c>
      <c r="R133" s="9">
        <f>9*60+5.6</f>
        <v>545.6</v>
      </c>
      <c r="S133" s="9">
        <f>9*60+33.3</f>
        <v>573.29999999999995</v>
      </c>
      <c r="T133" s="9">
        <f>10*60+39.3</f>
        <v>639.29999999999995</v>
      </c>
      <c r="U133" s="12">
        <f>12*60+28.1</f>
        <v>748.1</v>
      </c>
      <c r="V133" s="12">
        <f>10*60+9.1</f>
        <v>609.1</v>
      </c>
      <c r="W133" s="12">
        <f>13*60+15.2</f>
        <v>795.2</v>
      </c>
      <c r="X133" s="9">
        <f>10*60+51.1</f>
        <v>651.1</v>
      </c>
      <c r="Y133" s="9">
        <f>12*60+33.5</f>
        <v>753.5</v>
      </c>
      <c r="Z133" s="9">
        <f>10*60+3.7</f>
        <v>603.70000000000005</v>
      </c>
      <c r="AA133" s="12">
        <f>12*60+45.4</f>
        <v>765.4</v>
      </c>
      <c r="AB133" s="12">
        <f>10*60+50.7</f>
        <v>650.70000000000005</v>
      </c>
      <c r="AC133" s="12">
        <f>13*60+9.7</f>
        <v>789.7</v>
      </c>
      <c r="AD133" s="9">
        <f>10*60+39.1</f>
        <v>639.1</v>
      </c>
      <c r="AE133" s="9">
        <f>12*60+37.4</f>
        <v>757.4</v>
      </c>
      <c r="AF133" s="9">
        <f>10*60+22.9</f>
        <v>622.9</v>
      </c>
    </row>
    <row r="134" spans="1:36" x14ac:dyDescent="0.45">
      <c r="A134" s="8"/>
      <c r="B134" s="2" t="s">
        <v>6</v>
      </c>
      <c r="C134" s="14" t="s">
        <v>214</v>
      </c>
      <c r="D134" s="14" t="s">
        <v>215</v>
      </c>
      <c r="E134" s="14" t="s">
        <v>216</v>
      </c>
      <c r="F134" s="11" t="s">
        <v>217</v>
      </c>
      <c r="G134" s="11" t="s">
        <v>218</v>
      </c>
      <c r="H134" s="11" t="s">
        <v>219</v>
      </c>
      <c r="I134" s="14" t="s">
        <v>220</v>
      </c>
      <c r="J134" s="14" t="s">
        <v>221</v>
      </c>
      <c r="K134" s="14" t="s">
        <v>222</v>
      </c>
      <c r="L134" s="11" t="s">
        <v>223</v>
      </c>
      <c r="M134" s="11" t="s">
        <v>224</v>
      </c>
      <c r="N134" s="11" t="s">
        <v>225</v>
      </c>
      <c r="O134" s="14" t="s">
        <v>226</v>
      </c>
      <c r="P134" s="14" t="s">
        <v>227</v>
      </c>
      <c r="Q134" s="14" t="s">
        <v>228</v>
      </c>
      <c r="R134" s="11" t="s">
        <v>229</v>
      </c>
      <c r="S134" s="11" t="s">
        <v>230</v>
      </c>
      <c r="T134" s="11" t="s">
        <v>231</v>
      </c>
      <c r="U134" s="14" t="s">
        <v>232</v>
      </c>
      <c r="V134" s="14" t="s">
        <v>235</v>
      </c>
      <c r="W134" s="14" t="s">
        <v>233</v>
      </c>
      <c r="X134" s="11" t="s">
        <v>234</v>
      </c>
      <c r="Y134" s="11" t="s">
        <v>236</v>
      </c>
      <c r="Z134" s="11" t="s">
        <v>237</v>
      </c>
      <c r="AA134" s="14" t="s">
        <v>238</v>
      </c>
      <c r="AB134" s="14" t="s">
        <v>239</v>
      </c>
      <c r="AC134" s="14" t="s">
        <v>240</v>
      </c>
      <c r="AD134" s="11" t="s">
        <v>241</v>
      </c>
      <c r="AE134" s="11" t="s">
        <v>242</v>
      </c>
      <c r="AF134" s="11" t="s">
        <v>243</v>
      </c>
    </row>
    <row r="135" spans="1:36" x14ac:dyDescent="0.45">
      <c r="A135" s="47" t="s">
        <v>17</v>
      </c>
      <c r="B135" s="6" t="s">
        <v>16</v>
      </c>
      <c r="C135" s="12">
        <v>36.389000000000003</v>
      </c>
      <c r="D135" s="12">
        <v>38.427999999999997</v>
      </c>
      <c r="E135" s="12">
        <v>30.675999999999998</v>
      </c>
      <c r="F135" s="9">
        <v>50.195</v>
      </c>
      <c r="G135" s="9">
        <v>35.192999999999998</v>
      </c>
      <c r="H135" s="9">
        <v>38.378999999999998</v>
      </c>
      <c r="I135" s="12">
        <v>34.155000000000001</v>
      </c>
      <c r="J135" s="12">
        <v>28.137</v>
      </c>
      <c r="K135" s="12">
        <v>32.213999999999999</v>
      </c>
      <c r="L135" s="9">
        <v>33.435000000000002</v>
      </c>
      <c r="M135" s="9">
        <v>37.548999999999999</v>
      </c>
      <c r="N135" s="9">
        <v>28.478999999999999</v>
      </c>
      <c r="O135" s="12">
        <v>39.978000000000002</v>
      </c>
      <c r="P135" s="12">
        <v>38.451999999999998</v>
      </c>
      <c r="Q135" s="12">
        <v>39.049999999999997</v>
      </c>
      <c r="R135" s="9">
        <v>41.417999999999999</v>
      </c>
      <c r="S135" s="9">
        <v>40.503</v>
      </c>
      <c r="T135" s="9">
        <v>42.003999999999998</v>
      </c>
      <c r="U135" s="12">
        <v>35.265999999999998</v>
      </c>
      <c r="V135" s="12">
        <v>43.506</v>
      </c>
      <c r="W135" s="12">
        <v>35.412999999999997</v>
      </c>
      <c r="X135" s="9">
        <v>47.326999999999998</v>
      </c>
      <c r="Y135" s="9">
        <v>49.023000000000003</v>
      </c>
      <c r="Z135" s="9">
        <v>36.023000000000003</v>
      </c>
      <c r="AA135" s="12">
        <v>34.533999999999999</v>
      </c>
      <c r="AB135" s="12">
        <v>41.222999999999999</v>
      </c>
      <c r="AC135" s="12">
        <v>41.942999999999998</v>
      </c>
      <c r="AD135" s="9">
        <v>38.512999999999998</v>
      </c>
      <c r="AE135" s="9">
        <v>53.295999999999999</v>
      </c>
      <c r="AF135" s="9">
        <v>31.567</v>
      </c>
    </row>
    <row r="136" spans="1:36" x14ac:dyDescent="0.45">
      <c r="A136" s="47"/>
      <c r="B136" s="6" t="s">
        <v>18</v>
      </c>
      <c r="C136" s="12">
        <v>24.353000000000002</v>
      </c>
      <c r="D136" s="12">
        <v>23.535</v>
      </c>
      <c r="E136" s="12">
        <v>28.32</v>
      </c>
      <c r="F136" s="9">
        <v>23.34</v>
      </c>
      <c r="G136" s="9">
        <v>31.494</v>
      </c>
      <c r="H136" s="9">
        <v>28.247</v>
      </c>
      <c r="I136" s="12">
        <v>25.11</v>
      </c>
      <c r="J136" s="12">
        <v>23.498999999999999</v>
      </c>
      <c r="K136" s="12">
        <v>27.808</v>
      </c>
      <c r="L136" s="9">
        <v>24.39</v>
      </c>
      <c r="M136" s="9">
        <v>24.768000000000001</v>
      </c>
      <c r="N136" s="9">
        <v>22.704999999999998</v>
      </c>
      <c r="O136" s="12">
        <v>23.571999999999999</v>
      </c>
      <c r="P136" s="12">
        <v>24.475000000000001</v>
      </c>
      <c r="Q136" s="12">
        <v>27.001999999999999</v>
      </c>
      <c r="R136" s="9">
        <v>26.404</v>
      </c>
      <c r="S136" s="9">
        <v>24.841000000000001</v>
      </c>
      <c r="T136" s="9">
        <v>21.106000000000002</v>
      </c>
      <c r="U136" s="12">
        <v>21.923999999999999</v>
      </c>
      <c r="V136" s="12">
        <v>18.445</v>
      </c>
      <c r="W136" s="12">
        <v>24.17</v>
      </c>
      <c r="X136" s="9">
        <v>21.545000000000002</v>
      </c>
      <c r="Y136" s="9">
        <v>24.268000000000001</v>
      </c>
      <c r="Z136" s="9">
        <v>22.07</v>
      </c>
      <c r="AA136" s="12">
        <v>29.98</v>
      </c>
      <c r="AB136" s="12">
        <v>25.853999999999999</v>
      </c>
      <c r="AC136" s="12">
        <v>24.303999999999998</v>
      </c>
      <c r="AD136" s="9">
        <v>26.257000000000001</v>
      </c>
      <c r="AE136" s="9">
        <v>17.712</v>
      </c>
      <c r="AF136" s="9">
        <v>31.506</v>
      </c>
    </row>
    <row r="137" spans="1:36" x14ac:dyDescent="0.45">
      <c r="A137" s="47"/>
      <c r="B137" s="6" t="s">
        <v>20</v>
      </c>
      <c r="C137" s="12">
        <v>21.826000000000001</v>
      </c>
      <c r="D137" s="12">
        <v>21.96</v>
      </c>
      <c r="E137" s="12">
        <v>20.056000000000001</v>
      </c>
      <c r="F137" s="9">
        <v>16.248000000000001</v>
      </c>
      <c r="G137" s="9">
        <v>16.846</v>
      </c>
      <c r="H137" s="9">
        <v>18.701000000000001</v>
      </c>
      <c r="I137" s="12">
        <v>23.071000000000002</v>
      </c>
      <c r="J137" s="12">
        <v>25.72</v>
      </c>
      <c r="K137" s="12">
        <v>21.021000000000001</v>
      </c>
      <c r="L137" s="9">
        <v>22.876000000000001</v>
      </c>
      <c r="M137" s="9">
        <v>21.190999999999999</v>
      </c>
      <c r="N137" s="9">
        <v>23.962</v>
      </c>
      <c r="O137" s="12">
        <v>20.824999999999999</v>
      </c>
      <c r="P137" s="12">
        <v>21.484000000000002</v>
      </c>
      <c r="Q137" s="12">
        <v>18.713000000000001</v>
      </c>
      <c r="R137" s="9">
        <v>18.091000000000001</v>
      </c>
      <c r="S137" s="9">
        <v>20.129000000000001</v>
      </c>
      <c r="T137" s="9">
        <v>21.96</v>
      </c>
      <c r="U137" s="12">
        <v>24.5</v>
      </c>
      <c r="V137" s="12">
        <v>24.67</v>
      </c>
      <c r="W137" s="12">
        <v>22.460999999999999</v>
      </c>
      <c r="X137" s="9">
        <v>19.140999999999998</v>
      </c>
      <c r="Y137" s="9">
        <v>15.795999999999999</v>
      </c>
      <c r="Z137" s="9">
        <v>23.888999999999999</v>
      </c>
      <c r="AA137" s="12">
        <v>17.748999999999999</v>
      </c>
      <c r="AB137" s="12">
        <v>18.053999999999998</v>
      </c>
      <c r="AC137" s="12">
        <v>18.823</v>
      </c>
      <c r="AD137" s="9">
        <v>19.164999999999999</v>
      </c>
      <c r="AE137" s="9">
        <v>18.884</v>
      </c>
      <c r="AF137" s="9">
        <v>17.468</v>
      </c>
    </row>
    <row r="138" spans="1:36" x14ac:dyDescent="0.45">
      <c r="A138" s="47"/>
      <c r="B138" s="6" t="s">
        <v>19</v>
      </c>
      <c r="C138" s="12">
        <v>17.431999999999999</v>
      </c>
      <c r="D138" s="12">
        <v>16.077000000000002</v>
      </c>
      <c r="E138" s="12">
        <v>20.946999999999999</v>
      </c>
      <c r="F138" s="9">
        <v>10.217000000000001</v>
      </c>
      <c r="G138" s="9">
        <v>16.466999999999999</v>
      </c>
      <c r="H138" s="9">
        <v>14.673</v>
      </c>
      <c r="I138" s="12">
        <v>17.664000000000001</v>
      </c>
      <c r="J138" s="12">
        <v>22.643999999999998</v>
      </c>
      <c r="K138" s="12">
        <v>18.957999999999998</v>
      </c>
      <c r="L138" s="9">
        <v>19.298999999999999</v>
      </c>
      <c r="M138" s="9">
        <v>16.492000000000001</v>
      </c>
      <c r="N138" s="9">
        <v>24.853999999999999</v>
      </c>
      <c r="O138" s="12">
        <v>15.625</v>
      </c>
      <c r="P138" s="12">
        <v>15.587999999999999</v>
      </c>
      <c r="Q138" s="12">
        <v>15.234</v>
      </c>
      <c r="R138" s="9">
        <v>14.087</v>
      </c>
      <c r="S138" s="9">
        <v>14.526</v>
      </c>
      <c r="T138" s="9">
        <v>14.929</v>
      </c>
      <c r="U138" s="12">
        <v>18.311</v>
      </c>
      <c r="V138" s="12">
        <v>13.379</v>
      </c>
      <c r="W138" s="12">
        <v>17.957000000000001</v>
      </c>
      <c r="X138" s="9">
        <v>11.987</v>
      </c>
      <c r="Y138" s="9">
        <v>10.913</v>
      </c>
      <c r="Z138" s="9">
        <v>18.018000000000001</v>
      </c>
      <c r="AA138" s="12">
        <v>17.736999999999998</v>
      </c>
      <c r="AB138" s="12">
        <v>14.868</v>
      </c>
      <c r="AC138" s="12">
        <v>14.929</v>
      </c>
      <c r="AD138" s="9">
        <v>16.064</v>
      </c>
      <c r="AE138" s="9">
        <v>10.106999999999999</v>
      </c>
      <c r="AF138" s="9">
        <v>19.457999999999998</v>
      </c>
    </row>
    <row r="139" spans="1:36" x14ac:dyDescent="0.45">
      <c r="A139" s="48" t="s">
        <v>22</v>
      </c>
      <c r="B139" s="48"/>
      <c r="C139" s="12">
        <f>SUM(C136:C138)</f>
        <v>63.611000000000004</v>
      </c>
      <c r="D139" s="12">
        <f>SUM(D136:D138)</f>
        <v>61.572000000000003</v>
      </c>
      <c r="E139" s="12">
        <f t="shared" ref="E139:AF139" si="11">SUM(E136:E138)</f>
        <v>69.323000000000008</v>
      </c>
      <c r="F139" s="9">
        <f>SUM(F136:F138)</f>
        <v>49.805</v>
      </c>
      <c r="G139" s="9">
        <f t="shared" si="11"/>
        <v>64.807000000000002</v>
      </c>
      <c r="H139" s="9">
        <f t="shared" si="11"/>
        <v>61.621000000000002</v>
      </c>
      <c r="I139" s="12">
        <f>SUM(I136:I138)</f>
        <v>65.844999999999999</v>
      </c>
      <c r="J139" s="12">
        <f t="shared" si="11"/>
        <v>71.863</v>
      </c>
      <c r="K139" s="12">
        <f t="shared" si="11"/>
        <v>67.787000000000006</v>
      </c>
      <c r="L139" s="9">
        <f t="shared" si="11"/>
        <v>66.564999999999998</v>
      </c>
      <c r="M139" s="9">
        <f t="shared" si="11"/>
        <v>62.451000000000008</v>
      </c>
      <c r="N139" s="9">
        <f t="shared" si="11"/>
        <v>71.521000000000001</v>
      </c>
      <c r="O139" s="12">
        <f t="shared" si="11"/>
        <v>60.021999999999998</v>
      </c>
      <c r="P139" s="12">
        <f t="shared" si="11"/>
        <v>61.547000000000004</v>
      </c>
      <c r="Q139" s="12">
        <f t="shared" si="11"/>
        <v>60.949000000000005</v>
      </c>
      <c r="R139" s="9">
        <f t="shared" si="11"/>
        <v>58.582000000000008</v>
      </c>
      <c r="S139" s="9">
        <f t="shared" si="11"/>
        <v>59.495999999999995</v>
      </c>
      <c r="T139" s="9">
        <f t="shared" si="11"/>
        <v>57.995000000000005</v>
      </c>
      <c r="U139" s="12">
        <f t="shared" si="11"/>
        <v>64.734999999999999</v>
      </c>
      <c r="V139" s="12">
        <f>SUM(W136:W138)</f>
        <v>64.587999999999994</v>
      </c>
      <c r="W139" s="12">
        <f>SUM(X136:X138)</f>
        <v>52.673000000000002</v>
      </c>
      <c r="X139" s="9">
        <f>SUM(Y136:Y138)</f>
        <v>50.977000000000004</v>
      </c>
      <c r="Y139" s="9">
        <f t="shared" si="11"/>
        <v>50.977000000000004</v>
      </c>
      <c r="Z139" s="9">
        <f t="shared" si="11"/>
        <v>63.977000000000004</v>
      </c>
      <c r="AA139" s="12">
        <f t="shared" si="11"/>
        <v>65.465999999999994</v>
      </c>
      <c r="AB139" s="12">
        <f t="shared" si="11"/>
        <v>58.776000000000003</v>
      </c>
      <c r="AC139" s="12">
        <f t="shared" si="11"/>
        <v>58.055999999999997</v>
      </c>
      <c r="AD139" s="9">
        <f t="shared" si="11"/>
        <v>61.485999999999997</v>
      </c>
      <c r="AE139" s="9">
        <f t="shared" si="11"/>
        <v>46.703000000000003</v>
      </c>
      <c r="AF139" s="9">
        <f t="shared" si="11"/>
        <v>68.432000000000002</v>
      </c>
      <c r="AG139" s="12">
        <f>(SUM(C139:E139)+SUM(I139:K139)+SUM(O139:Q139)+SUM(U139:W139)+SUM(AA139:AC139))/15</f>
        <v>63.120866666666664</v>
      </c>
      <c r="AH139" s="9">
        <f>(SUM(F139:H139)+SUM(L139:N139)+SUM(R139:T139)+SUM(X139:Z139)+SUM(AD139:AF139))/15</f>
        <v>59.693000000000005</v>
      </c>
    </row>
    <row r="142" spans="1:36" x14ac:dyDescent="0.45">
      <c r="AH142" t="s">
        <v>278</v>
      </c>
      <c r="AI142" t="s">
        <v>279</v>
      </c>
      <c r="AJ142" t="s">
        <v>280</v>
      </c>
    </row>
    <row r="143" spans="1:36" x14ac:dyDescent="0.45">
      <c r="A143" s="47" t="s">
        <v>0</v>
      </c>
      <c r="B143" s="47"/>
      <c r="C143" s="12" t="s">
        <v>245</v>
      </c>
      <c r="D143" s="12" t="s">
        <v>245</v>
      </c>
      <c r="E143" s="12" t="s">
        <v>245</v>
      </c>
      <c r="F143" s="9" t="s">
        <v>245</v>
      </c>
      <c r="G143" s="9" t="s">
        <v>245</v>
      </c>
      <c r="H143" s="9" t="s">
        <v>245</v>
      </c>
      <c r="I143" s="12" t="s">
        <v>245</v>
      </c>
      <c r="J143" s="12" t="s">
        <v>245</v>
      </c>
      <c r="K143" s="12" t="s">
        <v>245</v>
      </c>
      <c r="L143" s="9" t="s">
        <v>245</v>
      </c>
      <c r="M143" s="9" t="s">
        <v>245</v>
      </c>
      <c r="N143" s="9" t="s">
        <v>245</v>
      </c>
      <c r="O143" s="12" t="s">
        <v>245</v>
      </c>
      <c r="P143" s="12" t="s">
        <v>245</v>
      </c>
      <c r="Q143" s="12" t="s">
        <v>245</v>
      </c>
      <c r="R143" s="9" t="s">
        <v>245</v>
      </c>
      <c r="S143" s="9" t="s">
        <v>245</v>
      </c>
      <c r="T143" s="9" t="s">
        <v>245</v>
      </c>
      <c r="U143" s="12" t="s">
        <v>245</v>
      </c>
      <c r="V143" s="12" t="s">
        <v>245</v>
      </c>
      <c r="W143" s="12" t="s">
        <v>245</v>
      </c>
      <c r="X143" s="9" t="s">
        <v>245</v>
      </c>
      <c r="Y143" s="9" t="s">
        <v>245</v>
      </c>
      <c r="Z143" s="9" t="s">
        <v>245</v>
      </c>
      <c r="AA143" s="12" t="s">
        <v>245</v>
      </c>
      <c r="AB143" s="12" t="s">
        <v>245</v>
      </c>
      <c r="AC143" s="12" t="s">
        <v>245</v>
      </c>
      <c r="AD143" s="9" t="s">
        <v>245</v>
      </c>
      <c r="AE143" s="9" t="s">
        <v>245</v>
      </c>
      <c r="AF143" s="9" t="s">
        <v>245</v>
      </c>
    </row>
    <row r="144" spans="1:36" x14ac:dyDescent="0.45">
      <c r="A144" s="47" t="s">
        <v>10</v>
      </c>
      <c r="B144" s="47"/>
      <c r="C144" s="13" t="s">
        <v>16</v>
      </c>
      <c r="D144" s="13" t="s">
        <v>16</v>
      </c>
      <c r="E144" s="13" t="s">
        <v>16</v>
      </c>
      <c r="F144" s="10" t="s">
        <v>16</v>
      </c>
      <c r="G144" s="10" t="s">
        <v>16</v>
      </c>
      <c r="H144" s="10" t="s">
        <v>16</v>
      </c>
      <c r="I144" s="13" t="s">
        <v>16</v>
      </c>
      <c r="J144" s="13" t="s">
        <v>16</v>
      </c>
      <c r="K144" s="13" t="s">
        <v>16</v>
      </c>
      <c r="L144" s="10" t="s">
        <v>16</v>
      </c>
      <c r="M144" s="10" t="s">
        <v>16</v>
      </c>
      <c r="N144" s="10" t="s">
        <v>16</v>
      </c>
      <c r="O144" s="13" t="s">
        <v>16</v>
      </c>
      <c r="P144" s="13" t="s">
        <v>16</v>
      </c>
      <c r="Q144" s="13" t="s">
        <v>16</v>
      </c>
      <c r="R144" s="10" t="s">
        <v>16</v>
      </c>
      <c r="S144" s="10" t="s">
        <v>16</v>
      </c>
      <c r="T144" s="10" t="s">
        <v>16</v>
      </c>
      <c r="U144" s="13" t="s">
        <v>16</v>
      </c>
      <c r="V144" s="13" t="s">
        <v>16</v>
      </c>
      <c r="W144" s="13" t="s">
        <v>16</v>
      </c>
      <c r="X144" s="10" t="s">
        <v>16</v>
      </c>
      <c r="Y144" s="10" t="s">
        <v>16</v>
      </c>
      <c r="Z144" s="10" t="s">
        <v>16</v>
      </c>
      <c r="AA144" s="13" t="s">
        <v>16</v>
      </c>
      <c r="AB144" s="13" t="s">
        <v>16</v>
      </c>
      <c r="AC144" s="13" t="s">
        <v>16</v>
      </c>
      <c r="AD144" s="10" t="s">
        <v>16</v>
      </c>
      <c r="AE144" s="10" t="s">
        <v>16</v>
      </c>
      <c r="AF144" s="10" t="s">
        <v>16</v>
      </c>
    </row>
    <row r="145" spans="1:36" x14ac:dyDescent="0.45">
      <c r="A145" s="47" t="s">
        <v>1</v>
      </c>
      <c r="B145" s="47"/>
      <c r="C145" s="12" t="s">
        <v>8</v>
      </c>
      <c r="D145" s="12" t="s">
        <v>8</v>
      </c>
      <c r="E145" s="12" t="s">
        <v>8</v>
      </c>
      <c r="F145" s="9" t="s">
        <v>8</v>
      </c>
      <c r="G145" s="9" t="s">
        <v>8</v>
      </c>
      <c r="H145" s="9" t="s">
        <v>8</v>
      </c>
      <c r="I145" s="12" t="s">
        <v>27</v>
      </c>
      <c r="J145" s="12" t="s">
        <v>27</v>
      </c>
      <c r="K145" s="12" t="s">
        <v>27</v>
      </c>
      <c r="L145" s="9" t="s">
        <v>27</v>
      </c>
      <c r="M145" s="9" t="s">
        <v>27</v>
      </c>
      <c r="N145" s="9" t="s">
        <v>27</v>
      </c>
      <c r="O145" s="12" t="s">
        <v>28</v>
      </c>
      <c r="P145" s="12" t="s">
        <v>28</v>
      </c>
      <c r="Q145" s="12" t="s">
        <v>28</v>
      </c>
      <c r="R145" s="9" t="s">
        <v>28</v>
      </c>
      <c r="S145" s="9" t="s">
        <v>28</v>
      </c>
      <c r="T145" s="9" t="s">
        <v>28</v>
      </c>
      <c r="U145" s="12" t="s">
        <v>29</v>
      </c>
      <c r="V145" s="12" t="s">
        <v>29</v>
      </c>
      <c r="W145" s="12" t="s">
        <v>29</v>
      </c>
      <c r="X145" s="9" t="s">
        <v>29</v>
      </c>
      <c r="Y145" s="9" t="s">
        <v>29</v>
      </c>
      <c r="Z145" s="9" t="s">
        <v>29</v>
      </c>
      <c r="AA145" s="12" t="s">
        <v>30</v>
      </c>
      <c r="AB145" s="12" t="s">
        <v>30</v>
      </c>
      <c r="AC145" s="12" t="s">
        <v>30</v>
      </c>
      <c r="AD145" s="9" t="s">
        <v>30</v>
      </c>
      <c r="AE145" s="9" t="s">
        <v>30</v>
      </c>
      <c r="AF145" s="9" t="s">
        <v>30</v>
      </c>
    </row>
    <row r="146" spans="1:36" x14ac:dyDescent="0.45">
      <c r="A146" s="47" t="s">
        <v>13</v>
      </c>
      <c r="B146" s="16" t="s">
        <v>12</v>
      </c>
      <c r="C146" s="12" t="s">
        <v>21</v>
      </c>
      <c r="D146" s="12" t="s">
        <v>21</v>
      </c>
      <c r="E146" s="12" t="s">
        <v>21</v>
      </c>
      <c r="F146" s="9" t="s">
        <v>26</v>
      </c>
      <c r="G146" s="9" t="s">
        <v>26</v>
      </c>
      <c r="H146" s="9" t="s">
        <v>26</v>
      </c>
      <c r="I146" s="12" t="s">
        <v>21</v>
      </c>
      <c r="J146" s="12" t="s">
        <v>21</v>
      </c>
      <c r="K146" s="12" t="s">
        <v>21</v>
      </c>
      <c r="L146" s="9" t="s">
        <v>26</v>
      </c>
      <c r="M146" s="9" t="s">
        <v>26</v>
      </c>
      <c r="N146" s="9" t="s">
        <v>26</v>
      </c>
      <c r="O146" s="12" t="s">
        <v>21</v>
      </c>
      <c r="P146" s="12" t="s">
        <v>21</v>
      </c>
      <c r="Q146" s="12" t="s">
        <v>21</v>
      </c>
      <c r="R146" s="9" t="s">
        <v>26</v>
      </c>
      <c r="S146" s="9" t="s">
        <v>26</v>
      </c>
      <c r="T146" s="9" t="s">
        <v>26</v>
      </c>
      <c r="U146" s="12" t="s">
        <v>21</v>
      </c>
      <c r="V146" s="12" t="s">
        <v>21</v>
      </c>
      <c r="W146" s="12" t="s">
        <v>21</v>
      </c>
      <c r="X146" s="9" t="s">
        <v>26</v>
      </c>
      <c r="Y146" s="9" t="s">
        <v>26</v>
      </c>
      <c r="Z146" s="9" t="s">
        <v>26</v>
      </c>
      <c r="AA146" s="12" t="s">
        <v>21</v>
      </c>
      <c r="AB146" s="12" t="s">
        <v>21</v>
      </c>
      <c r="AC146" s="12" t="s">
        <v>21</v>
      </c>
      <c r="AD146" s="9" t="s">
        <v>26</v>
      </c>
      <c r="AE146" s="9" t="s">
        <v>26</v>
      </c>
      <c r="AF146" s="9" t="s">
        <v>26</v>
      </c>
    </row>
    <row r="147" spans="1:36" x14ac:dyDescent="0.45">
      <c r="A147" s="47"/>
      <c r="B147" s="16" t="s">
        <v>14</v>
      </c>
      <c r="C147" s="12">
        <v>70</v>
      </c>
      <c r="D147" s="12">
        <v>70</v>
      </c>
      <c r="E147" s="12">
        <v>75</v>
      </c>
      <c r="F147" s="9">
        <v>54</v>
      </c>
      <c r="G147" s="9">
        <v>76</v>
      </c>
      <c r="H147" s="9">
        <v>74</v>
      </c>
      <c r="I147" s="12">
        <v>76</v>
      </c>
      <c r="J147" s="12">
        <v>58</v>
      </c>
      <c r="K147" s="12">
        <v>76</v>
      </c>
      <c r="L147" s="9">
        <v>54</v>
      </c>
      <c r="M147" s="9">
        <v>75</v>
      </c>
      <c r="N147" s="9">
        <v>84</v>
      </c>
      <c r="O147" s="12">
        <v>55</v>
      </c>
      <c r="P147" s="12">
        <v>76</v>
      </c>
      <c r="Q147" s="12">
        <v>61</v>
      </c>
      <c r="R147" s="9">
        <v>70</v>
      </c>
      <c r="S147" s="9">
        <v>74</v>
      </c>
      <c r="T147" s="9">
        <v>56</v>
      </c>
      <c r="U147" s="12">
        <v>79</v>
      </c>
      <c r="V147" s="12">
        <v>76</v>
      </c>
      <c r="W147" s="12">
        <v>67</v>
      </c>
      <c r="X147" s="9">
        <v>66</v>
      </c>
      <c r="Y147" s="9">
        <v>74</v>
      </c>
      <c r="Z147" s="9">
        <v>74</v>
      </c>
      <c r="AA147" s="12">
        <v>61</v>
      </c>
      <c r="AB147" s="12">
        <v>63</v>
      </c>
      <c r="AC147" s="12">
        <v>63</v>
      </c>
      <c r="AD147" s="9">
        <v>71</v>
      </c>
      <c r="AE147" s="9">
        <v>84</v>
      </c>
      <c r="AF147" s="9">
        <v>61</v>
      </c>
    </row>
    <row r="148" spans="1:36" x14ac:dyDescent="0.45">
      <c r="A148" s="47"/>
      <c r="B148" s="3" t="s">
        <v>15</v>
      </c>
      <c r="C148" s="12">
        <v>32</v>
      </c>
      <c r="D148" s="12">
        <v>32</v>
      </c>
      <c r="E148" s="12">
        <v>32</v>
      </c>
      <c r="F148" s="9">
        <v>43</v>
      </c>
      <c r="G148" s="9">
        <v>43</v>
      </c>
      <c r="H148" s="9">
        <v>43</v>
      </c>
      <c r="I148" s="12">
        <v>37</v>
      </c>
      <c r="J148" s="12">
        <v>37</v>
      </c>
      <c r="K148" s="12">
        <v>37</v>
      </c>
      <c r="L148" s="9">
        <v>48</v>
      </c>
      <c r="M148" s="9">
        <v>48</v>
      </c>
      <c r="N148" s="9">
        <v>49</v>
      </c>
      <c r="O148" s="12">
        <v>37</v>
      </c>
      <c r="P148" s="12">
        <v>37</v>
      </c>
      <c r="Q148" s="12">
        <v>37</v>
      </c>
      <c r="R148" s="9">
        <v>47</v>
      </c>
      <c r="S148" s="9">
        <v>48</v>
      </c>
      <c r="T148" s="9">
        <v>48</v>
      </c>
      <c r="U148" s="12">
        <v>37</v>
      </c>
      <c r="V148" s="12">
        <v>37</v>
      </c>
      <c r="W148" s="12">
        <v>37</v>
      </c>
      <c r="X148" s="9">
        <v>47</v>
      </c>
      <c r="Y148" s="9">
        <v>48</v>
      </c>
      <c r="Z148" s="9">
        <v>48</v>
      </c>
      <c r="AA148" s="12">
        <v>37</v>
      </c>
      <c r="AB148" s="12">
        <v>37</v>
      </c>
      <c r="AC148" s="12">
        <v>37</v>
      </c>
      <c r="AD148" s="9">
        <v>47</v>
      </c>
      <c r="AE148" s="9">
        <v>49</v>
      </c>
      <c r="AF148" s="9">
        <v>48</v>
      </c>
    </row>
    <row r="149" spans="1:36" x14ac:dyDescent="0.45">
      <c r="A149" s="47" t="s">
        <v>11</v>
      </c>
      <c r="B149" s="47"/>
      <c r="C149" s="12">
        <v>8192</v>
      </c>
      <c r="D149" s="12">
        <v>8192</v>
      </c>
      <c r="E149" s="12">
        <v>8192</v>
      </c>
      <c r="F149" s="9">
        <v>8192</v>
      </c>
      <c r="G149" s="9">
        <v>8192</v>
      </c>
      <c r="H149" s="9">
        <v>8192</v>
      </c>
      <c r="I149" s="12">
        <v>8192</v>
      </c>
      <c r="J149" s="12">
        <v>8192</v>
      </c>
      <c r="K149" s="12">
        <v>8192</v>
      </c>
      <c r="L149" s="9">
        <v>8192</v>
      </c>
      <c r="M149" s="9">
        <v>8192</v>
      </c>
      <c r="N149" s="9">
        <v>8192</v>
      </c>
      <c r="O149" s="12">
        <v>8192</v>
      </c>
      <c r="P149" s="12">
        <v>8192</v>
      </c>
      <c r="Q149" s="12">
        <v>8192</v>
      </c>
      <c r="R149" s="9">
        <v>8192</v>
      </c>
      <c r="S149" s="9">
        <v>8192</v>
      </c>
      <c r="T149" s="9">
        <v>8192</v>
      </c>
      <c r="U149" s="12">
        <v>8192</v>
      </c>
      <c r="V149" s="12">
        <v>8192</v>
      </c>
      <c r="W149" s="12">
        <v>8192</v>
      </c>
      <c r="X149" s="9">
        <v>8192</v>
      </c>
      <c r="Y149" s="9">
        <v>8192</v>
      </c>
      <c r="Z149" s="9">
        <v>8192</v>
      </c>
      <c r="AA149" s="12">
        <v>8192</v>
      </c>
      <c r="AB149" s="12">
        <v>8192</v>
      </c>
      <c r="AC149" s="12">
        <v>8192</v>
      </c>
      <c r="AD149" s="9">
        <v>8192</v>
      </c>
      <c r="AE149" s="9">
        <v>8192</v>
      </c>
      <c r="AF149" s="9">
        <v>8192</v>
      </c>
    </row>
    <row r="150" spans="1:36" x14ac:dyDescent="0.45">
      <c r="A150" s="47" t="s">
        <v>42</v>
      </c>
      <c r="B150" s="2" t="s">
        <v>2</v>
      </c>
      <c r="C150" s="12">
        <v>1.1000000000000001</v>
      </c>
      <c r="D150" s="12">
        <v>0.99</v>
      </c>
      <c r="E150" s="12">
        <v>0.98799999999999999</v>
      </c>
      <c r="F150" s="9">
        <v>0.88800000000000001</v>
      </c>
      <c r="G150" s="9">
        <v>1</v>
      </c>
      <c r="H150" s="9">
        <v>1</v>
      </c>
      <c r="I150" s="12">
        <v>1.2</v>
      </c>
      <c r="J150" s="12">
        <v>0.97599999999999998</v>
      </c>
      <c r="K150" s="12">
        <v>0.96499999999999997</v>
      </c>
      <c r="L150" s="9">
        <v>0.876</v>
      </c>
      <c r="M150" s="9">
        <v>0.86899999999999999</v>
      </c>
      <c r="N150" s="9">
        <v>0.78200000000000003</v>
      </c>
      <c r="O150" s="12">
        <v>1</v>
      </c>
      <c r="P150" s="12">
        <v>1</v>
      </c>
      <c r="Q150" s="12">
        <v>0.90500000000000003</v>
      </c>
      <c r="R150" s="9">
        <v>0.93300000000000005</v>
      </c>
      <c r="S150" s="9">
        <v>0.78300000000000003</v>
      </c>
      <c r="T150" s="9">
        <v>0.91200000000000003</v>
      </c>
      <c r="U150" s="12">
        <v>5.0999999999999996</v>
      </c>
      <c r="V150" s="12">
        <v>1.5</v>
      </c>
      <c r="W150" s="12">
        <v>0.95599999999999996</v>
      </c>
      <c r="X150" s="9">
        <v>0.90600000000000003</v>
      </c>
      <c r="Y150" s="9">
        <v>0.86099999999999999</v>
      </c>
      <c r="Z150" s="9">
        <v>1.3</v>
      </c>
      <c r="AA150" s="12">
        <v>0.95599999999999996</v>
      </c>
      <c r="AB150" s="12">
        <v>0.82699999999999996</v>
      </c>
      <c r="AC150" s="12">
        <v>0.999</v>
      </c>
      <c r="AD150" s="9">
        <v>1</v>
      </c>
      <c r="AE150" s="9">
        <v>1.1000000000000001</v>
      </c>
      <c r="AF150" s="9">
        <v>1</v>
      </c>
    </row>
    <row r="151" spans="1:36" x14ac:dyDescent="0.45">
      <c r="A151" s="47"/>
      <c r="B151" s="2" t="s">
        <v>3</v>
      </c>
      <c r="C151" s="12">
        <v>0.32400000000000001</v>
      </c>
      <c r="D151" s="12">
        <v>27.7</v>
      </c>
      <c r="E151" s="12">
        <v>14</v>
      </c>
      <c r="F151" s="9">
        <v>16.3</v>
      </c>
      <c r="G151" s="9">
        <v>11.9</v>
      </c>
      <c r="H151" s="9">
        <v>18.899999999999999</v>
      </c>
      <c r="I151" s="12">
        <v>10.9</v>
      </c>
      <c r="J151" s="12">
        <v>18.8</v>
      </c>
      <c r="K151" s="12">
        <v>14.6</v>
      </c>
      <c r="L151" s="9">
        <v>18.5</v>
      </c>
      <c r="M151" s="9">
        <v>14.7</v>
      </c>
      <c r="N151" s="9">
        <v>19.899999999999999</v>
      </c>
      <c r="O151" s="12">
        <v>12.2</v>
      </c>
      <c r="P151" s="12">
        <v>19.100000000000001</v>
      </c>
      <c r="Q151" s="12">
        <v>13.6</v>
      </c>
      <c r="R151" s="9">
        <v>16.399999999999999</v>
      </c>
      <c r="S151" s="9">
        <v>9.3000000000000007</v>
      </c>
      <c r="T151" s="9">
        <v>9.8000000000000007</v>
      </c>
      <c r="U151" s="12">
        <v>5.4</v>
      </c>
      <c r="V151" s="12">
        <v>13.9</v>
      </c>
      <c r="W151" s="12">
        <v>19.399999999999999</v>
      </c>
      <c r="X151" s="9">
        <v>17.7</v>
      </c>
      <c r="Y151" s="9">
        <v>20.399999999999999</v>
      </c>
      <c r="Z151" s="9">
        <v>20.9</v>
      </c>
      <c r="AA151" s="12">
        <v>14.1</v>
      </c>
      <c r="AB151" s="12">
        <v>21.8</v>
      </c>
      <c r="AC151" s="12">
        <v>21.4</v>
      </c>
      <c r="AD151" s="9">
        <v>22.5</v>
      </c>
      <c r="AE151" s="9">
        <v>25.3</v>
      </c>
      <c r="AF151" s="9">
        <v>27.9</v>
      </c>
    </row>
    <row r="152" spans="1:36" x14ac:dyDescent="0.45">
      <c r="A152" s="47"/>
      <c r="B152" s="2" t="s">
        <v>4</v>
      </c>
      <c r="C152" s="12">
        <v>26.5</v>
      </c>
      <c r="D152" s="12">
        <v>26.6</v>
      </c>
      <c r="E152" s="12">
        <v>26.4</v>
      </c>
      <c r="F152" s="9">
        <v>26.6</v>
      </c>
      <c r="G152" s="9">
        <v>26.7</v>
      </c>
      <c r="H152" s="9">
        <v>26.4</v>
      </c>
      <c r="I152" s="12">
        <v>28</v>
      </c>
      <c r="J152" s="12">
        <v>27.3</v>
      </c>
      <c r="K152" s="12">
        <v>27.6</v>
      </c>
      <c r="L152" s="9">
        <v>27.5</v>
      </c>
      <c r="M152" s="9">
        <v>27.6</v>
      </c>
      <c r="N152" s="9">
        <v>27.7</v>
      </c>
      <c r="O152" s="12">
        <v>27.3</v>
      </c>
      <c r="P152" s="12">
        <v>27.4</v>
      </c>
      <c r="Q152" s="12">
        <v>28.1</v>
      </c>
      <c r="R152" s="9">
        <v>26.5</v>
      </c>
      <c r="S152" s="9">
        <v>26.8</v>
      </c>
      <c r="T152" s="9">
        <v>27</v>
      </c>
      <c r="U152" s="12">
        <v>27.3</v>
      </c>
      <c r="V152" s="12">
        <v>27.6</v>
      </c>
      <c r="W152" s="12">
        <v>27.5</v>
      </c>
      <c r="X152" s="9">
        <v>27.7</v>
      </c>
      <c r="Y152" s="9">
        <v>27.1</v>
      </c>
      <c r="Z152" s="9">
        <v>27.3</v>
      </c>
      <c r="AA152" s="12">
        <v>26.8</v>
      </c>
      <c r="AB152" s="12">
        <v>26.6</v>
      </c>
      <c r="AC152" s="12">
        <v>26.2</v>
      </c>
      <c r="AD152" s="9">
        <v>28.5</v>
      </c>
      <c r="AE152" s="9">
        <v>28.5</v>
      </c>
      <c r="AF152" s="9">
        <v>28.5</v>
      </c>
    </row>
    <row r="153" spans="1:36" x14ac:dyDescent="0.45">
      <c r="A153" s="47"/>
      <c r="B153" s="2" t="s">
        <v>5</v>
      </c>
      <c r="C153" s="12">
        <v>33.1</v>
      </c>
      <c r="D153" s="12">
        <v>60.5</v>
      </c>
      <c r="E153" s="12">
        <v>46.8</v>
      </c>
      <c r="F153" s="9">
        <v>48.9</v>
      </c>
      <c r="G153" s="9">
        <v>45.1</v>
      </c>
      <c r="H153" s="9">
        <v>51.5</v>
      </c>
      <c r="I153" s="12">
        <v>45.4</v>
      </c>
      <c r="J153" s="12">
        <v>52.4</v>
      </c>
      <c r="K153" s="12">
        <v>48.7</v>
      </c>
      <c r="L153" s="9">
        <v>52</v>
      </c>
      <c r="M153" s="9">
        <v>48.6</v>
      </c>
      <c r="N153" s="9">
        <v>54</v>
      </c>
      <c r="O153" s="12">
        <v>45.9</v>
      </c>
      <c r="P153" s="12">
        <v>52.4</v>
      </c>
      <c r="Q153" s="12">
        <v>48.3</v>
      </c>
      <c r="R153" s="9">
        <v>49.2</v>
      </c>
      <c r="S153" s="9">
        <v>42.4</v>
      </c>
      <c r="T153" s="9">
        <v>43</v>
      </c>
      <c r="U153" s="12">
        <v>43</v>
      </c>
      <c r="V153" s="12">
        <v>48.3</v>
      </c>
      <c r="W153" s="12">
        <v>53.6</v>
      </c>
      <c r="X153" s="9">
        <v>51.6</v>
      </c>
      <c r="Y153" s="9">
        <v>53.5</v>
      </c>
      <c r="Z153" s="9">
        <v>55</v>
      </c>
      <c r="AA153" s="12">
        <v>47.1</v>
      </c>
      <c r="AB153" s="12">
        <v>54.5</v>
      </c>
      <c r="AC153" s="12">
        <v>54</v>
      </c>
      <c r="AD153" s="9">
        <v>57.6</v>
      </c>
      <c r="AE153" s="9">
        <v>60.1</v>
      </c>
      <c r="AF153" s="9">
        <v>62.9</v>
      </c>
    </row>
    <row r="154" spans="1:36" x14ac:dyDescent="0.45">
      <c r="A154" s="8"/>
      <c r="B154" s="2" t="s">
        <v>6</v>
      </c>
      <c r="C154" s="14" t="s">
        <v>244</v>
      </c>
      <c r="D154" s="14" t="s">
        <v>246</v>
      </c>
      <c r="E154" s="14" t="s">
        <v>247</v>
      </c>
      <c r="F154" s="11" t="s">
        <v>248</v>
      </c>
      <c r="G154" s="11" t="s">
        <v>249</v>
      </c>
      <c r="H154" s="11" t="s">
        <v>250</v>
      </c>
      <c r="I154" s="14" t="s">
        <v>251</v>
      </c>
      <c r="J154" s="14" t="s">
        <v>252</v>
      </c>
      <c r="K154" s="14" t="s">
        <v>253</v>
      </c>
      <c r="L154" s="11" t="s">
        <v>254</v>
      </c>
      <c r="M154" s="11" t="s">
        <v>255</v>
      </c>
      <c r="N154" s="11" t="s">
        <v>256</v>
      </c>
      <c r="O154" s="14" t="s">
        <v>257</v>
      </c>
      <c r="P154" s="14" t="s">
        <v>258</v>
      </c>
      <c r="Q154" s="14" t="s">
        <v>259</v>
      </c>
      <c r="R154" s="11" t="s">
        <v>260</v>
      </c>
      <c r="S154" s="11" t="s">
        <v>261</v>
      </c>
      <c r="T154" s="11" t="s">
        <v>262</v>
      </c>
      <c r="U154" s="14" t="s">
        <v>263</v>
      </c>
      <c r="V154" s="14" t="s">
        <v>264</v>
      </c>
      <c r="W154" s="14" t="s">
        <v>265</v>
      </c>
      <c r="X154" s="11" t="s">
        <v>266</v>
      </c>
      <c r="Y154" s="11" t="s">
        <v>267</v>
      </c>
      <c r="Z154" s="11" t="s">
        <v>268</v>
      </c>
      <c r="AA154" s="14" t="s">
        <v>269</v>
      </c>
      <c r="AB154" s="14" t="s">
        <v>270</v>
      </c>
      <c r="AC154" s="14" t="s">
        <v>271</v>
      </c>
      <c r="AD154" s="11" t="s">
        <v>272</v>
      </c>
      <c r="AE154" s="11" t="s">
        <v>273</v>
      </c>
      <c r="AF154" s="11" t="s">
        <v>274</v>
      </c>
    </row>
    <row r="155" spans="1:36" x14ac:dyDescent="0.45">
      <c r="A155" s="47" t="s">
        <v>17</v>
      </c>
      <c r="B155" s="6" t="s">
        <v>16</v>
      </c>
      <c r="C155" s="12">
        <v>32.116999999999997</v>
      </c>
      <c r="D155" s="12">
        <v>29.332999999999998</v>
      </c>
      <c r="E155" s="12">
        <v>29.210999999999999</v>
      </c>
      <c r="F155" s="9">
        <v>32.848999999999997</v>
      </c>
      <c r="G155" s="9">
        <v>31.103999999999999</v>
      </c>
      <c r="H155" s="9">
        <v>31.885000000000002</v>
      </c>
      <c r="I155" s="12">
        <v>27.209</v>
      </c>
      <c r="J155" s="12">
        <v>28.710999999999999</v>
      </c>
      <c r="K155" s="12">
        <v>22.350999999999999</v>
      </c>
      <c r="L155" s="9">
        <v>33.081000000000003</v>
      </c>
      <c r="M155" s="9">
        <v>27.550999999999998</v>
      </c>
      <c r="N155" s="9">
        <v>25.635000000000002</v>
      </c>
      <c r="O155" s="12">
        <v>26.745999999999999</v>
      </c>
      <c r="P155" s="12">
        <v>25.658999999999999</v>
      </c>
      <c r="Q155" s="12">
        <v>28.064</v>
      </c>
      <c r="R155" s="9">
        <v>28.003</v>
      </c>
      <c r="S155" s="9">
        <v>32.042999999999999</v>
      </c>
      <c r="T155" s="9">
        <v>35.985999999999997</v>
      </c>
      <c r="U155" s="12">
        <v>27.38</v>
      </c>
      <c r="V155" s="12">
        <v>26.207999999999998</v>
      </c>
      <c r="W155" s="12">
        <v>40.247</v>
      </c>
      <c r="X155" s="9">
        <v>34.509</v>
      </c>
      <c r="Y155" s="9">
        <v>32.226999999999997</v>
      </c>
      <c r="Z155" s="9">
        <v>31.774999999999999</v>
      </c>
      <c r="AA155" s="12">
        <v>28.271000000000001</v>
      </c>
      <c r="AB155" s="12">
        <v>30.835000000000001</v>
      </c>
      <c r="AC155" s="12">
        <v>31.445</v>
      </c>
      <c r="AD155" s="9">
        <v>28.893999999999998</v>
      </c>
      <c r="AE155" s="9">
        <v>30.321999999999999</v>
      </c>
      <c r="AF155" s="9">
        <v>30.457000000000001</v>
      </c>
      <c r="AH155">
        <f>MAX(C155:AF155)</f>
        <v>40.247</v>
      </c>
      <c r="AI155">
        <f>MIN(C155:AF155)</f>
        <v>22.350999999999999</v>
      </c>
      <c r="AJ155">
        <f>AVERAGE(C155:AF155)</f>
        <v>30.003599999999999</v>
      </c>
    </row>
    <row r="156" spans="1:36" x14ac:dyDescent="0.45">
      <c r="A156" s="47"/>
      <c r="B156" s="6" t="s">
        <v>18</v>
      </c>
      <c r="C156" s="12">
        <v>21.338000000000001</v>
      </c>
      <c r="D156" s="12">
        <v>21.692</v>
      </c>
      <c r="E156" s="12">
        <v>17.712</v>
      </c>
      <c r="F156" s="9">
        <v>21.814</v>
      </c>
      <c r="G156" s="9">
        <v>24.181999999999999</v>
      </c>
      <c r="H156" s="9">
        <v>22.815000000000001</v>
      </c>
      <c r="I156" s="12">
        <v>26.172000000000001</v>
      </c>
      <c r="J156" s="12">
        <v>24.28</v>
      </c>
      <c r="K156" s="12">
        <v>23.193000000000001</v>
      </c>
      <c r="L156" s="9">
        <v>25.11</v>
      </c>
      <c r="M156" s="9">
        <v>22.350999999999999</v>
      </c>
      <c r="N156" s="9">
        <v>23.45</v>
      </c>
      <c r="O156" s="12">
        <v>23.082999999999998</v>
      </c>
      <c r="P156" s="12">
        <v>20.74</v>
      </c>
      <c r="Q156" s="12">
        <v>21.178999999999998</v>
      </c>
      <c r="R156" s="9">
        <v>21.300999999999998</v>
      </c>
      <c r="S156" s="9">
        <v>21.533000000000001</v>
      </c>
      <c r="T156" s="9">
        <v>21.68</v>
      </c>
      <c r="U156" s="12">
        <v>22.338999999999999</v>
      </c>
      <c r="V156" s="12">
        <v>23.108000000000001</v>
      </c>
      <c r="W156" s="12">
        <v>20.239000000000001</v>
      </c>
      <c r="X156" s="9">
        <v>21.948</v>
      </c>
      <c r="Y156" s="9">
        <v>22.143999999999998</v>
      </c>
      <c r="Z156" s="9">
        <v>21.984999999999999</v>
      </c>
      <c r="AA156" s="12">
        <v>20.263999999999999</v>
      </c>
      <c r="AB156" s="12">
        <v>20.934999999999999</v>
      </c>
      <c r="AC156" s="12">
        <v>21.57</v>
      </c>
      <c r="AD156" s="9">
        <v>23.742999999999999</v>
      </c>
      <c r="AE156" s="9">
        <v>24.561</v>
      </c>
      <c r="AF156" s="9">
        <v>21.387</v>
      </c>
    </row>
    <row r="157" spans="1:36" x14ac:dyDescent="0.45">
      <c r="A157" s="47"/>
      <c r="B157" s="6" t="s">
        <v>20</v>
      </c>
      <c r="C157" s="12">
        <v>27.356000000000002</v>
      </c>
      <c r="D157" s="12">
        <v>27.625</v>
      </c>
      <c r="E157" s="12">
        <v>31.335000000000001</v>
      </c>
      <c r="F157" s="9">
        <v>26.696999999999999</v>
      </c>
      <c r="G157" s="9">
        <v>24.744</v>
      </c>
      <c r="H157" s="9">
        <v>24.585000000000001</v>
      </c>
      <c r="I157" s="12">
        <v>23.401</v>
      </c>
      <c r="J157" s="12">
        <v>25.061</v>
      </c>
      <c r="K157" s="12">
        <v>27.271000000000001</v>
      </c>
      <c r="L157" s="9">
        <v>23.132000000000001</v>
      </c>
      <c r="M157" s="9">
        <v>27.332000000000001</v>
      </c>
      <c r="N157" s="9">
        <v>27.172999999999998</v>
      </c>
      <c r="O157" s="12">
        <v>25.574000000000002</v>
      </c>
      <c r="P157" s="12">
        <v>29.870999999999999</v>
      </c>
      <c r="Q157" s="12">
        <v>28.198</v>
      </c>
      <c r="R157" s="9">
        <v>27.698</v>
      </c>
      <c r="S157" s="9">
        <v>25.658999999999999</v>
      </c>
      <c r="T157" s="9">
        <v>24.78</v>
      </c>
      <c r="U157" s="12">
        <v>27.881</v>
      </c>
      <c r="V157" s="12">
        <v>27.026</v>
      </c>
      <c r="W157" s="12">
        <v>24.67</v>
      </c>
      <c r="X157" s="9">
        <v>24.756</v>
      </c>
      <c r="Y157" s="9">
        <v>24.939</v>
      </c>
      <c r="Z157" s="9">
        <v>25.635000000000002</v>
      </c>
      <c r="AA157" s="12">
        <v>28.332999999999998</v>
      </c>
      <c r="AB157" s="12">
        <v>27.637</v>
      </c>
      <c r="AC157" s="12">
        <v>26.904</v>
      </c>
      <c r="AD157" s="9">
        <v>24.437999999999999</v>
      </c>
      <c r="AE157" s="9">
        <v>23.474</v>
      </c>
      <c r="AF157" s="9">
        <v>27.611999999999998</v>
      </c>
    </row>
    <row r="158" spans="1:36" x14ac:dyDescent="0.45">
      <c r="A158" s="47"/>
      <c r="B158" s="6" t="s">
        <v>19</v>
      </c>
      <c r="C158" s="12">
        <v>19.189</v>
      </c>
      <c r="D158" s="12">
        <v>21.35</v>
      </c>
      <c r="E158" s="12">
        <v>21.741</v>
      </c>
      <c r="F158" s="9">
        <v>18.64</v>
      </c>
      <c r="G158" s="9">
        <v>19.971</v>
      </c>
      <c r="H158" s="9">
        <v>20.715</v>
      </c>
      <c r="I158" s="12">
        <v>23.218</v>
      </c>
      <c r="J158" s="12">
        <v>21.948</v>
      </c>
      <c r="K158" s="12">
        <v>27.184999999999999</v>
      </c>
      <c r="L158" s="9">
        <v>18.677</v>
      </c>
      <c r="M158" s="9">
        <v>22.765999999999998</v>
      </c>
      <c r="N158" s="9">
        <v>23.742999999999999</v>
      </c>
      <c r="O158" s="12">
        <v>24.597000000000001</v>
      </c>
      <c r="P158" s="12">
        <v>23.73</v>
      </c>
      <c r="Q158" s="12">
        <v>22.559000000000001</v>
      </c>
      <c r="R158" s="9">
        <v>22.998000000000001</v>
      </c>
      <c r="S158" s="9">
        <v>20.763999999999999</v>
      </c>
      <c r="T158" s="9">
        <v>17.553999999999998</v>
      </c>
      <c r="U158" s="12">
        <v>22.4</v>
      </c>
      <c r="V158" s="12">
        <v>23.657</v>
      </c>
      <c r="W158" s="12">
        <v>14.843999999999999</v>
      </c>
      <c r="X158" s="9">
        <v>18.786999999999999</v>
      </c>
      <c r="Y158" s="9">
        <v>20.690999999999999</v>
      </c>
      <c r="Z158" s="9">
        <v>20.605</v>
      </c>
      <c r="AA158" s="12">
        <v>23.132000000000001</v>
      </c>
      <c r="AB158" s="12">
        <v>20.593</v>
      </c>
      <c r="AC158" s="12">
        <v>20.081</v>
      </c>
      <c r="AD158" s="9">
        <v>22.925000000000001</v>
      </c>
      <c r="AE158" s="9">
        <v>21.643000000000001</v>
      </c>
      <c r="AF158" s="9">
        <v>20.544</v>
      </c>
    </row>
    <row r="159" spans="1:36" x14ac:dyDescent="0.45">
      <c r="A159" s="48" t="s">
        <v>22</v>
      </c>
      <c r="B159" s="48"/>
      <c r="C159" s="12">
        <f>SUM(C156:C158)</f>
        <v>67.88300000000001</v>
      </c>
      <c r="D159" s="12">
        <f t="shared" ref="D159:AF159" si="12">SUM(D156:D158)</f>
        <v>70.667000000000002</v>
      </c>
      <c r="E159" s="12">
        <f t="shared" si="12"/>
        <v>70.787999999999997</v>
      </c>
      <c r="F159" s="9">
        <f t="shared" si="12"/>
        <v>67.150999999999996</v>
      </c>
      <c r="G159" s="9">
        <f t="shared" si="12"/>
        <v>68.897000000000006</v>
      </c>
      <c r="H159" s="9">
        <f t="shared" si="12"/>
        <v>68.115000000000009</v>
      </c>
      <c r="I159" s="12">
        <f t="shared" si="12"/>
        <v>72.790999999999997</v>
      </c>
      <c r="J159" s="12">
        <f t="shared" si="12"/>
        <v>71.289000000000001</v>
      </c>
      <c r="K159" s="12">
        <f t="shared" si="12"/>
        <v>77.649000000000001</v>
      </c>
      <c r="L159" s="9">
        <f t="shared" si="12"/>
        <v>66.919000000000011</v>
      </c>
      <c r="M159" s="9">
        <f t="shared" si="12"/>
        <v>72.448999999999998</v>
      </c>
      <c r="N159" s="9">
        <f t="shared" si="12"/>
        <v>74.366</v>
      </c>
      <c r="O159" s="12">
        <f t="shared" si="12"/>
        <v>73.253999999999991</v>
      </c>
      <c r="P159" s="12">
        <f t="shared" si="12"/>
        <v>74.340999999999994</v>
      </c>
      <c r="Q159" s="12">
        <f t="shared" si="12"/>
        <v>71.935999999999993</v>
      </c>
      <c r="R159" s="9">
        <f t="shared" si="12"/>
        <v>71.997</v>
      </c>
      <c r="S159" s="9">
        <f t="shared" si="12"/>
        <v>67.956000000000003</v>
      </c>
      <c r="T159" s="9">
        <f t="shared" si="12"/>
        <v>64.013999999999996</v>
      </c>
      <c r="U159" s="12">
        <f t="shared" si="12"/>
        <v>72.62</v>
      </c>
      <c r="V159" s="12">
        <f t="shared" si="12"/>
        <v>73.790999999999997</v>
      </c>
      <c r="W159" s="12">
        <f t="shared" si="12"/>
        <v>59.753000000000007</v>
      </c>
      <c r="X159" s="9">
        <f t="shared" si="12"/>
        <v>65.491</v>
      </c>
      <c r="Y159" s="9">
        <f t="shared" si="12"/>
        <v>67.774000000000001</v>
      </c>
      <c r="Z159" s="9">
        <f t="shared" si="12"/>
        <v>68.225000000000009</v>
      </c>
      <c r="AA159" s="12">
        <f t="shared" si="12"/>
        <v>71.728999999999999</v>
      </c>
      <c r="AB159" s="12">
        <f t="shared" si="12"/>
        <v>69.165000000000006</v>
      </c>
      <c r="AC159" s="12">
        <f t="shared" si="12"/>
        <v>68.555000000000007</v>
      </c>
      <c r="AD159" s="9">
        <f t="shared" si="12"/>
        <v>71.105999999999995</v>
      </c>
      <c r="AE159" s="9">
        <f t="shared" si="12"/>
        <v>69.677999999999997</v>
      </c>
      <c r="AF159" s="9">
        <f t="shared" si="12"/>
        <v>69.542999999999992</v>
      </c>
      <c r="AG159" s="12">
        <f>(SUM(C159:E159)+SUM(I159:K159)+SUM(O159:Q159)+SUM(U159:W159)+SUM(AA159:AC159))/15</f>
        <v>71.080733333333328</v>
      </c>
      <c r="AH159" s="9">
        <f>(SUM(F159:H159)+SUM(L159:N159)+SUM(R159:T159)+SUM(X159:Z159)+SUM(AD159:AF159))/15</f>
        <v>68.912066666666675</v>
      </c>
    </row>
    <row r="164" spans="2:5" x14ac:dyDescent="0.45">
      <c r="B164" s="2" t="s">
        <v>277</v>
      </c>
    </row>
    <row r="165" spans="2:5" x14ac:dyDescent="0.45">
      <c r="B165" t="s">
        <v>275</v>
      </c>
    </row>
    <row r="166" spans="2:5" x14ac:dyDescent="0.45">
      <c r="B166" t="s">
        <v>276</v>
      </c>
    </row>
    <row r="170" spans="2:5" x14ac:dyDescent="0.45">
      <c r="B170" s="18" t="s">
        <v>0</v>
      </c>
      <c r="C170" s="2" t="s">
        <v>278</v>
      </c>
      <c r="D170" s="2" t="s">
        <v>279</v>
      </c>
      <c r="E170" s="2" t="s">
        <v>280</v>
      </c>
    </row>
    <row r="171" spans="2:5" x14ac:dyDescent="0.45">
      <c r="B171" t="s">
        <v>281</v>
      </c>
    </row>
    <row r="172" spans="2:5" x14ac:dyDescent="0.45">
      <c r="B172" t="s">
        <v>282</v>
      </c>
    </row>
    <row r="173" spans="2:5" x14ac:dyDescent="0.45">
      <c r="B173" t="s">
        <v>283</v>
      </c>
    </row>
    <row r="174" spans="2:5" x14ac:dyDescent="0.45">
      <c r="B174" t="s">
        <v>284</v>
      </c>
    </row>
    <row r="175" spans="2:5" x14ac:dyDescent="0.45">
      <c r="B175" t="s">
        <v>285</v>
      </c>
    </row>
    <row r="176" spans="2:5" x14ac:dyDescent="0.45">
      <c r="B176" t="s">
        <v>286</v>
      </c>
    </row>
    <row r="177" spans="2:2" x14ac:dyDescent="0.45">
      <c r="B177" t="s">
        <v>287</v>
      </c>
    </row>
    <row r="178" spans="2:2" x14ac:dyDescent="0.45">
      <c r="B178" t="s">
        <v>288</v>
      </c>
    </row>
    <row r="181" spans="2:2" x14ac:dyDescent="0.45">
      <c r="B181" s="22" t="s">
        <v>289</v>
      </c>
    </row>
    <row r="182" spans="2:2" x14ac:dyDescent="0.45">
      <c r="B182" t="s">
        <v>290</v>
      </c>
    </row>
    <row r="183" spans="2:2" x14ac:dyDescent="0.45">
      <c r="B183" s="21" t="s">
        <v>291</v>
      </c>
    </row>
  </sheetData>
  <mergeCells count="65">
    <mergeCell ref="A19:B19"/>
    <mergeCell ref="A3:B3"/>
    <mergeCell ref="A4:B4"/>
    <mergeCell ref="A1:L1"/>
    <mergeCell ref="A23:B23"/>
    <mergeCell ref="A5:B5"/>
    <mergeCell ref="A6:A8"/>
    <mergeCell ref="A9:B9"/>
    <mergeCell ref="A10:A13"/>
    <mergeCell ref="A15:A18"/>
    <mergeCell ref="A24:B24"/>
    <mergeCell ref="A25:B25"/>
    <mergeCell ref="A26:A28"/>
    <mergeCell ref="A29:B29"/>
    <mergeCell ref="A30:A33"/>
    <mergeCell ref="A35:A38"/>
    <mergeCell ref="A39:B39"/>
    <mergeCell ref="A43:B43"/>
    <mergeCell ref="A44:B44"/>
    <mergeCell ref="A45:B45"/>
    <mergeCell ref="A46:A48"/>
    <mergeCell ref="A49:B49"/>
    <mergeCell ref="A50:A53"/>
    <mergeCell ref="A55:A58"/>
    <mergeCell ref="A59:B59"/>
    <mergeCell ref="A63:B63"/>
    <mergeCell ref="A64:B64"/>
    <mergeCell ref="A65:B65"/>
    <mergeCell ref="A66:A68"/>
    <mergeCell ref="A69:B69"/>
    <mergeCell ref="A70:A73"/>
    <mergeCell ref="A75:A78"/>
    <mergeCell ref="A79:B79"/>
    <mergeCell ref="A83:B83"/>
    <mergeCell ref="A84:B84"/>
    <mergeCell ref="A99:B99"/>
    <mergeCell ref="A85:B85"/>
    <mergeCell ref="A86:A88"/>
    <mergeCell ref="A89:B89"/>
    <mergeCell ref="A90:A93"/>
    <mergeCell ref="A95:A98"/>
    <mergeCell ref="A103:B103"/>
    <mergeCell ref="A104:B104"/>
    <mergeCell ref="A105:B105"/>
    <mergeCell ref="A106:A108"/>
    <mergeCell ref="A109:B109"/>
    <mergeCell ref="A110:A113"/>
    <mergeCell ref="A115:A118"/>
    <mergeCell ref="A119:B119"/>
    <mergeCell ref="A123:B123"/>
    <mergeCell ref="A124:B124"/>
    <mergeCell ref="A125:B125"/>
    <mergeCell ref="A126:A128"/>
    <mergeCell ref="A129:B129"/>
    <mergeCell ref="A130:A133"/>
    <mergeCell ref="A135:A138"/>
    <mergeCell ref="A149:B149"/>
    <mergeCell ref="A150:A153"/>
    <mergeCell ref="A155:A158"/>
    <mergeCell ref="A159:B159"/>
    <mergeCell ref="A139:B139"/>
    <mergeCell ref="A143:B143"/>
    <mergeCell ref="A144:B144"/>
    <mergeCell ref="A145:B145"/>
    <mergeCell ref="A146:A148"/>
  </mergeCell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A3C4-82E0-425A-898F-08E8204D8D28}">
  <dimension ref="A1:AI173"/>
  <sheetViews>
    <sheetView zoomScale="128" zoomScaleNormal="80" workbookViewId="0">
      <selection activeCell="AF151" sqref="AF151"/>
    </sheetView>
  </sheetViews>
  <sheetFormatPr defaultRowHeight="14.25" x14ac:dyDescent="0.45"/>
  <sheetData>
    <row r="1" spans="1:35" x14ac:dyDescent="0.45">
      <c r="B1" s="49" t="s">
        <v>294</v>
      </c>
      <c r="C1" s="49"/>
      <c r="D1" s="49"/>
      <c r="E1" s="49"/>
      <c r="F1" s="49"/>
      <c r="G1" s="49"/>
      <c r="I1" s="49" t="s">
        <v>295</v>
      </c>
      <c r="J1" s="49"/>
      <c r="K1" s="49"/>
      <c r="L1" s="49"/>
      <c r="M1" s="49"/>
      <c r="N1" s="49"/>
    </row>
    <row r="2" spans="1:35" s="21" customFormat="1" x14ac:dyDescent="0.45">
      <c r="A2" s="21" t="s">
        <v>7</v>
      </c>
      <c r="B2" s="21">
        <f>8192*'5qubits'!C15/100</f>
        <v>3796.0089600000001</v>
      </c>
      <c r="C2" s="21">
        <f>8192*'5qubits'!D15/100</f>
        <v>3854.0083199999999</v>
      </c>
      <c r="D2" s="21">
        <f>8192*'5qubits'!E15/100</f>
        <v>3795.02592</v>
      </c>
      <c r="E2" s="21">
        <f>8192*'5qubits'!F15/100</f>
        <v>4385.9967999999999</v>
      </c>
      <c r="F2" s="21">
        <f>8192*'5qubits'!G15/100</f>
        <v>4548.0345600000001</v>
      </c>
      <c r="G2" s="21">
        <f>8192*'5qubits'!H15/100</f>
        <v>4444.9791999999998</v>
      </c>
      <c r="H2" s="21" t="s">
        <v>7</v>
      </c>
      <c r="I2" s="21">
        <f>8192*'5qubits'!I15/100</f>
        <v>3449.9788799999997</v>
      </c>
      <c r="J2" s="21">
        <f>8192*'5qubits'!J15/100</f>
        <v>3347.0054399999999</v>
      </c>
      <c r="K2" s="21">
        <f>8192*'5qubits'!K15/100</f>
        <v>3280.9779200000003</v>
      </c>
      <c r="L2" s="21">
        <f>8192*'5qubits'!L15/100</f>
        <v>3525.0176000000001</v>
      </c>
      <c r="M2" s="21">
        <f>8192*'5qubits'!M15/100</f>
        <v>3502.9811200000004</v>
      </c>
      <c r="N2" s="21">
        <f>8192*'5qubits'!N15/100</f>
        <v>3464.9702399999996</v>
      </c>
      <c r="O2" s="21" t="s">
        <v>7</v>
      </c>
      <c r="P2" s="21">
        <f>8192*'5qubits'!O15/100</f>
        <v>3506.1759999999999</v>
      </c>
      <c r="Q2" s="21">
        <f>8192*'5qubits'!P15/100</f>
        <v>3669.0329599999995</v>
      </c>
      <c r="R2" s="21">
        <f>8192*'5qubits'!Q15/100</f>
        <v>3348.9715200000001</v>
      </c>
      <c r="S2" s="21">
        <f>8192*'5qubits'!R15/100</f>
        <v>3675.0131199999996</v>
      </c>
      <c r="T2" s="21">
        <f>8192*'5qubits'!S15/100</f>
        <v>3810.01728</v>
      </c>
      <c r="U2" s="21">
        <f>8192*'5qubits'!T15/100</f>
        <v>3515.0233600000001</v>
      </c>
      <c r="V2" s="21" t="s">
        <v>7</v>
      </c>
      <c r="W2" s="21">
        <f>8192*'5qubits'!U15/100</f>
        <v>3602.0223999999998</v>
      </c>
      <c r="X2" s="21">
        <f>8192*'5qubits'!V15/100</f>
        <v>3565.9776000000002</v>
      </c>
      <c r="Y2" s="21">
        <f>8192*'5qubits'!W15/100</f>
        <v>3390.0134399999997</v>
      </c>
      <c r="Z2" s="21">
        <f>8192*'5qubits'!X15/100</f>
        <v>3622.9939199999999</v>
      </c>
      <c r="AA2" s="21">
        <f>8192*'5qubits'!Y15/100</f>
        <v>3675.9961599999997</v>
      </c>
      <c r="AB2" s="21">
        <f>8192*'5qubits'!Z15/100</f>
        <v>3666.0019199999997</v>
      </c>
      <c r="AC2" s="21" t="s">
        <v>7</v>
      </c>
      <c r="AD2" s="21">
        <f>8192*'5qubits'!AA15/100</f>
        <v>3933.9622399999998</v>
      </c>
      <c r="AE2" s="21">
        <f>8192*'5qubits'!AB15/100</f>
        <v>4041.0316800000001</v>
      </c>
      <c r="AF2" s="21">
        <f>8192*'5qubits'!AC15/100</f>
        <v>3828.0396799999999</v>
      </c>
      <c r="AG2" s="21">
        <f>8192*'5qubits'!AD15/100</f>
        <v>4476.0268800000003</v>
      </c>
      <c r="AH2" s="21">
        <f>8192*'5qubits'!AE15/100</f>
        <v>4532.9612800000004</v>
      </c>
      <c r="AI2" s="21">
        <f>8192*'5qubits'!AF15/100</f>
        <v>4506.0096000000003</v>
      </c>
    </row>
    <row r="3" spans="1:35" s="21" customFormat="1" x14ac:dyDescent="0.45">
      <c r="B3" s="21">
        <f>8192*'5qubits'!C16/100</f>
        <v>2139.0131200000001</v>
      </c>
      <c r="C3" s="21">
        <f>8192*'5qubits'!D16/100</f>
        <v>2119.0246400000001</v>
      </c>
      <c r="D3" s="21">
        <f>8192*'5qubits'!E16/100</f>
        <v>2159.9846400000001</v>
      </c>
      <c r="E3" s="21">
        <f>8192*'5qubits'!F16/100</f>
        <v>1769.9635200000002</v>
      </c>
      <c r="F3" s="21">
        <f>8192*'5qubits'!G16/100</f>
        <v>1815.0195199999998</v>
      </c>
      <c r="G3" s="21">
        <f>8192*'5qubits'!H16/100</f>
        <v>1766.0313599999999</v>
      </c>
      <c r="I3" s="21">
        <f>8192*'5qubits'!I16/100</f>
        <v>1785.0367999999999</v>
      </c>
      <c r="J3" s="21">
        <f>8192*'5qubits'!J16/100</f>
        <v>1863.0246400000001</v>
      </c>
      <c r="K3" s="21">
        <f>8192*'5qubits'!K16/100</f>
        <v>1821.98272</v>
      </c>
      <c r="L3" s="21">
        <f>8192*'5qubits'!L16/100</f>
        <v>1816.9856</v>
      </c>
      <c r="M3" s="21">
        <f>8192*'5qubits'!M16/100</f>
        <v>1932.00128</v>
      </c>
      <c r="N3" s="21">
        <f>8192*'5qubits'!N16/100</f>
        <v>1883.0131200000001</v>
      </c>
      <c r="P3" s="21">
        <f>8192*'5qubits'!O16/100</f>
        <v>2202.0095999999999</v>
      </c>
      <c r="Q3" s="21">
        <f>8192*'5qubits'!P16/100</f>
        <v>2145.9763200000002</v>
      </c>
      <c r="R3" s="21">
        <f>8192*'5qubits'!Q16/100</f>
        <v>2207.0067199999999</v>
      </c>
      <c r="S3" s="21">
        <f>8192*'5qubits'!R16/100</f>
        <v>2333.98272</v>
      </c>
      <c r="T3" s="21">
        <f>8192*'5qubits'!S16/100</f>
        <v>2295.9718400000002</v>
      </c>
      <c r="U3" s="21">
        <f>8192*'5qubits'!T16/100</f>
        <v>2357.0022399999998</v>
      </c>
      <c r="W3" s="21">
        <f>8192*'5qubits'!U16/100</f>
        <v>1989.0176000000001</v>
      </c>
      <c r="X3" s="21">
        <f>8192*'5qubits'!V16/100</f>
        <v>2169.9788800000001</v>
      </c>
      <c r="Y3" s="21">
        <f>8192*'5qubits'!W16/100</f>
        <v>2228.96128</v>
      </c>
      <c r="Z3" s="21">
        <f>8192*'5qubits'!X16/100</f>
        <v>2376.9907199999998</v>
      </c>
      <c r="AA3" s="21">
        <f>8192*'5qubits'!Y16/100</f>
        <v>2466.0377600000002</v>
      </c>
      <c r="AB3" s="21">
        <f>8192*'5qubits'!Z16/100</f>
        <v>2405.0073600000001</v>
      </c>
      <c r="AD3" s="21">
        <f>8192*'5qubits'!AA16/100</f>
        <v>1932.98432</v>
      </c>
      <c r="AE3" s="21">
        <f>8192*'5qubits'!AB16/100</f>
        <v>1841.9712</v>
      </c>
      <c r="AF3" s="21">
        <f>8192*'5qubits'!AC16/100</f>
        <v>2077.98272</v>
      </c>
      <c r="AG3" s="21">
        <f>8192*'5qubits'!AD16/100</f>
        <v>1670.0211199999999</v>
      </c>
      <c r="AH3" s="21">
        <f>8192*'5qubits'!AE16/100</f>
        <v>1733.0176000000001</v>
      </c>
      <c r="AI3" s="21">
        <f>8192*'5qubits'!AF16/100</f>
        <v>1613.9878400000002</v>
      </c>
    </row>
    <row r="4" spans="1:35" s="21" customFormat="1" x14ac:dyDescent="0.45">
      <c r="B4" s="21">
        <f>8192*'5qubits'!C17/100</f>
        <v>1251.0003200000001</v>
      </c>
      <c r="C4" s="21">
        <f>8192*'5qubits'!D17/100</f>
        <v>1247.96928</v>
      </c>
      <c r="D4" s="21">
        <f>8192*'5qubits'!E17/100</f>
        <v>1280</v>
      </c>
      <c r="E4" s="21">
        <f>8192*'5qubits'!F17/100</f>
        <v>1313.0137599999998</v>
      </c>
      <c r="F4" s="21">
        <f>8192*'5qubits'!G17/100</f>
        <v>1148.0268799999999</v>
      </c>
      <c r="G4" s="21">
        <f>8192*'5qubits'!H17/100</f>
        <v>1178.9926399999999</v>
      </c>
      <c r="I4" s="21">
        <f>8192*'5qubits'!I17/100</f>
        <v>1759.9692800000003</v>
      </c>
      <c r="J4" s="21">
        <f>8192*'5qubits'!J17/100</f>
        <v>1744.9779199999998</v>
      </c>
      <c r="K4" s="21">
        <f>8192*'5qubits'!K17/100</f>
        <v>1824.0307199999997</v>
      </c>
      <c r="L4" s="21">
        <f>8192*'5qubits'!L17/100</f>
        <v>1785.0367999999999</v>
      </c>
      <c r="M4" s="21">
        <f>8192*'5qubits'!M17/100</f>
        <v>1800.0281599999998</v>
      </c>
      <c r="N4" s="21">
        <f>8192*'5qubits'!N17/100</f>
        <v>1774.9606400000002</v>
      </c>
      <c r="P4" s="21">
        <f>8192*'5qubits'!O17/100</f>
        <v>1564.0166399999998</v>
      </c>
      <c r="Q4" s="21">
        <f>8192*'5qubits'!P17/100</f>
        <v>1492.0089600000001</v>
      </c>
      <c r="R4" s="21">
        <f>8192*'5qubits'!Q17/100</f>
        <v>1576.96</v>
      </c>
      <c r="S4" s="21">
        <f>8192*'5qubits'!R17/100</f>
        <v>1343.9795199999999</v>
      </c>
      <c r="T4" s="21">
        <f>8192*'5qubits'!S17/100</f>
        <v>1294.0083199999999</v>
      </c>
      <c r="U4" s="21">
        <f>8192*'5qubits'!T17/100</f>
        <v>1420.98432</v>
      </c>
      <c r="W4" s="21">
        <f>8192*'5qubits'!U17/100</f>
        <v>1666.00704</v>
      </c>
      <c r="X4" s="21">
        <f>8192*'5qubits'!V17/100</f>
        <v>1521.00864</v>
      </c>
      <c r="Y4" s="21">
        <f>8192*'5qubits'!W17/100</f>
        <v>1569.0137599999998</v>
      </c>
      <c r="Z4" s="21">
        <f>8192*'5qubits'!X17/100</f>
        <v>1381.0073600000001</v>
      </c>
      <c r="AA4" s="21">
        <f>8192*'5qubits'!Y17/100</f>
        <v>1220.0345600000001</v>
      </c>
      <c r="AB4" s="21">
        <f>8192*'5qubits'!Z17/100</f>
        <v>1246.0032000000001</v>
      </c>
      <c r="AD4" s="21">
        <f>8192*'5qubits'!AA17/100</f>
        <v>1341.0304000000001</v>
      </c>
      <c r="AE4" s="21">
        <f>8192*'5qubits'!AB17/100</f>
        <v>1314.97984</v>
      </c>
      <c r="AF4" s="21">
        <f>8192*'5qubits'!AC17/100</f>
        <v>1284.0140799999999</v>
      </c>
      <c r="AG4" s="21">
        <f>8192*'5qubits'!AD17/100</f>
        <v>1308.0166400000001</v>
      </c>
      <c r="AH4" s="21">
        <f>8192*'5qubits'!AE17/100</f>
        <v>1227.9808</v>
      </c>
      <c r="AI4" s="21">
        <f>8192*'5qubits'!AF17/100</f>
        <v>1309.98272</v>
      </c>
    </row>
    <row r="5" spans="1:35" s="21" customFormat="1" x14ac:dyDescent="0.45">
      <c r="B5" s="21">
        <f>8192*'5qubits'!C18/100</f>
        <v>1005.9775999999999</v>
      </c>
      <c r="C5" s="21">
        <f>8192*'5qubits'!D18/100</f>
        <v>970.99775999999997</v>
      </c>
      <c r="D5" s="21">
        <f>8192*'5qubits'!E18/100</f>
        <v>956.98944000000006</v>
      </c>
      <c r="E5" s="21">
        <f>8192*'5qubits'!F18/100</f>
        <v>723.02592000000004</v>
      </c>
      <c r="F5" s="21">
        <f>8192*'5qubits'!G18/100</f>
        <v>681.00096000000008</v>
      </c>
      <c r="G5" s="21">
        <f>8192*'5qubits'!H18/100</f>
        <v>801.99679999999989</v>
      </c>
      <c r="I5" s="21">
        <f>8192*'5qubits'!I18/100</f>
        <v>1197.01504</v>
      </c>
      <c r="J5" s="21">
        <f>8192*'5qubits'!J18/100</f>
        <v>1236.992</v>
      </c>
      <c r="K5" s="21">
        <f>8192*'5qubits'!K18/100</f>
        <v>1265.00864</v>
      </c>
      <c r="L5" s="21">
        <f>8192*'5qubits'!L18/100</f>
        <v>1064.96</v>
      </c>
      <c r="M5" s="21">
        <f>8192*'5qubits'!M18/100</f>
        <v>956.98944000000006</v>
      </c>
      <c r="N5" s="21">
        <f>8192*'5qubits'!N18/100</f>
        <v>1068.97408</v>
      </c>
      <c r="P5" s="21">
        <f>8192*'5qubits'!O18/100</f>
        <v>918.97856000000002</v>
      </c>
      <c r="Q5" s="21">
        <f>8192*'5qubits'!P18/100</f>
        <v>884.98176000000012</v>
      </c>
      <c r="R5" s="21">
        <f>8192*'5qubits'!Q18/100</f>
        <v>1058.97984</v>
      </c>
      <c r="S5" s="21">
        <f>8192*'5qubits'!R18/100</f>
        <v>839.02464000000009</v>
      </c>
      <c r="T5" s="21">
        <f>8192*'5qubits'!S18/100</f>
        <v>792.0025599999999</v>
      </c>
      <c r="U5" s="21">
        <f>8192*'5qubits'!T18/100</f>
        <v>898.99008000000003</v>
      </c>
      <c r="W5" s="21">
        <f>8192*'5qubits'!U18/100</f>
        <v>935.03487999999993</v>
      </c>
      <c r="X5" s="21">
        <f>8192*'5qubits'!V18/100</f>
        <v>935.03487999999993</v>
      </c>
      <c r="Y5" s="21">
        <f>8192*'5qubits'!W18/100</f>
        <v>1004.01152</v>
      </c>
      <c r="Z5" s="21">
        <f>8192*'5qubits'!X18/100</f>
        <v>811.00800000000004</v>
      </c>
      <c r="AA5" s="21">
        <f>8192*'5qubits'!Y18/100</f>
        <v>830.01343999999995</v>
      </c>
      <c r="AB5" s="21">
        <f>8192*'5qubits'!Z18/100</f>
        <v>874.9875199999999</v>
      </c>
      <c r="AD5" s="21">
        <f>8192*'5qubits'!AA18/100</f>
        <v>984.02304000000004</v>
      </c>
      <c r="AE5" s="21">
        <f>8192*'5qubits'!AB18/100</f>
        <v>994.01728000000003</v>
      </c>
      <c r="AF5" s="21">
        <f>8192*'5qubits'!AC18/100</f>
        <v>1001.96352</v>
      </c>
      <c r="AG5" s="21">
        <f>8192*'5qubits'!AD18/100</f>
        <v>738.01728000000003</v>
      </c>
      <c r="AH5" s="21">
        <f>8192*'5qubits'!AE18/100</f>
        <v>698.04032000000007</v>
      </c>
      <c r="AI5" s="21">
        <f>8192*'5qubits'!AF18/100</f>
        <v>762.01983999999993</v>
      </c>
    </row>
    <row r="6" spans="1:35" s="21" customFormat="1" x14ac:dyDescent="0.45">
      <c r="B6" s="21">
        <f t="shared" ref="B6:G6" si="0">SUM(B2:B5)</f>
        <v>8192</v>
      </c>
      <c r="C6" s="21">
        <f t="shared" si="0"/>
        <v>8192</v>
      </c>
      <c r="D6" s="21">
        <f t="shared" si="0"/>
        <v>8192</v>
      </c>
      <c r="E6" s="21">
        <f t="shared" si="0"/>
        <v>8192</v>
      </c>
      <c r="F6" s="21">
        <f t="shared" si="0"/>
        <v>8192.0819199999987</v>
      </c>
      <c r="G6" s="21">
        <f t="shared" si="0"/>
        <v>8191.9999999999991</v>
      </c>
      <c r="I6" s="21">
        <f t="shared" ref="I6:N6" si="1">SUM(I2:I5)</f>
        <v>8192</v>
      </c>
      <c r="J6" s="21">
        <f t="shared" si="1"/>
        <v>8192</v>
      </c>
      <c r="K6" s="21">
        <f t="shared" si="1"/>
        <v>8192</v>
      </c>
      <c r="L6" s="21">
        <f t="shared" si="1"/>
        <v>8192</v>
      </c>
      <c r="M6" s="21">
        <f t="shared" si="1"/>
        <v>8192</v>
      </c>
      <c r="N6" s="21">
        <f t="shared" si="1"/>
        <v>8191.9180800000004</v>
      </c>
      <c r="P6" s="21">
        <f t="shared" ref="P6:U6" si="2">SUM(P2:P5)</f>
        <v>8191.1808000000001</v>
      </c>
      <c r="Q6" s="21">
        <f t="shared" si="2"/>
        <v>8192</v>
      </c>
      <c r="R6" s="21">
        <f t="shared" si="2"/>
        <v>8191.9180800000004</v>
      </c>
      <c r="S6" s="21">
        <f t="shared" si="2"/>
        <v>8192</v>
      </c>
      <c r="T6" s="21">
        <f t="shared" si="2"/>
        <v>8192</v>
      </c>
      <c r="U6" s="21">
        <f t="shared" si="2"/>
        <v>8192</v>
      </c>
      <c r="W6" s="21">
        <f t="shared" ref="W6:AB6" si="3">SUM(W2:W5)</f>
        <v>8192.0819199999987</v>
      </c>
      <c r="X6" s="21">
        <f t="shared" si="3"/>
        <v>8192</v>
      </c>
      <c r="Y6" s="21">
        <f t="shared" si="3"/>
        <v>8192</v>
      </c>
      <c r="Z6" s="21">
        <f t="shared" si="3"/>
        <v>8192</v>
      </c>
      <c r="AA6" s="21">
        <f t="shared" si="3"/>
        <v>8192.0819200000005</v>
      </c>
      <c r="AB6" s="21">
        <f t="shared" si="3"/>
        <v>8192</v>
      </c>
      <c r="AD6" s="21">
        <f t="shared" ref="AD6:AI6" si="4">SUM(AD2:AD5)</f>
        <v>8192</v>
      </c>
      <c r="AE6" s="21">
        <f t="shared" si="4"/>
        <v>8192</v>
      </c>
      <c r="AF6" s="21">
        <f t="shared" si="4"/>
        <v>8192</v>
      </c>
      <c r="AG6" s="21">
        <f t="shared" si="4"/>
        <v>8192.0819200000005</v>
      </c>
      <c r="AH6" s="21">
        <f t="shared" si="4"/>
        <v>8192</v>
      </c>
      <c r="AI6" s="21">
        <f t="shared" si="4"/>
        <v>8192</v>
      </c>
    </row>
    <row r="7" spans="1:35" x14ac:dyDescent="0.45">
      <c r="B7" s="49" t="s">
        <v>296</v>
      </c>
      <c r="C7" s="49"/>
      <c r="D7" s="49"/>
      <c r="E7" s="49"/>
      <c r="F7" s="49"/>
      <c r="G7" s="49"/>
      <c r="I7" s="49" t="s">
        <v>296</v>
      </c>
      <c r="J7" s="49"/>
      <c r="K7" s="49"/>
      <c r="L7" s="49"/>
      <c r="M7" s="49"/>
      <c r="N7" s="49"/>
    </row>
    <row r="8" spans="1:35" x14ac:dyDescent="0.45">
      <c r="A8" s="21" t="s">
        <v>7</v>
      </c>
      <c r="B8" s="25">
        <v>3795.02592</v>
      </c>
      <c r="C8">
        <v>3796.0089600000001</v>
      </c>
      <c r="D8">
        <v>3854.0083199999999</v>
      </c>
      <c r="E8">
        <v>4385.9967999999999</v>
      </c>
      <c r="F8">
        <v>4444.9791999999998</v>
      </c>
      <c r="G8" s="26">
        <v>4548.0345600000001</v>
      </c>
      <c r="H8" s="21" t="s">
        <v>7</v>
      </c>
      <c r="I8" s="25">
        <v>3280.9779200000003</v>
      </c>
      <c r="J8">
        <v>3347.0054399999999</v>
      </c>
      <c r="K8">
        <v>3449.9788799999997</v>
      </c>
      <c r="L8">
        <v>3464.9702399999996</v>
      </c>
      <c r="M8">
        <v>3502.9811200000004</v>
      </c>
      <c r="N8" s="26">
        <v>3525.0176000000001</v>
      </c>
      <c r="O8" s="21" t="s">
        <v>7</v>
      </c>
      <c r="P8">
        <v>3348.9715200000001</v>
      </c>
      <c r="Q8">
        <v>3506.1759999999999</v>
      </c>
      <c r="R8">
        <v>3669.0329599999995</v>
      </c>
      <c r="S8">
        <v>3515.0233600000001</v>
      </c>
      <c r="T8">
        <v>3675.0131199999996</v>
      </c>
      <c r="U8" s="26">
        <v>3810.01728</v>
      </c>
      <c r="V8" s="21" t="s">
        <v>7</v>
      </c>
      <c r="W8" s="25">
        <v>3390.0134399999997</v>
      </c>
      <c r="X8">
        <v>3565.9776000000002</v>
      </c>
      <c r="Y8">
        <v>3602.0223999999998</v>
      </c>
      <c r="Z8">
        <v>3622.9939199999999</v>
      </c>
      <c r="AA8">
        <v>3666.0019199999997</v>
      </c>
      <c r="AB8" s="28">
        <v>3675.9961599999997</v>
      </c>
      <c r="AC8" s="21" t="s">
        <v>7</v>
      </c>
      <c r="AD8" s="25">
        <v>3828.0396799999999</v>
      </c>
      <c r="AE8">
        <v>3933.9622399999998</v>
      </c>
      <c r="AF8">
        <v>4041.0316800000001</v>
      </c>
      <c r="AG8">
        <v>4476.0268800000003</v>
      </c>
      <c r="AH8">
        <v>4506.0096000000003</v>
      </c>
      <c r="AI8" s="26">
        <v>4532.9612800000004</v>
      </c>
    </row>
    <row r="9" spans="1:35" x14ac:dyDescent="0.45">
      <c r="B9" s="25">
        <v>2159.9846400000001</v>
      </c>
      <c r="C9">
        <v>2139.0131200000001</v>
      </c>
      <c r="D9">
        <v>2119.0246400000001</v>
      </c>
      <c r="E9">
        <v>1769.9635200000002</v>
      </c>
      <c r="F9">
        <v>1766.0313599999999</v>
      </c>
      <c r="G9" s="26">
        <v>1815.0195199999998</v>
      </c>
      <c r="I9" s="25">
        <v>1821.98272</v>
      </c>
      <c r="J9">
        <v>1863.0246400000001</v>
      </c>
      <c r="K9">
        <v>1785.0367999999999</v>
      </c>
      <c r="L9">
        <v>1883.0131200000001</v>
      </c>
      <c r="M9">
        <v>1932.00128</v>
      </c>
      <c r="N9" s="26">
        <v>1816.9856</v>
      </c>
      <c r="P9">
        <v>2207.0067199999999</v>
      </c>
      <c r="Q9">
        <v>2202.0095999999999</v>
      </c>
      <c r="R9">
        <v>2145.9763200000002</v>
      </c>
      <c r="S9">
        <v>2357.0022399999998</v>
      </c>
      <c r="T9">
        <v>2333.98272</v>
      </c>
      <c r="U9" s="26">
        <v>2295.9718400000002</v>
      </c>
      <c r="W9" s="25">
        <v>2228.96128</v>
      </c>
      <c r="X9">
        <v>2169.9788800000001</v>
      </c>
      <c r="Y9">
        <v>1989.0176000000001</v>
      </c>
      <c r="Z9">
        <v>2376.9907199999998</v>
      </c>
      <c r="AA9">
        <v>2405.0073600000001</v>
      </c>
      <c r="AB9" s="28">
        <v>2466.0377600000002</v>
      </c>
      <c r="AD9" s="25">
        <v>2077.98272</v>
      </c>
      <c r="AE9">
        <v>1932.98432</v>
      </c>
      <c r="AF9">
        <v>1841.9712</v>
      </c>
      <c r="AG9">
        <v>1670.0211199999999</v>
      </c>
      <c r="AH9">
        <v>1613.9878400000002</v>
      </c>
      <c r="AI9" s="26">
        <v>1733.0176000000001</v>
      </c>
    </row>
    <row r="10" spans="1:35" x14ac:dyDescent="0.45">
      <c r="B10" s="25">
        <v>1280</v>
      </c>
      <c r="C10">
        <v>1251.0003200000001</v>
      </c>
      <c r="D10">
        <v>1247.96928</v>
      </c>
      <c r="E10">
        <v>1313.0137599999998</v>
      </c>
      <c r="F10">
        <v>1178.9926399999999</v>
      </c>
      <c r="G10" s="26">
        <v>1148.0268799999999</v>
      </c>
      <c r="I10" s="25">
        <v>1824.0307199999997</v>
      </c>
      <c r="J10">
        <v>1744.9779199999998</v>
      </c>
      <c r="K10">
        <v>1759.9692800000003</v>
      </c>
      <c r="L10">
        <v>1774.9606400000002</v>
      </c>
      <c r="M10">
        <v>1800.0281599999998</v>
      </c>
      <c r="N10" s="26">
        <v>1785.0367999999999</v>
      </c>
      <c r="P10">
        <v>1576.96</v>
      </c>
      <c r="Q10">
        <v>1564.0166399999998</v>
      </c>
      <c r="R10">
        <v>1492.0089600000001</v>
      </c>
      <c r="S10">
        <v>1420.98432</v>
      </c>
      <c r="T10">
        <v>1343.9795199999999</v>
      </c>
      <c r="U10" s="26">
        <v>1294.0083199999999</v>
      </c>
      <c r="W10" s="25">
        <v>1569.0137599999998</v>
      </c>
      <c r="X10">
        <v>1521.00864</v>
      </c>
      <c r="Y10">
        <v>1666.00704</v>
      </c>
      <c r="Z10">
        <v>1381.0073600000001</v>
      </c>
      <c r="AA10">
        <v>1246.0032000000001</v>
      </c>
      <c r="AB10" s="28">
        <v>1220.0345600000001</v>
      </c>
      <c r="AD10" s="25">
        <v>1284.0140799999999</v>
      </c>
      <c r="AE10">
        <v>1341.0304000000001</v>
      </c>
      <c r="AF10">
        <v>1314.97984</v>
      </c>
      <c r="AG10">
        <v>1308.0166400000001</v>
      </c>
      <c r="AH10">
        <v>1309.98272</v>
      </c>
      <c r="AI10" s="26">
        <v>1227.9808</v>
      </c>
    </row>
    <row r="11" spans="1:35" x14ac:dyDescent="0.45">
      <c r="B11" s="25">
        <v>956.98944000000006</v>
      </c>
      <c r="C11">
        <v>1005.9775999999999</v>
      </c>
      <c r="D11">
        <v>970.99775999999997</v>
      </c>
      <c r="E11">
        <v>723.02592000000004</v>
      </c>
      <c r="F11">
        <v>801.99679999999989</v>
      </c>
      <c r="G11" s="26">
        <v>681.00096000000008</v>
      </c>
      <c r="I11" s="25">
        <v>1265.00864</v>
      </c>
      <c r="J11">
        <v>1236.992</v>
      </c>
      <c r="K11">
        <v>1197.01504</v>
      </c>
      <c r="L11">
        <v>1068.97408</v>
      </c>
      <c r="M11">
        <v>956.98944000000006</v>
      </c>
      <c r="N11" s="26">
        <v>1064.96</v>
      </c>
      <c r="P11">
        <v>1058.97984</v>
      </c>
      <c r="Q11">
        <v>918.97856000000002</v>
      </c>
      <c r="R11">
        <v>884.98176000000012</v>
      </c>
      <c r="S11">
        <v>898.99008000000003</v>
      </c>
      <c r="T11">
        <v>839.02464000000009</v>
      </c>
      <c r="U11" s="26">
        <v>792.0025599999999</v>
      </c>
      <c r="W11" s="25">
        <v>1004.01152</v>
      </c>
      <c r="X11">
        <v>935.03487999999993</v>
      </c>
      <c r="Y11">
        <v>935.03487999999993</v>
      </c>
      <c r="Z11">
        <v>811.00800000000004</v>
      </c>
      <c r="AA11">
        <v>874.9875199999999</v>
      </c>
      <c r="AB11" s="28">
        <v>830.01343999999995</v>
      </c>
      <c r="AD11" s="25">
        <v>1001.96352</v>
      </c>
      <c r="AE11">
        <v>984.02304000000004</v>
      </c>
      <c r="AF11">
        <v>994.01728000000003</v>
      </c>
      <c r="AG11">
        <v>738.01728000000003</v>
      </c>
      <c r="AH11">
        <v>762.01983999999993</v>
      </c>
      <c r="AI11" s="26">
        <v>698.04032000000007</v>
      </c>
    </row>
    <row r="12" spans="1:35" x14ac:dyDescent="0.45">
      <c r="B12">
        <v>8192</v>
      </c>
      <c r="C12">
        <v>8192</v>
      </c>
      <c r="D12">
        <v>8192</v>
      </c>
      <c r="E12">
        <v>8192</v>
      </c>
      <c r="F12">
        <v>8191.9999999999991</v>
      </c>
      <c r="G12">
        <v>8192.0819199999987</v>
      </c>
      <c r="I12">
        <v>8192</v>
      </c>
      <c r="J12">
        <v>8192</v>
      </c>
      <c r="K12">
        <v>8192</v>
      </c>
      <c r="L12">
        <v>8191.9180800000004</v>
      </c>
      <c r="M12">
        <v>8192</v>
      </c>
      <c r="N12">
        <v>8192</v>
      </c>
      <c r="P12">
        <v>8191.9180800000004</v>
      </c>
      <c r="Q12">
        <v>8191.1808000000001</v>
      </c>
      <c r="R12">
        <v>8192</v>
      </c>
      <c r="S12">
        <v>8192</v>
      </c>
      <c r="T12">
        <v>8192</v>
      </c>
      <c r="U12">
        <v>8192</v>
      </c>
      <c r="W12">
        <v>8192</v>
      </c>
      <c r="X12">
        <v>8192</v>
      </c>
      <c r="Y12">
        <v>8192.0819199999987</v>
      </c>
      <c r="Z12">
        <v>8192</v>
      </c>
      <c r="AA12">
        <v>8192</v>
      </c>
      <c r="AB12" s="27">
        <v>8192.0819200000005</v>
      </c>
      <c r="AD12">
        <v>8192</v>
      </c>
      <c r="AE12">
        <v>8192</v>
      </c>
      <c r="AF12">
        <v>8192</v>
      </c>
      <c r="AG12">
        <v>8192.0819200000005</v>
      </c>
      <c r="AH12">
        <v>8192</v>
      </c>
      <c r="AI12">
        <v>8192</v>
      </c>
    </row>
    <row r="14" spans="1:35" s="21" customFormat="1" x14ac:dyDescent="0.45">
      <c r="A14" s="21" t="s">
        <v>58</v>
      </c>
      <c r="B14" s="21">
        <f>8192*'5qubits'!C35/100</f>
        <v>2304.9830400000001</v>
      </c>
      <c r="C14" s="21">
        <f>8192*'5qubits'!D35/100</f>
        <v>2473.0009599999998</v>
      </c>
      <c r="D14" s="21">
        <f>8192*'5qubits'!E35/100</f>
        <v>2978.0377600000002</v>
      </c>
      <c r="E14" s="21">
        <f>8192*'5qubits'!F35/100</f>
        <v>3128.0332799999996</v>
      </c>
      <c r="F14" s="21">
        <f>8192*'5qubits'!G35/100</f>
        <v>2835.0054399999999</v>
      </c>
      <c r="G14" s="21">
        <f>8192*'5qubits'!H35/100</f>
        <v>3324.9689600000002</v>
      </c>
      <c r="H14" s="21" t="s">
        <v>58</v>
      </c>
      <c r="I14" s="21">
        <f>8192*'5qubits'!I35/100</f>
        <v>2820.99712</v>
      </c>
      <c r="J14" s="21">
        <f>8192*'5qubits'!J35/100</f>
        <v>2353.9712</v>
      </c>
      <c r="K14" s="21">
        <f>8192*'5qubits'!K35/100</f>
        <v>2616.0332800000001</v>
      </c>
      <c r="L14" s="21">
        <f>8192*'5qubits'!L35/100</f>
        <v>2574.0083199999999</v>
      </c>
      <c r="M14" s="21">
        <f>8192*'5qubits'!M35/100</f>
        <v>2304.9830400000001</v>
      </c>
      <c r="N14" s="21">
        <f>8192*'5qubits'!N35/100</f>
        <v>2690.0070400000004</v>
      </c>
      <c r="O14" s="21" t="s">
        <v>58</v>
      </c>
      <c r="P14" s="21">
        <f>8192*'5qubits'!O35/100</f>
        <v>2295.9718400000002</v>
      </c>
      <c r="Q14" s="21">
        <f>8192*'5qubits'!P35/100</f>
        <v>2768.9779200000003</v>
      </c>
      <c r="R14" s="21">
        <f>8192*'5qubits'!Q35/100</f>
        <v>3081.0111999999999</v>
      </c>
      <c r="S14" s="21">
        <f>8192*'5qubits'!R35/100</f>
        <v>2796.9945600000001</v>
      </c>
      <c r="T14" s="21">
        <f>8192*'5qubits'!S35/100</f>
        <v>2701.9673599999996</v>
      </c>
      <c r="U14" s="21">
        <f>8192*'5qubits'!T35/100</f>
        <v>2941.9929599999996</v>
      </c>
      <c r="V14" s="21" t="s">
        <v>58</v>
      </c>
      <c r="W14" s="21">
        <f>8192*'5qubits'!U35/100</f>
        <v>2966.9785600000005</v>
      </c>
      <c r="X14" s="21">
        <f>8192*'5qubits'!V35/100</f>
        <v>2386.9849600000002</v>
      </c>
      <c r="Y14" s="21">
        <f>8192*'5qubits'!W35/100</f>
        <v>2405.0073600000001</v>
      </c>
      <c r="Z14" s="21">
        <f>8192*'5qubits'!X35/100</f>
        <v>3361.9967999999999</v>
      </c>
      <c r="AA14" s="21">
        <f>8192*'5qubits'!Y35/100</f>
        <v>2626.0275199999996</v>
      </c>
      <c r="AB14" s="21">
        <f>8192*'5qubits'!Z35/100</f>
        <v>2984.0179200000002</v>
      </c>
      <c r="AC14" s="21" t="s">
        <v>58</v>
      </c>
      <c r="AD14" s="21">
        <f>8192*'5qubits'!AA35/100</f>
        <v>2521.0060800000001</v>
      </c>
      <c r="AE14" s="21">
        <f>8192*'5qubits'!AB35/100</f>
        <v>2225.0291200000001</v>
      </c>
      <c r="AF14" s="21">
        <f>8192*'5qubits'!AC35/100</f>
        <v>2232.9753599999999</v>
      </c>
      <c r="AG14" s="21">
        <f>8192*'5qubits'!AD35/100</f>
        <v>3107.96288</v>
      </c>
      <c r="AH14" s="21">
        <f>8192*'5qubits'!AE35/100</f>
        <v>2790.0313599999999</v>
      </c>
      <c r="AI14" s="21">
        <f>8192*'5qubits'!AF35/100</f>
        <v>2646.9990399999997</v>
      </c>
    </row>
    <row r="15" spans="1:35" s="21" customFormat="1" x14ac:dyDescent="0.45">
      <c r="B15" s="21">
        <f>8192*'5qubits'!C36/100</f>
        <v>2001.9609599999999</v>
      </c>
      <c r="C15" s="21">
        <f>8192*'5qubits'!D36/100</f>
        <v>1931.0182399999999</v>
      </c>
      <c r="D15" s="21">
        <f>8192*'5qubits'!E36/100</f>
        <v>1682.9644800000001</v>
      </c>
      <c r="E15" s="21">
        <f>8192*'5qubits'!F36/100</f>
        <v>1603.0105600000002</v>
      </c>
      <c r="F15" s="21">
        <f>8192*'5qubits'!G36/100</f>
        <v>1725.9724799999999</v>
      </c>
      <c r="G15" s="21">
        <f>8192*'5qubits'!H36/100</f>
        <v>1570.97984</v>
      </c>
      <c r="I15" s="21">
        <f>8192*'5qubits'!I36/100</f>
        <v>1532.9689600000002</v>
      </c>
      <c r="J15" s="21">
        <f>8192*'5qubits'!J36/100</f>
        <v>2086.9939199999999</v>
      </c>
      <c r="K15" s="21">
        <f>8192*'5qubits'!K36/100</f>
        <v>1980.9894399999998</v>
      </c>
      <c r="L15" s="21">
        <f>8192*'5qubits'!L36/100</f>
        <v>1698.0377600000002</v>
      </c>
      <c r="M15" s="21">
        <f>8192*'5qubits'!M36/100</f>
        <v>1759.9692800000003</v>
      </c>
      <c r="N15" s="21">
        <f>8192*'5qubits'!N36/100</f>
        <v>1473.0035200000002</v>
      </c>
      <c r="P15" s="21">
        <f>8192*'5qubits'!O36/100</f>
        <v>1961.9839999999999</v>
      </c>
      <c r="Q15" s="21">
        <f>8192*'5qubits'!P36/100</f>
        <v>1820.9996799999999</v>
      </c>
      <c r="R15" s="21">
        <f>8192*'5qubits'!Q36/100</f>
        <v>1985.9865599999998</v>
      </c>
      <c r="S15" s="21">
        <f>8192*'5qubits'!R36/100</f>
        <v>1936.0153599999999</v>
      </c>
      <c r="T15" s="21">
        <f>8192*'5qubits'!S36/100</f>
        <v>1778.9747200000002</v>
      </c>
      <c r="U15" s="21">
        <f>8192*'5qubits'!T36/100</f>
        <v>2075.0335999999998</v>
      </c>
      <c r="W15" s="21">
        <f>8192*'5qubits'!U36/100</f>
        <v>1428.0294399999998</v>
      </c>
      <c r="X15" s="21">
        <f>8192*'5qubits'!V36/100</f>
        <v>1917.99296</v>
      </c>
      <c r="Y15" s="21">
        <f>8192*'5qubits'!W36/100</f>
        <v>1869.0048000000002</v>
      </c>
      <c r="Z15" s="21">
        <f>8192*'5qubits'!X36/100</f>
        <v>1550.0083199999999</v>
      </c>
      <c r="AA15" s="21">
        <f>8192*'5qubits'!Y36/100</f>
        <v>1927.9872</v>
      </c>
      <c r="AB15" s="21">
        <f>8192*'5qubits'!Z36/100</f>
        <v>2104.0332800000001</v>
      </c>
      <c r="AD15" s="21">
        <f>8192*'5qubits'!AA36/100</f>
        <v>2048.9830400000001</v>
      </c>
      <c r="AE15" s="21">
        <f>8192*'5qubits'!AB36/100</f>
        <v>2003.02592</v>
      </c>
      <c r="AF15" s="21">
        <f>8192*'5qubits'!AC36/100</f>
        <v>1990.9836799999998</v>
      </c>
      <c r="AG15" s="21">
        <f>8192*'5qubits'!AD36/100</f>
        <v>1632.0102400000001</v>
      </c>
      <c r="AH15" s="21">
        <f>8192*'5qubits'!AE36/100</f>
        <v>1748.0089600000001</v>
      </c>
      <c r="AI15" s="21">
        <f>8192*'5qubits'!AF36/100</f>
        <v>1685.9955199999999</v>
      </c>
    </row>
    <row r="16" spans="1:35" s="21" customFormat="1" x14ac:dyDescent="0.45">
      <c r="B16" s="21">
        <f>8192*'5qubits'!C37/100</f>
        <v>2023.0144</v>
      </c>
      <c r="C16" s="21">
        <f>8192*'5qubits'!D37/100</f>
        <v>2004.0089600000001</v>
      </c>
      <c r="D16" s="21">
        <f>8192*'5qubits'!E37/100</f>
        <v>2194.9644800000001</v>
      </c>
      <c r="E16" s="21">
        <f>8192*'5qubits'!F37/100</f>
        <v>2104.0332800000001</v>
      </c>
      <c r="F16" s="21">
        <f>8192*'5qubits'!G37/100</f>
        <v>2177.0239999999999</v>
      </c>
      <c r="G16" s="21">
        <f>8192*'5qubits'!H37/100</f>
        <v>2135.9820800000002</v>
      </c>
      <c r="I16" s="21">
        <f>8192*'5qubits'!I37/100</f>
        <v>2397.9622399999998</v>
      </c>
      <c r="J16" s="21">
        <f>8192*'5qubits'!J37/100</f>
        <v>1966.9811199999999</v>
      </c>
      <c r="K16" s="21">
        <f>8192*'5qubits'!K37/100</f>
        <v>1995.9807999999998</v>
      </c>
      <c r="L16" s="21">
        <f>8192*'5qubits'!L37/100</f>
        <v>2362.9823999999999</v>
      </c>
      <c r="M16" s="21">
        <f>8192*'5qubits'!M37/100</f>
        <v>2337.9967999999999</v>
      </c>
      <c r="N16" s="21">
        <f>8192*'5qubits'!N37/100</f>
        <v>2554.0198399999999</v>
      </c>
      <c r="P16" s="21">
        <f>8192*'5qubits'!O37/100</f>
        <v>2070.0364799999998</v>
      </c>
      <c r="Q16" s="21">
        <f>8192*'5qubits'!P37/100</f>
        <v>2092.97408</v>
      </c>
      <c r="R16" s="21">
        <f>8192*'5qubits'!Q37/100</f>
        <v>1766.0313599999999</v>
      </c>
      <c r="S16" s="21">
        <f>8192*'5qubits'!R37/100</f>
        <v>1985.9865599999998</v>
      </c>
      <c r="T16" s="21">
        <f>8192*'5qubits'!S37/100</f>
        <v>2223.96416</v>
      </c>
      <c r="U16" s="21">
        <f>8192*'5qubits'!T37/100</f>
        <v>1783.9718400000002</v>
      </c>
      <c r="W16" s="21">
        <f>8192*'5qubits'!U37/100</f>
        <v>2564.0140799999999</v>
      </c>
      <c r="X16" s="21">
        <f>8192*'5qubits'!V37/100</f>
        <v>2130.0019200000002</v>
      </c>
      <c r="Y16" s="21">
        <f>8192*'5qubits'!W37/100</f>
        <v>2221.0150399999998</v>
      </c>
      <c r="Z16" s="21">
        <f>8192*'5qubits'!X37/100</f>
        <v>2110.0134400000002</v>
      </c>
      <c r="AA16" s="21">
        <f>8192*'5qubits'!Y37/100</f>
        <v>2065.0393599999998</v>
      </c>
      <c r="AB16" s="21">
        <f>8192*'5qubits'!Z37/100</f>
        <v>1745.9609599999999</v>
      </c>
      <c r="AD16" s="21">
        <f>8192*'5qubits'!AA37/100</f>
        <v>1935.0323199999998</v>
      </c>
      <c r="AE16" s="21">
        <f>8192*'5qubits'!AB37/100</f>
        <v>2105.0163200000002</v>
      </c>
      <c r="AF16" s="21">
        <f>8192*'5qubits'!AC37/100</f>
        <v>2017.03424</v>
      </c>
      <c r="AG16" s="21">
        <f>8192*'5qubits'!AD37/100</f>
        <v>2148.02432</v>
      </c>
      <c r="AH16" s="21">
        <f>8192*'5qubits'!AE37/100</f>
        <v>2220.0320000000002</v>
      </c>
      <c r="AI16" s="21">
        <f>8192*'5qubits'!AF37/100</f>
        <v>2212.9868799999999</v>
      </c>
    </row>
    <row r="17" spans="1:35" s="21" customFormat="1" x14ac:dyDescent="0.45">
      <c r="B17" s="21">
        <f>8192*'5qubits'!C38/100</f>
        <v>1861.9596799999999</v>
      </c>
      <c r="C17" s="21">
        <f>8192*'5qubits'!D38/100</f>
        <v>1783.9718400000002</v>
      </c>
      <c r="D17" s="21">
        <f>8192*'5qubits'!E38/100</f>
        <v>1336.0332800000001</v>
      </c>
      <c r="E17" s="21">
        <f>8192*'5qubits'!F38/100</f>
        <v>1357.0048000000002</v>
      </c>
      <c r="F17" s="21">
        <f>8192*'5qubits'!G38/100</f>
        <v>1453.9980799999998</v>
      </c>
      <c r="G17" s="21">
        <f>8192*'5qubits'!H38/100</f>
        <v>1159.9872</v>
      </c>
      <c r="I17" s="21">
        <f>8192*'5qubits'!I38/100</f>
        <v>1439.9897599999999</v>
      </c>
      <c r="J17" s="21">
        <f>8192*'5qubits'!J38/100</f>
        <v>1783.9718400000002</v>
      </c>
      <c r="K17" s="21">
        <f>8192*'5qubits'!K38/100</f>
        <v>1598.9964799999998</v>
      </c>
      <c r="L17" s="21">
        <f>8192*'5qubits'!L38/100</f>
        <v>1556.9715200000001</v>
      </c>
      <c r="M17" s="21">
        <f>8192*'5qubits'!M38/100</f>
        <v>1788.9689600000002</v>
      </c>
      <c r="N17" s="21">
        <f>8192*'5qubits'!N38/100</f>
        <v>1474.9695999999999</v>
      </c>
      <c r="P17" s="21">
        <f>8192*'5qubits'!O38/100</f>
        <v>1864.0076800000002</v>
      </c>
      <c r="Q17" s="21">
        <f>8192*'5qubits'!P38/100</f>
        <v>1508.9664000000002</v>
      </c>
      <c r="R17" s="21">
        <f>8192*'5qubits'!Q38/100</f>
        <v>1358.9708799999999</v>
      </c>
      <c r="S17" s="21">
        <f>8192*'5qubits'!R38/100</f>
        <v>1473.0035200000002</v>
      </c>
      <c r="T17" s="21">
        <f>8192*'5qubits'!S38/100</f>
        <v>1487.0118400000001</v>
      </c>
      <c r="U17" s="21">
        <f>8192*'5qubits'!T38/100</f>
        <v>1391.0016000000001</v>
      </c>
      <c r="W17" s="21">
        <f>8192*'5qubits'!U38/100</f>
        <v>1232.97792</v>
      </c>
      <c r="X17" s="21">
        <f>8192*'5qubits'!V38/100</f>
        <v>1757.02016</v>
      </c>
      <c r="Y17" s="21">
        <f>8192*'5qubits'!W38/100</f>
        <v>1696.9728</v>
      </c>
      <c r="Z17" s="21">
        <f>8192*'5qubits'!X38/100</f>
        <v>1169.98144</v>
      </c>
      <c r="AA17" s="21">
        <f>8192*'5qubits'!Y38/100</f>
        <v>1573.0278400000002</v>
      </c>
      <c r="AB17" s="21">
        <f>8192*'5qubits'!Z38/100</f>
        <v>1357.9878400000002</v>
      </c>
      <c r="AD17" s="21">
        <f>8192*'5qubits'!AA38/100</f>
        <v>1686.97856</v>
      </c>
      <c r="AE17" s="21">
        <f>8192*'5qubits'!AB38/100</f>
        <v>1859.0105600000002</v>
      </c>
      <c r="AF17" s="21">
        <f>8192*'5qubits'!AC38/100</f>
        <v>1951.0067199999999</v>
      </c>
      <c r="AG17" s="21">
        <f>8192*'5qubits'!AD38/100</f>
        <v>1304.0025599999999</v>
      </c>
      <c r="AH17" s="21">
        <f>8192*'5qubits'!AE38/100</f>
        <v>1434.0095999999999</v>
      </c>
      <c r="AI17" s="21">
        <f>8192*'5qubits'!AF38/100</f>
        <v>1646.01856</v>
      </c>
    </row>
    <row r="18" spans="1:35" s="21" customFormat="1" x14ac:dyDescent="0.45">
      <c r="B18" s="21">
        <f>SUM(B14:B17)</f>
        <v>8191.9180799999995</v>
      </c>
      <c r="C18" s="21">
        <f>SUM(C14:C17)</f>
        <v>8192</v>
      </c>
      <c r="D18" s="21">
        <f t="shared" ref="D18:AI18" si="5">SUM(D14:D17)</f>
        <v>8192</v>
      </c>
      <c r="E18" s="21">
        <f t="shared" si="5"/>
        <v>8192.0819200000005</v>
      </c>
      <c r="F18" s="21">
        <f t="shared" si="5"/>
        <v>8191.9999999999982</v>
      </c>
      <c r="G18" s="21">
        <f t="shared" si="5"/>
        <v>8191.9180799999995</v>
      </c>
      <c r="I18" s="21">
        <f t="shared" si="5"/>
        <v>8191.9180799999995</v>
      </c>
      <c r="J18" s="21">
        <f t="shared" si="5"/>
        <v>8191.9180799999995</v>
      </c>
      <c r="K18" s="21">
        <f t="shared" si="5"/>
        <v>8192</v>
      </c>
      <c r="L18" s="21">
        <f t="shared" si="5"/>
        <v>8192</v>
      </c>
      <c r="M18" s="21">
        <f t="shared" si="5"/>
        <v>8191.9180800000004</v>
      </c>
      <c r="N18" s="21">
        <f t="shared" si="5"/>
        <v>8192</v>
      </c>
      <c r="P18" s="21">
        <f t="shared" si="5"/>
        <v>8192</v>
      </c>
      <c r="Q18" s="21">
        <f t="shared" si="5"/>
        <v>8191.9180800000004</v>
      </c>
      <c r="R18" s="21">
        <f t="shared" si="5"/>
        <v>8192</v>
      </c>
      <c r="S18" s="21">
        <f t="shared" si="5"/>
        <v>8192</v>
      </c>
      <c r="T18" s="21">
        <f t="shared" si="5"/>
        <v>8191.9180800000004</v>
      </c>
      <c r="U18" s="21">
        <f t="shared" si="5"/>
        <v>8192</v>
      </c>
      <c r="W18" s="21">
        <f t="shared" si="5"/>
        <v>8192</v>
      </c>
      <c r="X18" s="21">
        <f t="shared" si="5"/>
        <v>8192</v>
      </c>
      <c r="Y18" s="21">
        <f t="shared" si="5"/>
        <v>8192</v>
      </c>
      <c r="Z18" s="21">
        <f t="shared" si="5"/>
        <v>8192</v>
      </c>
      <c r="AA18" s="21">
        <f t="shared" si="5"/>
        <v>8192.0819199999987</v>
      </c>
      <c r="AB18" s="21">
        <f t="shared" si="5"/>
        <v>8192</v>
      </c>
      <c r="AD18" s="21">
        <f t="shared" si="5"/>
        <v>8192</v>
      </c>
      <c r="AE18" s="21">
        <f t="shared" si="5"/>
        <v>8192.0819200000005</v>
      </c>
      <c r="AF18" s="21">
        <f t="shared" si="5"/>
        <v>8192</v>
      </c>
      <c r="AG18" s="21">
        <f t="shared" si="5"/>
        <v>8192</v>
      </c>
      <c r="AH18" s="21">
        <f t="shared" si="5"/>
        <v>8192.0819200000005</v>
      </c>
      <c r="AI18" s="21">
        <f t="shared" si="5"/>
        <v>8192</v>
      </c>
    </row>
    <row r="19" spans="1:35" x14ac:dyDescent="0.45">
      <c r="B19" s="49" t="s">
        <v>296</v>
      </c>
      <c r="C19" s="49"/>
      <c r="D19" s="49"/>
      <c r="E19" s="49"/>
      <c r="F19" s="49"/>
      <c r="G19" s="49"/>
    </row>
    <row r="20" spans="1:35" x14ac:dyDescent="0.45">
      <c r="A20" s="21" t="s">
        <v>58</v>
      </c>
      <c r="B20" s="25">
        <v>2304.9830400000001</v>
      </c>
      <c r="C20">
        <v>2473.0009599999998</v>
      </c>
      <c r="D20">
        <v>2978.0377600000002</v>
      </c>
      <c r="E20">
        <v>2835.0054399999999</v>
      </c>
      <c r="F20">
        <v>3128.0332799999996</v>
      </c>
      <c r="G20" s="26">
        <v>3324.9689600000002</v>
      </c>
      <c r="H20" s="21" t="s">
        <v>58</v>
      </c>
      <c r="I20" s="25">
        <v>2353.9712</v>
      </c>
      <c r="J20">
        <v>2616.0332800000001</v>
      </c>
      <c r="K20" s="26">
        <v>2820.99712</v>
      </c>
      <c r="L20">
        <v>2304.9830400000001</v>
      </c>
      <c r="M20">
        <v>2574.0083199999999</v>
      </c>
      <c r="N20" s="26">
        <v>2690.0070400000004</v>
      </c>
      <c r="O20" s="21" t="s">
        <v>58</v>
      </c>
      <c r="P20">
        <v>2295.9718400000002</v>
      </c>
      <c r="Q20">
        <v>2768.9779200000003</v>
      </c>
      <c r="R20" s="26">
        <v>3081.0111999999999</v>
      </c>
      <c r="S20">
        <v>2701.9673599999996</v>
      </c>
      <c r="T20">
        <v>2796.9945600000001</v>
      </c>
      <c r="U20" s="26">
        <v>2941.9929599999996</v>
      </c>
      <c r="V20" s="21" t="s">
        <v>58</v>
      </c>
      <c r="W20" s="25">
        <v>2386.9849600000002</v>
      </c>
      <c r="X20">
        <v>2405.0073600000001</v>
      </c>
      <c r="Y20">
        <v>2966.9785600000005</v>
      </c>
      <c r="Z20">
        <v>2626.0275199999996</v>
      </c>
      <c r="AA20">
        <v>2984.0179200000002</v>
      </c>
      <c r="AB20" s="26">
        <v>3361.9967999999999</v>
      </c>
      <c r="AC20" s="21" t="s">
        <v>58</v>
      </c>
      <c r="AD20" s="25">
        <v>2225.0291200000001</v>
      </c>
      <c r="AE20">
        <v>2232.9753599999999</v>
      </c>
      <c r="AF20">
        <v>2521.0060800000001</v>
      </c>
      <c r="AG20">
        <v>2646.9990399999997</v>
      </c>
      <c r="AH20">
        <v>2790.0313599999999</v>
      </c>
      <c r="AI20" s="26">
        <v>3107.96288</v>
      </c>
    </row>
    <row r="21" spans="1:35" x14ac:dyDescent="0.45">
      <c r="B21" s="25">
        <v>2001.9609599999999</v>
      </c>
      <c r="C21">
        <v>1931.0182399999999</v>
      </c>
      <c r="D21">
        <v>1682.9644800000001</v>
      </c>
      <c r="E21">
        <v>1725.9724799999999</v>
      </c>
      <c r="F21">
        <v>1603.0105600000002</v>
      </c>
      <c r="G21" s="26">
        <v>1570.97984</v>
      </c>
      <c r="I21" s="25">
        <v>2086.9939199999999</v>
      </c>
      <c r="J21">
        <v>1980.9894399999998</v>
      </c>
      <c r="K21" s="26">
        <v>1532.9689600000002</v>
      </c>
      <c r="L21">
        <v>1759.9692800000003</v>
      </c>
      <c r="M21">
        <v>1698.0377600000002</v>
      </c>
      <c r="N21" s="26">
        <v>1473.0035200000002</v>
      </c>
      <c r="P21">
        <v>1961.9839999999999</v>
      </c>
      <c r="Q21">
        <v>1820.9996799999999</v>
      </c>
      <c r="R21" s="26">
        <v>1985.9865599999998</v>
      </c>
      <c r="S21">
        <v>1778.9747200000002</v>
      </c>
      <c r="T21">
        <v>1936.0153599999999</v>
      </c>
      <c r="U21" s="26">
        <v>2075.0335999999998</v>
      </c>
      <c r="W21" s="25">
        <v>1917.99296</v>
      </c>
      <c r="X21">
        <v>1869.0048000000002</v>
      </c>
      <c r="Y21">
        <v>1428.0294399999998</v>
      </c>
      <c r="Z21">
        <v>1927.9872</v>
      </c>
      <c r="AA21">
        <v>2104.0332800000001</v>
      </c>
      <c r="AB21" s="26">
        <v>1550.0083199999999</v>
      </c>
      <c r="AD21" s="25">
        <v>2003.02592</v>
      </c>
      <c r="AE21">
        <v>1990.9836799999998</v>
      </c>
      <c r="AF21">
        <v>2048.9830400000001</v>
      </c>
      <c r="AG21">
        <v>1685.9955199999999</v>
      </c>
      <c r="AH21">
        <v>1748.0089600000001</v>
      </c>
      <c r="AI21" s="26">
        <v>1632.0102400000001</v>
      </c>
    </row>
    <row r="22" spans="1:35" x14ac:dyDescent="0.45">
      <c r="B22" s="25">
        <v>2023.0144</v>
      </c>
      <c r="C22">
        <v>2004.0089600000001</v>
      </c>
      <c r="D22">
        <v>2194.9644800000001</v>
      </c>
      <c r="E22">
        <v>2177.0239999999999</v>
      </c>
      <c r="F22">
        <v>2104.0332800000001</v>
      </c>
      <c r="G22" s="26">
        <v>2135.9820800000002</v>
      </c>
      <c r="I22" s="25">
        <v>1966.9811199999999</v>
      </c>
      <c r="J22">
        <v>1995.9807999999998</v>
      </c>
      <c r="K22" s="26">
        <v>2397.9622399999998</v>
      </c>
      <c r="L22">
        <v>2337.9967999999999</v>
      </c>
      <c r="M22">
        <v>2362.9823999999999</v>
      </c>
      <c r="N22" s="26">
        <v>2554.0198399999999</v>
      </c>
      <c r="P22">
        <v>2070.0364799999998</v>
      </c>
      <c r="Q22">
        <v>2092.97408</v>
      </c>
      <c r="R22" s="26">
        <v>1766.0313599999999</v>
      </c>
      <c r="S22">
        <v>2223.96416</v>
      </c>
      <c r="T22">
        <v>1985.9865599999998</v>
      </c>
      <c r="U22" s="26">
        <v>1783.9718400000002</v>
      </c>
      <c r="W22" s="25">
        <v>2130.0019200000002</v>
      </c>
      <c r="X22">
        <v>2221.0150399999998</v>
      </c>
      <c r="Y22">
        <v>2564.0140799999999</v>
      </c>
      <c r="Z22">
        <v>2065.0393599999998</v>
      </c>
      <c r="AA22">
        <v>1745.9609599999999</v>
      </c>
      <c r="AB22" s="26">
        <v>2110.0134400000002</v>
      </c>
      <c r="AD22" s="25">
        <v>2105.0163200000002</v>
      </c>
      <c r="AE22">
        <v>2017.03424</v>
      </c>
      <c r="AF22">
        <v>1935.0323199999998</v>
      </c>
      <c r="AG22">
        <v>2212.9868799999999</v>
      </c>
      <c r="AH22">
        <v>2220.0320000000002</v>
      </c>
      <c r="AI22" s="26">
        <v>2148.02432</v>
      </c>
    </row>
    <row r="23" spans="1:35" x14ac:dyDescent="0.45">
      <c r="B23" s="25">
        <v>1861.9596799999999</v>
      </c>
      <c r="C23">
        <v>1783.9718400000002</v>
      </c>
      <c r="D23">
        <v>1336.0332800000001</v>
      </c>
      <c r="E23">
        <v>1453.9980799999998</v>
      </c>
      <c r="F23">
        <v>1357.0048000000002</v>
      </c>
      <c r="G23" s="26">
        <v>1159.9872</v>
      </c>
      <c r="I23" s="25">
        <v>1783.9718400000002</v>
      </c>
      <c r="J23">
        <v>1598.9964799999998</v>
      </c>
      <c r="K23" s="26">
        <v>1439.9897599999999</v>
      </c>
      <c r="L23">
        <v>1788.9689600000002</v>
      </c>
      <c r="M23">
        <v>1556.9715200000001</v>
      </c>
      <c r="N23" s="26">
        <v>1474.9695999999999</v>
      </c>
      <c r="P23">
        <v>1864.0076800000002</v>
      </c>
      <c r="Q23">
        <v>1508.9664000000002</v>
      </c>
      <c r="R23" s="26">
        <v>1358.9708799999999</v>
      </c>
      <c r="S23">
        <v>1487.0118400000001</v>
      </c>
      <c r="T23">
        <v>1473.0035200000002</v>
      </c>
      <c r="U23" s="26">
        <v>1391.0016000000001</v>
      </c>
      <c r="W23" s="25">
        <v>1757.02016</v>
      </c>
      <c r="X23">
        <v>1696.9728</v>
      </c>
      <c r="Y23">
        <v>1232.97792</v>
      </c>
      <c r="Z23">
        <v>1573.0278400000002</v>
      </c>
      <c r="AA23">
        <v>1357.9878400000002</v>
      </c>
      <c r="AB23" s="26">
        <v>1169.98144</v>
      </c>
      <c r="AD23" s="25">
        <v>1859.0105600000002</v>
      </c>
      <c r="AE23">
        <v>1951.0067199999999</v>
      </c>
      <c r="AF23">
        <v>1686.97856</v>
      </c>
      <c r="AG23">
        <v>1646.01856</v>
      </c>
      <c r="AH23">
        <v>1434.0095999999999</v>
      </c>
      <c r="AI23" s="26">
        <v>1304.0025599999999</v>
      </c>
    </row>
    <row r="24" spans="1:35" x14ac:dyDescent="0.45">
      <c r="B24">
        <v>8191.9180799999995</v>
      </c>
      <c r="C24">
        <v>8192</v>
      </c>
      <c r="D24">
        <v>8192</v>
      </c>
      <c r="E24">
        <v>8191.9999999999982</v>
      </c>
      <c r="F24">
        <v>8192.0819200000005</v>
      </c>
      <c r="G24">
        <v>8191.9180799999995</v>
      </c>
      <c r="I24">
        <v>8191.9180799999995</v>
      </c>
      <c r="J24">
        <v>8192</v>
      </c>
      <c r="K24">
        <v>8191.9180799999995</v>
      </c>
      <c r="L24">
        <v>8191.9180800000004</v>
      </c>
      <c r="M24">
        <v>8192</v>
      </c>
      <c r="N24">
        <v>8192</v>
      </c>
      <c r="P24">
        <v>8192</v>
      </c>
      <c r="Q24">
        <v>8191.9180800000004</v>
      </c>
      <c r="R24">
        <v>8192</v>
      </c>
      <c r="S24">
        <v>8191.9180800000004</v>
      </c>
      <c r="T24">
        <v>8192</v>
      </c>
      <c r="U24">
        <v>8192</v>
      </c>
      <c r="W24">
        <v>8192</v>
      </c>
      <c r="X24">
        <v>8192</v>
      </c>
      <c r="Y24">
        <v>8192</v>
      </c>
      <c r="Z24">
        <v>8192.0819199999987</v>
      </c>
      <c r="AA24">
        <v>8192</v>
      </c>
      <c r="AB24">
        <v>8192</v>
      </c>
      <c r="AD24">
        <v>8192.0819200000005</v>
      </c>
      <c r="AE24">
        <v>8192</v>
      </c>
      <c r="AF24">
        <v>8192</v>
      </c>
      <c r="AG24">
        <v>8192</v>
      </c>
      <c r="AH24">
        <v>8192.0819200000005</v>
      </c>
      <c r="AI24">
        <v>8192</v>
      </c>
    </row>
    <row r="26" spans="1:35" s="21" customFormat="1" x14ac:dyDescent="0.45">
      <c r="A26" s="21" t="s">
        <v>59</v>
      </c>
      <c r="B26" s="21">
        <f>8192*'5qubits'!C55/100</f>
        <v>3102.96576</v>
      </c>
      <c r="C26" s="21">
        <f>8192*'5qubits'!D55/100</f>
        <v>3206.0211200000003</v>
      </c>
      <c r="D26" s="21">
        <f>8192*'5qubits'!E55/100</f>
        <v>4120.9856</v>
      </c>
      <c r="E26" s="21">
        <f>8192*'5qubits'!F55/100</f>
        <v>3636.0191999999997</v>
      </c>
      <c r="F26" s="21">
        <f>8192*'5qubits'!G55/100</f>
        <v>4196.0243199999995</v>
      </c>
      <c r="G26" s="21">
        <f>8192*'5qubits'!H55/100</f>
        <v>4037.0176000000001</v>
      </c>
      <c r="H26" s="21" t="s">
        <v>59</v>
      </c>
      <c r="I26" s="21">
        <f>8192*'5qubits'!I55/100</f>
        <v>2612.0192000000002</v>
      </c>
      <c r="J26" s="21">
        <f>8192*'5qubits'!J55/100</f>
        <v>2941.9929599999996</v>
      </c>
      <c r="K26" s="21">
        <f>8192*'5qubits'!K55/100</f>
        <v>2904.9651199999998</v>
      </c>
      <c r="L26" s="21">
        <f>8192*'5qubits'!L55/100</f>
        <v>3630.0390399999997</v>
      </c>
      <c r="M26" s="21">
        <f>8192*'5qubits'!M55/100</f>
        <v>2638.9708799999999</v>
      </c>
      <c r="N26" s="21">
        <f>8192*'5qubits'!N55/100</f>
        <v>3626.0249599999997</v>
      </c>
      <c r="O26" s="21" t="s">
        <v>59</v>
      </c>
      <c r="P26" s="21">
        <f>8192*'5qubits'!O55/100</f>
        <v>3722.0352000000003</v>
      </c>
      <c r="Q26" s="21">
        <f>8192*'5qubits'!P55/100</f>
        <v>2825.0111999999999</v>
      </c>
      <c r="R26" s="21">
        <f>8192*'5qubits'!Q55/100</f>
        <v>3537.9609600000003</v>
      </c>
      <c r="S26" s="21">
        <f>8192*'5qubits'!R55/100</f>
        <v>3653.9596799999999</v>
      </c>
      <c r="T26" s="21">
        <f>8192*'5qubits'!S55/100</f>
        <v>3463.0041600000004</v>
      </c>
      <c r="U26" s="21">
        <f>8192*'5qubits'!T55/100</f>
        <v>3767.0092800000002</v>
      </c>
      <c r="V26" s="21" t="s">
        <v>59</v>
      </c>
      <c r="W26" s="21">
        <f>8192*'5qubits'!U55/100</f>
        <v>3260.9894400000003</v>
      </c>
      <c r="X26" s="21">
        <f>8192*'5qubits'!V55/100</f>
        <v>3078.9632000000001</v>
      </c>
      <c r="Y26" s="21">
        <f>8192*'5qubits'!W55/100</f>
        <v>3521.0035200000002</v>
      </c>
      <c r="Z26" s="21">
        <f>8192*'5qubits'!X55/100</f>
        <v>4039.9667200000004</v>
      </c>
      <c r="AA26" s="21">
        <f>8192*'5qubits'!Y55/100</f>
        <v>4534.0262400000001</v>
      </c>
      <c r="AB26" s="21">
        <f>8192*'5qubits'!Z55/100</f>
        <v>3569.9916800000001</v>
      </c>
      <c r="AC26" s="21" t="s">
        <v>59</v>
      </c>
      <c r="AD26" s="21">
        <f>8192*'5qubits'!AA55/100</f>
        <v>3323.9859200000001</v>
      </c>
      <c r="AE26" s="21">
        <f>8192*'5qubits'!AB55/100</f>
        <v>3009.0035200000002</v>
      </c>
      <c r="AF26" s="21">
        <f>8192*'5qubits'!AC55/100</f>
        <v>3047.9974400000001</v>
      </c>
      <c r="AG26" s="21">
        <f>8192*'5qubits'!AD55/100</f>
        <v>3550.9862400000002</v>
      </c>
      <c r="AH26" s="21">
        <f>8192*'5qubits'!AE55/100</f>
        <v>4182.0159999999996</v>
      </c>
      <c r="AI26" s="21">
        <f>8192*'5qubits'!AF55/100</f>
        <v>3304.9804800000002</v>
      </c>
    </row>
    <row r="27" spans="1:35" s="21" customFormat="1" x14ac:dyDescent="0.45">
      <c r="B27" s="21">
        <f>8192*'5qubits'!C56/100</f>
        <v>1913.9788800000001</v>
      </c>
      <c r="C27" s="21">
        <f>8192*'5qubits'!D56/100</f>
        <v>2028.9945600000001</v>
      </c>
      <c r="D27" s="21">
        <f>8192*'5qubits'!E56/100</f>
        <v>1645.0355199999999</v>
      </c>
      <c r="E27" s="21">
        <f>8192*'5qubits'!F56/100</f>
        <v>1936.0153599999999</v>
      </c>
      <c r="F27" s="21">
        <f>8192*'5qubits'!G56/100</f>
        <v>1599.9795199999999</v>
      </c>
      <c r="G27" s="21">
        <f>8192*'5qubits'!H56/100</f>
        <v>1830.0108799999998</v>
      </c>
      <c r="I27" s="21">
        <f>8192*'5qubits'!I56/100</f>
        <v>1769.9635200000002</v>
      </c>
      <c r="J27" s="21">
        <f>8192*'5qubits'!J56/100</f>
        <v>1695.0067199999999</v>
      </c>
      <c r="K27" s="21">
        <f>8192*'5qubits'!K56/100</f>
        <v>1646.01856</v>
      </c>
      <c r="L27" s="21">
        <f>8192*'5qubits'!L56/100</f>
        <v>1608.9907199999998</v>
      </c>
      <c r="M27" s="21">
        <f>8192*'5qubits'!M56/100</f>
        <v>1701.96992</v>
      </c>
      <c r="N27" s="21">
        <f>8192*'5qubits'!N56/100</f>
        <v>1445.96992</v>
      </c>
      <c r="P27" s="21">
        <f>8192*'5qubits'!O56/100</f>
        <v>1742.0288</v>
      </c>
      <c r="Q27" s="21">
        <f>8192*'5qubits'!P56/100</f>
        <v>1880.9651199999998</v>
      </c>
      <c r="R27" s="21">
        <f>8192*'5qubits'!Q56/100</f>
        <v>1600.9625599999999</v>
      </c>
      <c r="S27" s="21">
        <f>8192*'5qubits'!R56/100</f>
        <v>1710.9811199999999</v>
      </c>
      <c r="T27" s="21">
        <f>8192*'5qubits'!S56/100</f>
        <v>1642.9875200000001</v>
      </c>
      <c r="U27" s="21">
        <f>8192*'5qubits'!T56/100</f>
        <v>2001.9609599999999</v>
      </c>
      <c r="W27" s="21">
        <f>8192*'5qubits'!U56/100</f>
        <v>1763.0003200000001</v>
      </c>
      <c r="X27" s="21">
        <f>8192*'5qubits'!V56/100</f>
        <v>1855.9795199999999</v>
      </c>
      <c r="Y27" s="21">
        <f>8192*'5qubits'!W56/100</f>
        <v>1576.96</v>
      </c>
      <c r="Z27" s="21">
        <f>8192*'5qubits'!X56/100</f>
        <v>1531.9859200000001</v>
      </c>
      <c r="AA27" s="21">
        <f>8192*'5qubits'!Y56/100</f>
        <v>1730.9695999999999</v>
      </c>
      <c r="AB27" s="21">
        <f>8192*'5qubits'!Z56/100</f>
        <v>1869.9878400000002</v>
      </c>
      <c r="AD27" s="21">
        <f>8192*'5qubits'!AA56/100</f>
        <v>2170.9619200000002</v>
      </c>
      <c r="AE27" s="21">
        <f>8192*'5qubits'!AB56/100</f>
        <v>1916.0268799999999</v>
      </c>
      <c r="AF27" s="21">
        <f>8192*'5qubits'!AC56/100</f>
        <v>1835.9910399999999</v>
      </c>
      <c r="AG27" s="21">
        <f>8192*'5qubits'!AD56/100</f>
        <v>2046.0339199999999</v>
      </c>
      <c r="AH27" s="21">
        <f>8192*'5qubits'!AE56/100</f>
        <v>1510.0313599999999</v>
      </c>
      <c r="AI27" s="21">
        <f>8192*'5qubits'!AF56/100</f>
        <v>1928.9702400000001</v>
      </c>
    </row>
    <row r="28" spans="1:35" s="21" customFormat="1" x14ac:dyDescent="0.45">
      <c r="B28" s="21">
        <f>8192*'5qubits'!C57/100</f>
        <v>1854.0134400000002</v>
      </c>
      <c r="C28" s="21">
        <f>8192*'5qubits'!D57/100</f>
        <v>1698.0377600000002</v>
      </c>
      <c r="D28" s="21">
        <f>8192*'5qubits'!E57/100</f>
        <v>1593.9993599999998</v>
      </c>
      <c r="E28" s="21">
        <f>8192*'5qubits'!F57/100</f>
        <v>1483.5711999999999</v>
      </c>
      <c r="F28" s="21">
        <f>8192*'5qubits'!G57/100</f>
        <v>1566.96576</v>
      </c>
      <c r="G28" s="21">
        <f>8192*'5qubits'!H57/100</f>
        <v>1516.9945600000001</v>
      </c>
      <c r="I28" s="21">
        <f>8192*'5qubits'!I57/100</f>
        <v>2236.9894399999998</v>
      </c>
      <c r="J28" s="21">
        <f>8192*'5qubits'!J57/100</f>
        <v>2104.0332800000001</v>
      </c>
      <c r="K28" s="21">
        <f>8192*'5qubits'!K57/100</f>
        <v>2415.9846400000001</v>
      </c>
      <c r="L28" s="21">
        <f>8192*'5qubits'!L57/100</f>
        <v>1941.0124799999999</v>
      </c>
      <c r="M28" s="21">
        <f>8192*'5qubits'!M57/100</f>
        <v>2289.9916800000001</v>
      </c>
      <c r="N28" s="21">
        <f>8192*'5qubits'!N57/100</f>
        <v>2188.98432</v>
      </c>
      <c r="P28" s="21">
        <f>8192*'5qubits'!O57/100</f>
        <v>1680.0153599999999</v>
      </c>
      <c r="Q28" s="21">
        <f>8192*'5qubits'!P57/100</f>
        <v>1946.9926399999999</v>
      </c>
      <c r="R28" s="21">
        <f>8192*'5qubits'!Q57/100</f>
        <v>2000.9779199999998</v>
      </c>
      <c r="S28" s="21">
        <f>8192*'5qubits'!R57/100</f>
        <v>1840.0051199999998</v>
      </c>
      <c r="T28" s="21">
        <f>8192*'5qubits'!S57/100</f>
        <v>1936.0153599999999</v>
      </c>
      <c r="U28" s="21">
        <f>8192*'5qubits'!T57/100</f>
        <v>1391.0016000000001</v>
      </c>
      <c r="W28" s="21">
        <f>8192*'5qubits'!U57/100</f>
        <v>1773.9776000000002</v>
      </c>
      <c r="X28" s="21">
        <f>8192*'5qubits'!V57/100</f>
        <v>1860.9766399999999</v>
      </c>
      <c r="Y28" s="21">
        <f>8192*'5qubits'!W57/100</f>
        <v>1981.9724799999999</v>
      </c>
      <c r="Z28" s="21">
        <f>8192*'5qubits'!X57/100</f>
        <v>1657.9788800000001</v>
      </c>
      <c r="AA28" s="21">
        <f>8192*'5qubits'!Y57/100</f>
        <v>1199.96416</v>
      </c>
      <c r="AB28" s="21">
        <f>8192*'5qubits'!Z57/100</f>
        <v>1595.9654399999999</v>
      </c>
      <c r="AD28" s="21">
        <f>8192*'5qubits'!AA57/100</f>
        <v>1517.9776000000002</v>
      </c>
      <c r="AE28" s="21">
        <f>8192*'5qubits'!AB57/100</f>
        <v>1835.9910399999999</v>
      </c>
      <c r="AF28" s="21">
        <f>8192*'5qubits'!AC57/100</f>
        <v>1883.9961600000001</v>
      </c>
      <c r="AG28" s="21">
        <f>8192*'5qubits'!AD57/100</f>
        <v>1472.0204800000001</v>
      </c>
      <c r="AH28" s="21">
        <f>8192*'5qubits'!AE57/100</f>
        <v>1603.0105600000002</v>
      </c>
      <c r="AI28" s="21">
        <f>8192*'5qubits'!AF57/100</f>
        <v>1772.01152</v>
      </c>
    </row>
    <row r="29" spans="1:35" s="21" customFormat="1" x14ac:dyDescent="0.45">
      <c r="B29" s="21">
        <f>8192*'5qubits'!C58/100</f>
        <v>1320.96</v>
      </c>
      <c r="C29" s="21">
        <f>8192*'5qubits'!D58/100</f>
        <v>1259.0284799999999</v>
      </c>
      <c r="D29" s="21">
        <f>8192*'5qubits'!E58/100</f>
        <v>831.97952000000009</v>
      </c>
      <c r="E29" s="21">
        <f>8192*'5qubits'!F58/100</f>
        <v>1135.9846400000001</v>
      </c>
      <c r="F29" s="21">
        <f>8192*'5qubits'!G58/100</f>
        <v>829.03039999999999</v>
      </c>
      <c r="G29" s="21">
        <f>8192*'5qubits'!H58/100</f>
        <v>807.97695999999996</v>
      </c>
      <c r="I29" s="21">
        <f>8192*'5qubits'!I58/100</f>
        <v>1573.0278400000002</v>
      </c>
      <c r="J29" s="21">
        <f>8192*'5qubits'!J58/100</f>
        <v>1450.96704</v>
      </c>
      <c r="K29" s="21">
        <f>8192*'5qubits'!K58/100</f>
        <v>1225.0316800000001</v>
      </c>
      <c r="L29" s="21">
        <f>8192*'5qubits'!L58/100</f>
        <v>1012.03968</v>
      </c>
      <c r="M29" s="21">
        <f>8192*'5qubits'!M58/100</f>
        <v>1560.9856</v>
      </c>
      <c r="N29" s="21">
        <f>8192*'5qubits'!N58/100</f>
        <v>931.02080000000001</v>
      </c>
      <c r="P29" s="21">
        <f>8192*'5qubits'!O58/100</f>
        <v>1048.0025599999999</v>
      </c>
      <c r="Q29" s="21">
        <f>8192*'5qubits'!P58/100</f>
        <v>1539.0310399999998</v>
      </c>
      <c r="R29" s="21">
        <f>8192*'5qubits'!Q58/100</f>
        <v>1052.0166400000001</v>
      </c>
      <c r="S29" s="21">
        <f>8192*'5qubits'!R58/100</f>
        <v>986.97216000000003</v>
      </c>
      <c r="T29" s="21">
        <f>8192*'5qubits'!S58/100</f>
        <v>1149.99296</v>
      </c>
      <c r="U29" s="21">
        <f>8192*'5qubits'!T58/100</f>
        <v>1032.0281600000001</v>
      </c>
      <c r="W29" s="21">
        <f>8192*'5qubits'!U58/100</f>
        <v>1394.0326399999999</v>
      </c>
      <c r="X29" s="21">
        <f>8192*'5qubits'!V58/100</f>
        <v>1395.99872</v>
      </c>
      <c r="Y29" s="21">
        <f>8192*'5qubits'!W58/100</f>
        <v>1111.98208</v>
      </c>
      <c r="Z29" s="21">
        <f>8192*'5qubits'!X58/100</f>
        <v>961.98656000000005</v>
      </c>
      <c r="AA29" s="21">
        <f>8192*'5qubits'!Y58/100</f>
        <v>727.04</v>
      </c>
      <c r="AB29" s="21">
        <f>8192*'5qubits'!Z58/100</f>
        <v>1155.9731200000001</v>
      </c>
      <c r="AD29" s="21">
        <f>8192*'5qubits'!AA58/100</f>
        <v>1178.9926399999999</v>
      </c>
      <c r="AE29" s="21">
        <f>8192*'5qubits'!AB58/100</f>
        <v>1430.97856</v>
      </c>
      <c r="AF29" s="21">
        <f>8192*'5qubits'!AC58/100</f>
        <v>1424.0153599999999</v>
      </c>
      <c r="AG29" s="21">
        <f>8192*'5qubits'!AD58/100</f>
        <v>1122.9593600000001</v>
      </c>
      <c r="AH29" s="21">
        <f>8192*'5qubits'!AE58/100</f>
        <v>897.02399999999989</v>
      </c>
      <c r="AI29" s="21">
        <f>8192*'5qubits'!AF58/100</f>
        <v>1186.0377599999999</v>
      </c>
    </row>
    <row r="30" spans="1:35" s="21" customFormat="1" x14ac:dyDescent="0.45">
      <c r="B30" s="21">
        <f>SUM(B26:B29)</f>
        <v>8191.9180800000004</v>
      </c>
      <c r="C30" s="21">
        <f t="shared" ref="C30:AI30" si="6">SUM(C26:C29)</f>
        <v>8192.0819200000005</v>
      </c>
      <c r="D30" s="21">
        <f t="shared" si="6"/>
        <v>8191.9999999999991</v>
      </c>
      <c r="E30" s="21">
        <f t="shared" si="6"/>
        <v>8191.590400000001</v>
      </c>
      <c r="F30" s="21">
        <f t="shared" si="6"/>
        <v>8191.9999999999991</v>
      </c>
      <c r="G30" s="21">
        <f t="shared" si="6"/>
        <v>8192</v>
      </c>
      <c r="I30" s="21">
        <f t="shared" si="6"/>
        <v>8192</v>
      </c>
      <c r="J30" s="21">
        <f t="shared" si="6"/>
        <v>8191.9999999999982</v>
      </c>
      <c r="K30" s="21">
        <f t="shared" si="6"/>
        <v>8192</v>
      </c>
      <c r="L30" s="21">
        <f t="shared" si="6"/>
        <v>8192.0819199999987</v>
      </c>
      <c r="M30" s="21">
        <f t="shared" si="6"/>
        <v>8191.9180800000004</v>
      </c>
      <c r="N30" s="21">
        <f t="shared" si="6"/>
        <v>8192</v>
      </c>
      <c r="P30" s="21">
        <f t="shared" si="6"/>
        <v>8192.0819200000005</v>
      </c>
      <c r="Q30" s="21">
        <f t="shared" si="6"/>
        <v>8192</v>
      </c>
      <c r="R30" s="21">
        <f t="shared" si="6"/>
        <v>8191.9180799999995</v>
      </c>
      <c r="S30" s="21">
        <f t="shared" si="6"/>
        <v>8191.9180800000004</v>
      </c>
      <c r="T30" s="21">
        <f t="shared" si="6"/>
        <v>8192</v>
      </c>
      <c r="U30" s="21">
        <f t="shared" si="6"/>
        <v>8192</v>
      </c>
      <c r="W30" s="21">
        <f t="shared" si="6"/>
        <v>8192</v>
      </c>
      <c r="X30" s="21">
        <f t="shared" si="6"/>
        <v>8191.9180799999995</v>
      </c>
      <c r="Y30" s="21">
        <f t="shared" si="6"/>
        <v>8191.9180799999995</v>
      </c>
      <c r="Z30" s="21">
        <f t="shared" si="6"/>
        <v>8191.9180800000004</v>
      </c>
      <c r="AA30" s="21">
        <f t="shared" si="6"/>
        <v>8191.9999999999991</v>
      </c>
      <c r="AB30" s="21">
        <f t="shared" si="6"/>
        <v>8191.9180800000013</v>
      </c>
      <c r="AD30" s="21">
        <f t="shared" si="6"/>
        <v>8191.9180800000013</v>
      </c>
      <c r="AE30" s="21">
        <f t="shared" si="6"/>
        <v>8192</v>
      </c>
      <c r="AF30" s="21">
        <f t="shared" si="6"/>
        <v>8192</v>
      </c>
      <c r="AG30" s="21">
        <f t="shared" si="6"/>
        <v>8192</v>
      </c>
      <c r="AH30" s="21">
        <f t="shared" si="6"/>
        <v>8192.0819199999987</v>
      </c>
      <c r="AI30" s="21">
        <f t="shared" si="6"/>
        <v>8192</v>
      </c>
    </row>
    <row r="32" spans="1:35" x14ac:dyDescent="0.45">
      <c r="A32" s="21" t="s">
        <v>59</v>
      </c>
      <c r="B32" s="25">
        <v>3102.96576</v>
      </c>
      <c r="C32">
        <v>3206.0211200000003</v>
      </c>
      <c r="D32">
        <v>4120.9856</v>
      </c>
      <c r="E32">
        <v>3636.0191999999997</v>
      </c>
      <c r="F32">
        <v>4037.0176000000001</v>
      </c>
      <c r="G32" s="26">
        <v>4196.0243199999995</v>
      </c>
      <c r="H32" s="21" t="s">
        <v>59</v>
      </c>
      <c r="I32" s="25">
        <v>2612.0192000000002</v>
      </c>
      <c r="J32">
        <v>2904.9651199999998</v>
      </c>
      <c r="K32">
        <v>2941.9929599999996</v>
      </c>
      <c r="L32">
        <v>2638.9708799999999</v>
      </c>
      <c r="M32">
        <v>3626.0249599999997</v>
      </c>
      <c r="N32" s="26">
        <v>3630.0390399999997</v>
      </c>
      <c r="O32" s="21" t="s">
        <v>59</v>
      </c>
      <c r="P32">
        <v>2825.0111999999999</v>
      </c>
      <c r="Q32">
        <v>3537.9609600000003</v>
      </c>
      <c r="R32">
        <v>3722.0352000000003</v>
      </c>
      <c r="S32">
        <v>3463.0041600000004</v>
      </c>
      <c r="T32">
        <v>3653.9596799999999</v>
      </c>
      <c r="U32" s="26">
        <v>3767.0092800000002</v>
      </c>
      <c r="V32" s="21" t="s">
        <v>59</v>
      </c>
      <c r="W32" s="25">
        <v>3078.9632000000001</v>
      </c>
      <c r="X32">
        <v>3260.9894400000003</v>
      </c>
      <c r="Y32">
        <v>3521.0035200000002</v>
      </c>
      <c r="Z32">
        <v>3569.9916800000001</v>
      </c>
      <c r="AA32">
        <v>4039.9667200000004</v>
      </c>
      <c r="AB32" s="26">
        <v>4534.0262400000001</v>
      </c>
      <c r="AC32" s="21" t="s">
        <v>59</v>
      </c>
      <c r="AD32" s="25">
        <v>3009.0035200000002</v>
      </c>
      <c r="AE32">
        <v>3047.9974400000001</v>
      </c>
      <c r="AF32">
        <v>3323.9859200000001</v>
      </c>
      <c r="AG32">
        <v>3304.9804800000002</v>
      </c>
      <c r="AH32">
        <v>3550.9862400000002</v>
      </c>
      <c r="AI32" s="26">
        <v>4182.0159999999996</v>
      </c>
    </row>
    <row r="33" spans="1:35" x14ac:dyDescent="0.45">
      <c r="B33" s="25">
        <v>1913.9788800000001</v>
      </c>
      <c r="C33">
        <v>2028.9945600000001</v>
      </c>
      <c r="D33">
        <v>1645.0355199999999</v>
      </c>
      <c r="E33">
        <v>1936.0153599999999</v>
      </c>
      <c r="F33">
        <v>1830.0108799999998</v>
      </c>
      <c r="G33" s="26">
        <v>1599.9795199999999</v>
      </c>
      <c r="I33" s="25">
        <v>1769.9635200000002</v>
      </c>
      <c r="J33">
        <v>1646.01856</v>
      </c>
      <c r="K33">
        <v>1695.0067199999999</v>
      </c>
      <c r="L33">
        <v>1701.96992</v>
      </c>
      <c r="M33">
        <v>1445.96992</v>
      </c>
      <c r="N33" s="26">
        <v>1608.9907199999998</v>
      </c>
      <c r="P33">
        <v>1880.9651199999998</v>
      </c>
      <c r="Q33">
        <v>1600.9625599999999</v>
      </c>
      <c r="R33">
        <v>1742.0288</v>
      </c>
      <c r="S33">
        <v>1642.9875200000001</v>
      </c>
      <c r="T33">
        <v>1710.9811199999999</v>
      </c>
      <c r="U33" s="26">
        <v>2001.9609599999999</v>
      </c>
      <c r="W33" s="25">
        <v>1855.9795199999999</v>
      </c>
      <c r="X33">
        <v>1763.0003200000001</v>
      </c>
      <c r="Y33">
        <v>1576.96</v>
      </c>
      <c r="Z33">
        <v>1869.9878400000002</v>
      </c>
      <c r="AA33">
        <v>1531.9859200000001</v>
      </c>
      <c r="AB33" s="26">
        <v>1730.9695999999999</v>
      </c>
      <c r="AD33" s="25">
        <v>1916.0268799999999</v>
      </c>
      <c r="AE33">
        <v>1835.9910399999999</v>
      </c>
      <c r="AF33">
        <v>2170.9619200000002</v>
      </c>
      <c r="AG33">
        <v>1928.9702400000001</v>
      </c>
      <c r="AH33">
        <v>2046.0339199999999</v>
      </c>
      <c r="AI33" s="26">
        <v>1510.0313599999999</v>
      </c>
    </row>
    <row r="34" spans="1:35" x14ac:dyDescent="0.45">
      <c r="B34" s="25">
        <v>1854.0134400000002</v>
      </c>
      <c r="C34">
        <v>1698.0377600000002</v>
      </c>
      <c r="D34">
        <v>1593.9993599999998</v>
      </c>
      <c r="E34">
        <v>1483.5711999999999</v>
      </c>
      <c r="F34">
        <v>1516.9945600000001</v>
      </c>
      <c r="G34" s="26">
        <v>1566.96576</v>
      </c>
      <c r="I34" s="25">
        <v>2236.9894399999998</v>
      </c>
      <c r="J34">
        <v>2415.9846400000001</v>
      </c>
      <c r="K34">
        <v>2104.0332800000001</v>
      </c>
      <c r="L34">
        <v>2289.9916800000001</v>
      </c>
      <c r="M34">
        <v>2188.98432</v>
      </c>
      <c r="N34" s="26">
        <v>1941.0124799999999</v>
      </c>
      <c r="P34">
        <v>1946.9926399999999</v>
      </c>
      <c r="Q34">
        <v>2000.9779199999998</v>
      </c>
      <c r="R34">
        <v>1680.0153599999999</v>
      </c>
      <c r="S34">
        <v>1936.0153599999999</v>
      </c>
      <c r="T34">
        <v>1840.0051199999998</v>
      </c>
      <c r="U34" s="26">
        <v>1391.0016000000001</v>
      </c>
      <c r="W34" s="25">
        <v>1860.9766399999999</v>
      </c>
      <c r="X34">
        <v>1773.9776000000002</v>
      </c>
      <c r="Y34">
        <v>1981.9724799999999</v>
      </c>
      <c r="Z34">
        <v>1595.9654399999999</v>
      </c>
      <c r="AA34">
        <v>1657.9788800000001</v>
      </c>
      <c r="AB34" s="26">
        <v>1199.96416</v>
      </c>
      <c r="AD34" s="25">
        <v>1835.9910399999999</v>
      </c>
      <c r="AE34">
        <v>1883.9961600000001</v>
      </c>
      <c r="AF34">
        <v>1517.9776000000002</v>
      </c>
      <c r="AG34">
        <v>1772.01152</v>
      </c>
      <c r="AH34">
        <v>1472.0204800000001</v>
      </c>
      <c r="AI34" s="26">
        <v>1603.0105600000002</v>
      </c>
    </row>
    <row r="35" spans="1:35" x14ac:dyDescent="0.45">
      <c r="B35" s="25">
        <v>1320.96</v>
      </c>
      <c r="C35">
        <v>1259.0284799999999</v>
      </c>
      <c r="D35">
        <v>831.97952000000009</v>
      </c>
      <c r="E35">
        <v>1135.9846400000001</v>
      </c>
      <c r="F35">
        <v>807.97695999999996</v>
      </c>
      <c r="G35" s="26">
        <v>829.03039999999999</v>
      </c>
      <c r="I35" s="25">
        <v>1573.0278400000002</v>
      </c>
      <c r="J35">
        <v>1225.0316800000001</v>
      </c>
      <c r="K35">
        <v>1450.96704</v>
      </c>
      <c r="L35">
        <v>1560.9856</v>
      </c>
      <c r="M35">
        <v>931.02080000000001</v>
      </c>
      <c r="N35" s="26">
        <v>1012.03968</v>
      </c>
      <c r="P35">
        <v>1539.0310399999998</v>
      </c>
      <c r="Q35">
        <v>1052.0166400000001</v>
      </c>
      <c r="R35">
        <v>1048.0025599999999</v>
      </c>
      <c r="S35">
        <v>1149.99296</v>
      </c>
      <c r="T35">
        <v>986.97216000000003</v>
      </c>
      <c r="U35" s="26">
        <v>1032.0281600000001</v>
      </c>
      <c r="W35" s="25">
        <v>1395.99872</v>
      </c>
      <c r="X35">
        <v>1394.0326399999999</v>
      </c>
      <c r="Y35">
        <v>1111.98208</v>
      </c>
      <c r="Z35">
        <v>1155.9731200000001</v>
      </c>
      <c r="AA35">
        <v>961.98656000000005</v>
      </c>
      <c r="AB35" s="26">
        <v>727.04</v>
      </c>
      <c r="AD35" s="25">
        <v>1430.97856</v>
      </c>
      <c r="AE35">
        <v>1424.0153599999999</v>
      </c>
      <c r="AF35">
        <v>1178.9926399999999</v>
      </c>
      <c r="AG35">
        <v>1186.0377599999999</v>
      </c>
      <c r="AH35">
        <v>1122.9593600000001</v>
      </c>
      <c r="AI35" s="26">
        <v>897.02399999999989</v>
      </c>
    </row>
    <row r="36" spans="1:35" x14ac:dyDescent="0.45">
      <c r="B36">
        <v>8191.9180800000004</v>
      </c>
      <c r="C36">
        <v>8192.0819200000005</v>
      </c>
      <c r="D36">
        <v>8191.9999999999991</v>
      </c>
      <c r="E36">
        <v>8191.590400000001</v>
      </c>
      <c r="F36">
        <v>8192</v>
      </c>
      <c r="G36">
        <v>8191.9999999999991</v>
      </c>
      <c r="I36">
        <v>8192</v>
      </c>
      <c r="J36">
        <v>8192</v>
      </c>
      <c r="K36">
        <v>8191.9999999999982</v>
      </c>
      <c r="L36">
        <v>8191.9180800000004</v>
      </c>
      <c r="M36">
        <v>8192</v>
      </c>
      <c r="N36">
        <v>8192.0819199999987</v>
      </c>
      <c r="P36">
        <v>8192</v>
      </c>
      <c r="Q36">
        <v>8191.9180799999995</v>
      </c>
      <c r="R36">
        <v>8192.0819200000005</v>
      </c>
      <c r="S36">
        <v>8192</v>
      </c>
      <c r="T36">
        <v>8191.9180800000004</v>
      </c>
      <c r="U36">
        <v>8192</v>
      </c>
      <c r="W36">
        <v>8191.9180799999995</v>
      </c>
      <c r="X36">
        <v>8192</v>
      </c>
      <c r="Y36">
        <v>8191.9180799999995</v>
      </c>
      <c r="Z36">
        <v>8191.9180800000013</v>
      </c>
      <c r="AA36">
        <v>8191.9180800000004</v>
      </c>
      <c r="AB36">
        <v>8191.9999999999991</v>
      </c>
      <c r="AD36">
        <v>8192</v>
      </c>
      <c r="AE36">
        <v>8192</v>
      </c>
      <c r="AF36">
        <v>8191.9180800000013</v>
      </c>
      <c r="AG36">
        <v>8192</v>
      </c>
      <c r="AH36">
        <v>8192</v>
      </c>
      <c r="AI36">
        <v>8192.0819199999987</v>
      </c>
    </row>
    <row r="38" spans="1:35" s="21" customFormat="1" x14ac:dyDescent="0.45">
      <c r="A38" s="21" t="s">
        <v>60</v>
      </c>
      <c r="B38" s="21">
        <f>8192*'5qubits'!C75/100</f>
        <v>3865.9686400000001</v>
      </c>
      <c r="C38" s="21">
        <f>8192*'5qubits'!D75/100</f>
        <v>5200.0358399999996</v>
      </c>
      <c r="D38" s="21">
        <f>8192*'5qubits'!E75/100</f>
        <v>4425.9737599999999</v>
      </c>
      <c r="E38" s="21">
        <f>8192*'5qubits'!F75/100</f>
        <v>5260.9843200000005</v>
      </c>
      <c r="F38" s="21">
        <f>8192*'5qubits'!G75/100</f>
        <v>6163.98848</v>
      </c>
      <c r="G38" s="21">
        <f>8192*'5qubits'!H75/100</f>
        <v>5419.0080000000007</v>
      </c>
      <c r="H38" s="21" t="s">
        <v>60</v>
      </c>
      <c r="I38" s="21">
        <f>8192*'5qubits'!I75/100</f>
        <v>5163.9910399999999</v>
      </c>
      <c r="J38" s="21">
        <f>8192*'5qubits'!J75/100</f>
        <v>4260.0038400000003</v>
      </c>
      <c r="K38" s="21">
        <f>8192*'5qubits'!K75/100</f>
        <v>4192.9932799999997</v>
      </c>
      <c r="L38" s="21">
        <f>8192*'5qubits'!L75/100</f>
        <v>4888.9856</v>
      </c>
      <c r="M38" s="21">
        <f>8192*'5qubits'!M75/100</f>
        <v>4599.9718400000002</v>
      </c>
      <c r="N38" s="21">
        <f>8192*'5qubits'!N75/100</f>
        <v>6008.0128000000004</v>
      </c>
      <c r="O38" s="21" t="s">
        <v>60</v>
      </c>
      <c r="P38" s="21">
        <f>8192*'5qubits'!O75/100</f>
        <v>4033.0035200000002</v>
      </c>
      <c r="Q38" s="21">
        <f>8192*'5qubits'!P75/100</f>
        <v>4171.0387199999996</v>
      </c>
      <c r="R38" s="21">
        <f>8192*'5qubits'!Q75/100</f>
        <v>4767.0067200000003</v>
      </c>
      <c r="S38" s="21">
        <f>8192*'5qubits'!R75/100</f>
        <v>5361.0086399999991</v>
      </c>
      <c r="T38" s="21">
        <f>8192*'5qubits'!S75/100</f>
        <v>5963.0387199999996</v>
      </c>
      <c r="U38" s="21">
        <f>8192*'5qubits'!T75/100</f>
        <v>5941.9852800000008</v>
      </c>
      <c r="V38" s="21" t="s">
        <v>60</v>
      </c>
      <c r="W38" s="21">
        <f>8192*'5qubits'!U75/100</f>
        <v>4501.0124800000003</v>
      </c>
      <c r="X38" s="21">
        <f>8192*'5qubits'!V75/100</f>
        <v>5102.9606400000002</v>
      </c>
      <c r="Y38" s="21">
        <f>8192*'5qubits'!W75/100</f>
        <v>3946.9875199999997</v>
      </c>
      <c r="Z38" s="21">
        <f>8192*'5qubits'!X75/100</f>
        <v>4675.0105599999997</v>
      </c>
      <c r="AA38" s="21">
        <f>8192*'5qubits'!Y75/100</f>
        <v>4275.9782400000004</v>
      </c>
      <c r="AB38" s="21">
        <f>8192*'5qubits'!Z75/100</f>
        <v>4516.9868800000004</v>
      </c>
      <c r="AC38" s="21" t="s">
        <v>60</v>
      </c>
      <c r="AD38" s="21">
        <f>8192*'5qubits'!AA75/100</f>
        <v>5923.9628799999991</v>
      </c>
      <c r="AE38" s="21">
        <f>8192*'5qubits'!AB75/100</f>
        <v>4155.9654399999999</v>
      </c>
      <c r="AF38" s="21">
        <f>8192*'5qubits'!AC75/100</f>
        <v>5678.0390399999997</v>
      </c>
      <c r="AG38" s="21">
        <f>8192*'5qubits'!AD75/100</f>
        <v>4893.98272</v>
      </c>
      <c r="AH38" s="21">
        <f>8192*'5qubits'!AE75/100</f>
        <v>4854.00576</v>
      </c>
      <c r="AI38" s="21">
        <f>8192*'5qubits'!AF75/100</f>
        <v>5081.9891200000002</v>
      </c>
    </row>
    <row r="39" spans="1:35" s="21" customFormat="1" x14ac:dyDescent="0.45">
      <c r="B39" s="21">
        <f>8192*'5qubits'!C76/100</f>
        <v>2593.9967999999999</v>
      </c>
      <c r="C39" s="21">
        <f>8192*'5qubits'!D76/100</f>
        <v>1696.9728</v>
      </c>
      <c r="D39" s="21">
        <f>8192*'5qubits'!E76/100</f>
        <v>1922.00704</v>
      </c>
      <c r="E39" s="21">
        <f>8192*'5qubits'!F76/100</f>
        <v>1324.97408</v>
      </c>
      <c r="F39" s="21">
        <f>8192*'5qubits'!G76/100</f>
        <v>1064.96</v>
      </c>
      <c r="G39" s="21">
        <f>8192*'5qubits'!H76/100</f>
        <v>1411.9731200000001</v>
      </c>
      <c r="I39" s="21">
        <f>8192*'5qubits'!I76/100</f>
        <v>1539.0310399999998</v>
      </c>
      <c r="J39" s="21">
        <f>8192*'5qubits'!J76/100</f>
        <v>2632.9907199999998</v>
      </c>
      <c r="K39" s="21">
        <f>8192*'5qubits'!K76/100</f>
        <v>2970.0096000000003</v>
      </c>
      <c r="L39" s="21">
        <f>8192*'5qubits'!L76/100</f>
        <v>1378.9593599999998</v>
      </c>
      <c r="M39" s="21">
        <f>8192*'5qubits'!M76/100</f>
        <v>1729.0035200000002</v>
      </c>
      <c r="N39" s="21">
        <f>8192*'5qubits'!N76/100</f>
        <v>1071.02208</v>
      </c>
      <c r="P39" s="21">
        <f>8192*'5qubits'!O76/100</f>
        <v>1792.9830400000001</v>
      </c>
      <c r="Q39" s="21">
        <f>8192*'5qubits'!P76/100</f>
        <v>1735.9667199999999</v>
      </c>
      <c r="R39" s="21">
        <f>8192*'5qubits'!Q76/100</f>
        <v>2043.00288</v>
      </c>
      <c r="S39" s="21">
        <f>8192*'5qubits'!R76/100</f>
        <v>1409.0239999999999</v>
      </c>
      <c r="T39" s="21">
        <f>8192*'5qubits'!S76/100</f>
        <v>1087.9795200000001</v>
      </c>
      <c r="U39" s="21">
        <f>8192*'5qubits'!T76/100</f>
        <v>1246.0032000000001</v>
      </c>
      <c r="W39" s="21">
        <f>8192*'5qubits'!U76/100</f>
        <v>2487.0092800000002</v>
      </c>
      <c r="X39" s="21">
        <f>8192*'5qubits'!V76/100</f>
        <v>1892.02432</v>
      </c>
      <c r="Y39" s="21">
        <f>8192*'5qubits'!W76/100</f>
        <v>1864.9907199999998</v>
      </c>
      <c r="Z39" s="21">
        <f>8192*'5qubits'!X76/100</f>
        <v>1627.0131200000001</v>
      </c>
      <c r="AA39" s="21">
        <f>8192*'5qubits'!Y76/100</f>
        <v>1711.96416</v>
      </c>
      <c r="AB39" s="21">
        <f>8192*'5qubits'!Z76/100</f>
        <v>2387.9679999999998</v>
      </c>
      <c r="AD39" s="21">
        <f>8192*'5qubits'!AA76/100</f>
        <v>1250.01728</v>
      </c>
      <c r="AE39" s="21">
        <f>8192*'5qubits'!AB76/100</f>
        <v>1785.0367999999999</v>
      </c>
      <c r="AF39" s="21">
        <f>8192*'5qubits'!AC76/100</f>
        <v>1218.9696000000001</v>
      </c>
      <c r="AG39" s="21">
        <f>8192*'5qubits'!AD76/100</f>
        <v>1835.0079999999998</v>
      </c>
      <c r="AH39" s="21">
        <f>8192*'5qubits'!AE76/100</f>
        <v>1657.9788800000001</v>
      </c>
      <c r="AI39" s="21">
        <f>8192*'5qubits'!AF76/100</f>
        <v>873.02143999999998</v>
      </c>
    </row>
    <row r="40" spans="1:35" s="21" customFormat="1" x14ac:dyDescent="0.45">
      <c r="B40" s="21">
        <f>8192*'5qubits'!C77/100</f>
        <v>887.0297599999999</v>
      </c>
      <c r="C40" s="21">
        <f>8192*'5qubits'!D77/100</f>
        <v>840.00767999999994</v>
      </c>
      <c r="D40" s="21">
        <f>8192*'5qubits'!E77/100</f>
        <v>1081.99936</v>
      </c>
      <c r="E40" s="21">
        <f>8192*'5qubits'!F77/100</f>
        <v>1177.02656</v>
      </c>
      <c r="F40" s="21">
        <f>8192*'5qubits'!G77/100</f>
        <v>720.97792000000004</v>
      </c>
      <c r="G40" s="21">
        <f>8192*'5qubits'!H77/100</f>
        <v>919.96160000000009</v>
      </c>
      <c r="I40" s="21">
        <f>8192*'5qubits'!I77/100</f>
        <v>1009.9916800000001</v>
      </c>
      <c r="J40" s="21">
        <f>8192*'5qubits'!J77/100</f>
        <v>772.01407999999992</v>
      </c>
      <c r="K40" s="21">
        <f>8192*'5qubits'!K77/100</f>
        <v>559.02207999999996</v>
      </c>
      <c r="L40" s="21">
        <f>8192*'5qubits'!L77/100</f>
        <v>1187.0208</v>
      </c>
      <c r="M40" s="21">
        <f>8192*'5qubits'!M77/100</f>
        <v>1155.9731200000001</v>
      </c>
      <c r="N40" s="21">
        <f>8192*'5qubits'!N77/100</f>
        <v>832.96255999999994</v>
      </c>
      <c r="P40" s="21">
        <f>8192*'5qubits'!O77/100</f>
        <v>1312.0307199999997</v>
      </c>
      <c r="Q40" s="21">
        <f>8192*'5qubits'!P77/100</f>
        <v>1270.9888000000001</v>
      </c>
      <c r="R40" s="21">
        <f>8192*'5qubits'!Q77/100</f>
        <v>840.99072000000001</v>
      </c>
      <c r="S40" s="21">
        <f>8192*'5qubits'!R77/100</f>
        <v>977.96096</v>
      </c>
      <c r="T40" s="21">
        <f>8192*'5qubits'!S77/100</f>
        <v>822.96831999999995</v>
      </c>
      <c r="U40" s="21">
        <f>8192*'5qubits'!T77/100</f>
        <v>715.98080000000004</v>
      </c>
      <c r="W40" s="21">
        <f>8192*'5qubits'!U77/100</f>
        <v>592.03584000000001</v>
      </c>
      <c r="X40" s="21">
        <f>8192*'5qubits'!V77/100</f>
        <v>769.96607999999992</v>
      </c>
      <c r="Y40" s="21">
        <f>8192*'5qubits'!W77/100</f>
        <v>1384.0383999999999</v>
      </c>
      <c r="Z40" s="21">
        <f>8192*'5qubits'!X77/100</f>
        <v>1071.02208</v>
      </c>
      <c r="AA40" s="21">
        <f>8192*'5qubits'!Y77/100</f>
        <v>1357.0048000000002</v>
      </c>
      <c r="AB40" s="21">
        <f>8192*'5qubits'!Z77/100</f>
        <v>730.97216000000003</v>
      </c>
      <c r="AD40" s="21">
        <f>8192*'5qubits'!AA77/100</f>
        <v>753.00864000000001</v>
      </c>
      <c r="AE40" s="21">
        <f>8192*'5qubits'!AB77/100</f>
        <v>1334.9683199999999</v>
      </c>
      <c r="AF40" s="21">
        <f>8192*'5qubits'!AC77/100</f>
        <v>921.02656000000002</v>
      </c>
      <c r="AG40" s="21">
        <f>8192*'5qubits'!AD77/100</f>
        <v>864.99327999999991</v>
      </c>
      <c r="AH40" s="21">
        <f>8192*'5qubits'!AE77/100</f>
        <v>986.97216000000003</v>
      </c>
      <c r="AI40" s="21">
        <f>8192*'5qubits'!AF77/100</f>
        <v>1829.0278400000002</v>
      </c>
    </row>
    <row r="41" spans="1:35" s="21" customFormat="1" x14ac:dyDescent="0.45">
      <c r="B41" s="21">
        <f>8192*'5qubits'!C78/100</f>
        <v>845.00479999999993</v>
      </c>
      <c r="C41" s="21">
        <f>8192*'5qubits'!D78/100</f>
        <v>454.98368000000005</v>
      </c>
      <c r="D41" s="21">
        <f>8192*'5qubits'!E78/100</f>
        <v>762.01983999999993</v>
      </c>
      <c r="E41" s="21">
        <f>8192*'5qubits'!F78/100</f>
        <v>429.01504</v>
      </c>
      <c r="F41" s="21">
        <f>8192*'5qubits'!G78/100</f>
        <v>241.99168</v>
      </c>
      <c r="G41" s="21">
        <f>8192*'5qubits'!H78/100</f>
        <v>440.97536000000002</v>
      </c>
      <c r="I41" s="21">
        <f>8192*'5qubits'!I78/100</f>
        <v>478.98624000000001</v>
      </c>
      <c r="J41" s="21">
        <f>8192*'5qubits'!J78/100</f>
        <v>526.99135999999999</v>
      </c>
      <c r="K41" s="21">
        <f>8192*'5qubits'!K78/100</f>
        <v>469.97504000000004</v>
      </c>
      <c r="L41" s="21">
        <f>8192*'5qubits'!L78/100</f>
        <v>737.03423999999995</v>
      </c>
      <c r="M41" s="21">
        <f>8192*'5qubits'!M78/100</f>
        <v>706.96960000000001</v>
      </c>
      <c r="N41" s="21">
        <f>8192*'5qubits'!N78/100</f>
        <v>280.00256000000002</v>
      </c>
      <c r="P41" s="21">
        <f>8192*'5qubits'!O78/100</f>
        <v>1053.98272</v>
      </c>
      <c r="Q41" s="21">
        <f>8192*'5qubits'!P78/100</f>
        <v>1014.00576</v>
      </c>
      <c r="R41" s="21">
        <f>8192*'5qubits'!Q78/100</f>
        <v>540.99968000000001</v>
      </c>
      <c r="S41" s="21">
        <f>8192*'5qubits'!R78/100</f>
        <v>444.00639999999999</v>
      </c>
      <c r="T41" s="21">
        <f>8192*'5qubits'!S78/100</f>
        <v>318.01344</v>
      </c>
      <c r="U41" s="21">
        <f>8192*'5qubits'!T78/100</f>
        <v>288.03071999999997</v>
      </c>
      <c r="W41" s="21">
        <f>8192*'5qubits'!U78/100</f>
        <v>612.02431999999999</v>
      </c>
      <c r="X41" s="21">
        <f>8192*'5qubits'!V78/100</f>
        <v>426.96704</v>
      </c>
      <c r="Y41" s="21">
        <f>8192*'5qubits'!W78/100</f>
        <v>995.98335999999995</v>
      </c>
      <c r="Z41" s="21">
        <f>8192*'5qubits'!X78/100</f>
        <v>819.03616</v>
      </c>
      <c r="AA41" s="21">
        <f>8192*'5qubits'!Y78/100</f>
        <v>846.97088000000008</v>
      </c>
      <c r="AB41" s="21">
        <f>8192*'5qubits'!Z78/100</f>
        <v>555.99104</v>
      </c>
      <c r="AD41" s="21">
        <f>8192*'5qubits'!AA78/100</f>
        <v>265.01119999999997</v>
      </c>
      <c r="AE41" s="21">
        <f>8192*'5qubits'!AB78/100</f>
        <v>916.02944000000002</v>
      </c>
      <c r="AF41" s="21">
        <f>8192*'5qubits'!AC78/100</f>
        <v>373.96480000000003</v>
      </c>
      <c r="AG41" s="21">
        <f>8192*'5qubits'!AD78/100</f>
        <v>598.01599999999996</v>
      </c>
      <c r="AH41" s="21">
        <f>8192*'5qubits'!AE78/100</f>
        <v>692.96127999999999</v>
      </c>
      <c r="AI41" s="21">
        <f>8192*'5qubits'!AF78/100</f>
        <v>407.96160000000003</v>
      </c>
    </row>
    <row r="42" spans="1:35" s="21" customFormat="1" x14ac:dyDescent="0.45">
      <c r="B42" s="21">
        <f>SUM(B38:B41)</f>
        <v>8191.9999999999991</v>
      </c>
      <c r="C42" s="21">
        <f t="shared" ref="C42:AI42" si="7">SUM(C38:C41)</f>
        <v>8192</v>
      </c>
      <c r="D42" s="21">
        <f t="shared" si="7"/>
        <v>8191.9999999999991</v>
      </c>
      <c r="E42" s="21">
        <f t="shared" si="7"/>
        <v>8192</v>
      </c>
      <c r="F42" s="21">
        <f t="shared" si="7"/>
        <v>8191.9180800000004</v>
      </c>
      <c r="G42" s="21">
        <f t="shared" si="7"/>
        <v>8191.9180800000013</v>
      </c>
      <c r="I42" s="21">
        <f t="shared" si="7"/>
        <v>8192</v>
      </c>
      <c r="J42" s="21">
        <f t="shared" si="7"/>
        <v>8192</v>
      </c>
      <c r="K42" s="21">
        <f t="shared" si="7"/>
        <v>8192</v>
      </c>
      <c r="L42" s="21">
        <f t="shared" si="7"/>
        <v>8192</v>
      </c>
      <c r="M42" s="21">
        <f t="shared" si="7"/>
        <v>8191.9180800000013</v>
      </c>
      <c r="N42" s="21">
        <f t="shared" si="7"/>
        <v>8192</v>
      </c>
      <c r="P42" s="21">
        <f t="shared" si="7"/>
        <v>8192</v>
      </c>
      <c r="Q42" s="21">
        <f t="shared" si="7"/>
        <v>8191.9999999999991</v>
      </c>
      <c r="R42" s="21">
        <f t="shared" si="7"/>
        <v>8192</v>
      </c>
      <c r="S42" s="21">
        <f t="shared" si="7"/>
        <v>8192</v>
      </c>
      <c r="T42" s="21">
        <f t="shared" si="7"/>
        <v>8191.9999999999991</v>
      </c>
      <c r="U42" s="21">
        <f t="shared" si="7"/>
        <v>8192.0000000000018</v>
      </c>
      <c r="W42" s="21">
        <f t="shared" si="7"/>
        <v>8192.0819200000005</v>
      </c>
      <c r="X42" s="21">
        <f t="shared" si="7"/>
        <v>8191.9180799999995</v>
      </c>
      <c r="Y42" s="21">
        <f t="shared" si="7"/>
        <v>8192</v>
      </c>
      <c r="Z42" s="21">
        <f t="shared" si="7"/>
        <v>8192.0819200000005</v>
      </c>
      <c r="AA42" s="21">
        <f t="shared" si="7"/>
        <v>8191.9180800000004</v>
      </c>
      <c r="AB42" s="21">
        <f t="shared" si="7"/>
        <v>8191.9180800000004</v>
      </c>
      <c r="AD42" s="21">
        <f t="shared" si="7"/>
        <v>8191.9999999999991</v>
      </c>
      <c r="AE42" s="21">
        <f t="shared" si="7"/>
        <v>8192</v>
      </c>
      <c r="AF42" s="21">
        <f t="shared" si="7"/>
        <v>8192</v>
      </c>
      <c r="AG42" s="21">
        <f t="shared" si="7"/>
        <v>8191.9999999999991</v>
      </c>
      <c r="AH42" s="21">
        <f t="shared" si="7"/>
        <v>8191.9180800000013</v>
      </c>
      <c r="AI42" s="21">
        <f t="shared" si="7"/>
        <v>8192.0000000000018</v>
      </c>
    </row>
    <row r="44" spans="1:35" x14ac:dyDescent="0.45">
      <c r="A44" s="21" t="s">
        <v>60</v>
      </c>
      <c r="B44" s="25">
        <v>3865.9686400000001</v>
      </c>
      <c r="C44">
        <v>4425.9737599999999</v>
      </c>
      <c r="D44">
        <v>5200.0358399999996</v>
      </c>
      <c r="E44">
        <v>5260.9843200000005</v>
      </c>
      <c r="F44">
        <v>5419.0080000000007</v>
      </c>
      <c r="G44" s="26">
        <v>6163.98848</v>
      </c>
      <c r="H44" s="21" t="s">
        <v>60</v>
      </c>
      <c r="I44" s="25">
        <v>4192.9932799999997</v>
      </c>
      <c r="J44">
        <v>4260.0038400000003</v>
      </c>
      <c r="K44">
        <v>5163.9910399999999</v>
      </c>
      <c r="L44">
        <v>4599.9718400000002</v>
      </c>
      <c r="M44">
        <v>4888.9856</v>
      </c>
      <c r="N44" s="26">
        <v>6008.0128000000004</v>
      </c>
      <c r="O44" s="21" t="s">
        <v>60</v>
      </c>
      <c r="P44">
        <v>4033.0035200000002</v>
      </c>
      <c r="Q44">
        <v>4171.0387199999996</v>
      </c>
      <c r="R44">
        <v>4767.0067200000003</v>
      </c>
      <c r="S44">
        <v>5361.0086399999991</v>
      </c>
      <c r="T44">
        <v>5941.9852800000008</v>
      </c>
      <c r="U44" s="26">
        <v>5963.0387199999996</v>
      </c>
      <c r="V44" s="21" t="s">
        <v>60</v>
      </c>
      <c r="W44" s="25">
        <v>3946.9875199999997</v>
      </c>
      <c r="X44">
        <v>4501.0124800000003</v>
      </c>
      <c r="Y44" s="26">
        <v>5102.9606400000002</v>
      </c>
      <c r="Z44">
        <v>4275.9782400000004</v>
      </c>
      <c r="AA44">
        <v>4516.9868800000004</v>
      </c>
      <c r="AB44" s="26">
        <v>4675.0105599999997</v>
      </c>
      <c r="AC44" s="21" t="s">
        <v>60</v>
      </c>
      <c r="AD44" s="25">
        <v>4155.9654399999999</v>
      </c>
      <c r="AE44">
        <v>5678.0390399999997</v>
      </c>
      <c r="AF44" s="26">
        <v>5923.9628799999991</v>
      </c>
      <c r="AG44">
        <v>4854.00576</v>
      </c>
      <c r="AH44">
        <v>4893.98272</v>
      </c>
      <c r="AI44" s="26">
        <v>5081.9891200000002</v>
      </c>
    </row>
    <row r="45" spans="1:35" x14ac:dyDescent="0.45">
      <c r="B45" s="25">
        <v>2593.9967999999999</v>
      </c>
      <c r="C45">
        <v>1922.00704</v>
      </c>
      <c r="D45">
        <v>1696.9728</v>
      </c>
      <c r="E45">
        <v>1324.97408</v>
      </c>
      <c r="F45">
        <v>1411.9731200000001</v>
      </c>
      <c r="G45" s="26">
        <v>1064.96</v>
      </c>
      <c r="I45" s="25">
        <v>2970.0096000000003</v>
      </c>
      <c r="J45">
        <v>2632.9907199999998</v>
      </c>
      <c r="K45">
        <v>1539.0310399999998</v>
      </c>
      <c r="L45">
        <v>1729.0035200000002</v>
      </c>
      <c r="M45">
        <v>1378.9593599999998</v>
      </c>
      <c r="N45" s="26">
        <v>1071.02208</v>
      </c>
      <c r="P45">
        <v>1792.9830400000001</v>
      </c>
      <c r="Q45">
        <v>1735.9667199999999</v>
      </c>
      <c r="R45">
        <v>2043.00288</v>
      </c>
      <c r="S45">
        <v>1409.0239999999999</v>
      </c>
      <c r="T45">
        <v>1246.0032000000001</v>
      </c>
      <c r="U45" s="26">
        <v>1087.9795200000001</v>
      </c>
      <c r="W45" s="25">
        <v>1864.9907199999998</v>
      </c>
      <c r="X45">
        <v>2487.0092800000002</v>
      </c>
      <c r="Y45" s="26">
        <v>1892.02432</v>
      </c>
      <c r="Z45">
        <v>1711.96416</v>
      </c>
      <c r="AA45">
        <v>2387.9679999999998</v>
      </c>
      <c r="AB45" s="26">
        <v>1627.0131200000001</v>
      </c>
      <c r="AD45" s="25">
        <v>1785.0367999999999</v>
      </c>
      <c r="AE45">
        <v>1218.9696000000001</v>
      </c>
      <c r="AF45" s="26">
        <v>1250.01728</v>
      </c>
      <c r="AG45">
        <v>1657.9788800000001</v>
      </c>
      <c r="AH45">
        <v>1835.0079999999998</v>
      </c>
      <c r="AI45" s="26">
        <v>873.02143999999998</v>
      </c>
    </row>
    <row r="46" spans="1:35" x14ac:dyDescent="0.45">
      <c r="B46" s="25">
        <v>887.0297599999999</v>
      </c>
      <c r="C46">
        <v>1081.99936</v>
      </c>
      <c r="D46">
        <v>840.00767999999994</v>
      </c>
      <c r="E46">
        <v>1177.02656</v>
      </c>
      <c r="F46">
        <v>919.96160000000009</v>
      </c>
      <c r="G46" s="26">
        <v>720.97792000000004</v>
      </c>
      <c r="I46" s="25">
        <v>559.02207999999996</v>
      </c>
      <c r="J46">
        <v>772.01407999999992</v>
      </c>
      <c r="K46">
        <v>1009.9916800000001</v>
      </c>
      <c r="L46">
        <v>1155.9731200000001</v>
      </c>
      <c r="M46">
        <v>1187.0208</v>
      </c>
      <c r="N46" s="26">
        <v>832.96255999999994</v>
      </c>
      <c r="P46">
        <v>1312.0307199999997</v>
      </c>
      <c r="Q46">
        <v>1270.9888000000001</v>
      </c>
      <c r="R46">
        <v>840.99072000000001</v>
      </c>
      <c r="S46">
        <v>977.96096</v>
      </c>
      <c r="T46">
        <v>715.98080000000004</v>
      </c>
      <c r="U46" s="26">
        <v>822.96831999999995</v>
      </c>
      <c r="W46" s="25">
        <v>1384.0383999999999</v>
      </c>
      <c r="X46">
        <v>592.03584000000001</v>
      </c>
      <c r="Y46" s="26">
        <v>769.96607999999992</v>
      </c>
      <c r="Z46">
        <v>1357.0048000000002</v>
      </c>
      <c r="AA46">
        <v>730.97216000000003</v>
      </c>
      <c r="AB46" s="26">
        <v>1071.02208</v>
      </c>
      <c r="AD46" s="25">
        <v>1334.9683199999999</v>
      </c>
      <c r="AE46">
        <v>921.02656000000002</v>
      </c>
      <c r="AF46" s="26">
        <v>753.00864000000001</v>
      </c>
      <c r="AG46">
        <v>986.97216000000003</v>
      </c>
      <c r="AH46">
        <v>864.99327999999991</v>
      </c>
      <c r="AI46" s="26">
        <v>1829.0278400000002</v>
      </c>
    </row>
    <row r="47" spans="1:35" x14ac:dyDescent="0.45">
      <c r="B47" s="25">
        <v>845.00479999999993</v>
      </c>
      <c r="C47">
        <v>762.01983999999993</v>
      </c>
      <c r="D47">
        <v>454.98368000000005</v>
      </c>
      <c r="E47">
        <v>429.01504</v>
      </c>
      <c r="F47">
        <v>440.97536000000002</v>
      </c>
      <c r="G47" s="26">
        <v>241.99168</v>
      </c>
      <c r="I47" s="25">
        <v>469.97504000000004</v>
      </c>
      <c r="J47">
        <v>526.99135999999999</v>
      </c>
      <c r="K47">
        <v>478.98624000000001</v>
      </c>
      <c r="L47">
        <v>706.96960000000001</v>
      </c>
      <c r="M47">
        <v>737.03423999999995</v>
      </c>
      <c r="N47" s="26">
        <v>280.00256000000002</v>
      </c>
      <c r="P47">
        <v>1053.98272</v>
      </c>
      <c r="Q47">
        <v>1014.00576</v>
      </c>
      <c r="R47">
        <v>540.99968000000001</v>
      </c>
      <c r="S47">
        <v>444.00639999999999</v>
      </c>
      <c r="T47">
        <v>288.03071999999997</v>
      </c>
      <c r="U47" s="26">
        <v>318.01344</v>
      </c>
      <c r="W47" s="25">
        <v>995.98335999999995</v>
      </c>
      <c r="X47">
        <v>612.02431999999999</v>
      </c>
      <c r="Y47" s="26">
        <v>426.96704</v>
      </c>
      <c r="Z47">
        <v>846.97088000000008</v>
      </c>
      <c r="AA47">
        <v>555.99104</v>
      </c>
      <c r="AB47" s="26">
        <v>819.03616</v>
      </c>
      <c r="AD47" s="25">
        <v>916.02944000000002</v>
      </c>
      <c r="AE47">
        <v>373.96480000000003</v>
      </c>
      <c r="AF47" s="26">
        <v>265.01119999999997</v>
      </c>
      <c r="AG47">
        <v>692.96127999999999</v>
      </c>
      <c r="AH47">
        <v>598.01599999999996</v>
      </c>
      <c r="AI47" s="26">
        <v>407.96160000000003</v>
      </c>
    </row>
    <row r="48" spans="1:35" x14ac:dyDescent="0.45">
      <c r="B48">
        <v>8191.9999999999991</v>
      </c>
      <c r="C48">
        <v>8191.9999999999991</v>
      </c>
      <c r="D48">
        <v>8192</v>
      </c>
      <c r="E48">
        <v>8192</v>
      </c>
      <c r="F48">
        <v>8191.9180800000013</v>
      </c>
      <c r="G48">
        <v>8191.9180800000004</v>
      </c>
      <c r="I48">
        <v>8192</v>
      </c>
      <c r="J48">
        <v>8192</v>
      </c>
      <c r="K48">
        <v>8192</v>
      </c>
      <c r="L48">
        <v>8191.9180800000013</v>
      </c>
      <c r="M48">
        <v>8192</v>
      </c>
      <c r="N48">
        <v>8192</v>
      </c>
      <c r="P48">
        <v>8192</v>
      </c>
      <c r="Q48">
        <v>8191.9999999999991</v>
      </c>
      <c r="R48">
        <v>8192</v>
      </c>
      <c r="S48">
        <v>8192</v>
      </c>
      <c r="T48">
        <v>8192.0000000000018</v>
      </c>
      <c r="U48">
        <v>8191.9999999999991</v>
      </c>
      <c r="W48">
        <v>8192</v>
      </c>
      <c r="X48">
        <v>8192.0819200000005</v>
      </c>
      <c r="Y48">
        <v>8191.9180799999995</v>
      </c>
      <c r="Z48">
        <v>8191.9180800000004</v>
      </c>
      <c r="AA48">
        <v>8191.9180800000004</v>
      </c>
      <c r="AB48">
        <v>8192.0819200000005</v>
      </c>
      <c r="AD48">
        <v>8192</v>
      </c>
      <c r="AE48">
        <v>8192</v>
      </c>
      <c r="AF48">
        <v>8191.9999999999991</v>
      </c>
      <c r="AG48">
        <v>8191.9180800000013</v>
      </c>
      <c r="AH48">
        <v>8191.9999999999991</v>
      </c>
      <c r="AI48">
        <v>8192.0000000000018</v>
      </c>
    </row>
    <row r="50" spans="1:35" s="21" customFormat="1" x14ac:dyDescent="0.45">
      <c r="A50" s="21" t="s">
        <v>73</v>
      </c>
      <c r="B50" s="21">
        <f>8192*'5qubits'!C95/100</f>
        <v>3032.02304</v>
      </c>
      <c r="C50" s="21">
        <f>8192*'5qubits'!D95/100</f>
        <v>2468.0038399999999</v>
      </c>
      <c r="D50" s="21">
        <f>8192*'5qubits'!E95/100</f>
        <v>2990.9811200000004</v>
      </c>
      <c r="E50" s="21">
        <f>8192*'5qubits'!F95/100</f>
        <v>2984.0179200000002</v>
      </c>
      <c r="F50" s="21">
        <f>8192*'5qubits'!G95/100</f>
        <v>3126.9683199999999</v>
      </c>
      <c r="G50" s="21">
        <f>8192*'5qubits'!H95/100</f>
        <v>4712.0384000000004</v>
      </c>
      <c r="H50" s="21" t="s">
        <v>73</v>
      </c>
      <c r="I50" s="21">
        <f>8192*'5qubits'!I95/100</f>
        <v>2426.9619200000002</v>
      </c>
      <c r="J50" s="21">
        <f>8192*'5qubits'!J95/100</f>
        <v>2688.0409600000003</v>
      </c>
      <c r="K50" s="21">
        <f>8192*'5qubits'!K95/100</f>
        <v>2017.03424</v>
      </c>
      <c r="L50" s="21">
        <f>8192*'5qubits'!L95/100</f>
        <v>2730.9670400000005</v>
      </c>
      <c r="M50" s="21">
        <f>8192*'5qubits'!M95/100</f>
        <v>3245.0150400000002</v>
      </c>
      <c r="N50" s="21">
        <f>8192*'5qubits'!N95/100</f>
        <v>2648.9651199999998</v>
      </c>
      <c r="O50" s="21" t="s">
        <v>73</v>
      </c>
      <c r="P50" s="21">
        <f>8192*'5qubits'!O95/100</f>
        <v>3141.9596799999999</v>
      </c>
      <c r="Q50" s="21">
        <f>8192*'5qubits'!P95/100</f>
        <v>3105.0137599999998</v>
      </c>
      <c r="R50" s="21">
        <f>8192*'5qubits'!Q95/100</f>
        <v>3115.9910399999999</v>
      </c>
      <c r="S50" s="21">
        <f>8192*'5qubits'!R95/100</f>
        <v>3482.0096000000003</v>
      </c>
      <c r="T50" s="21">
        <f>8192*'5qubits'!S95/100</f>
        <v>3361.9967999999999</v>
      </c>
      <c r="U50" s="21">
        <f>8192*'5qubits'!T95/100</f>
        <v>3783.9667200000004</v>
      </c>
      <c r="V50" s="21" t="s">
        <v>73</v>
      </c>
      <c r="W50" s="21">
        <f>8192*'5qubits'!U95/100</f>
        <v>2382.9708799999999</v>
      </c>
      <c r="X50" s="21">
        <f>8192*'5qubits'!V95/100</f>
        <v>2331.0335999999998</v>
      </c>
      <c r="Y50" s="21">
        <f>8192*'5qubits'!W95/100</f>
        <v>2551.9718400000002</v>
      </c>
      <c r="Z50" s="21">
        <f>8192*'5qubits'!X95/100</f>
        <v>4376.0025599999999</v>
      </c>
      <c r="AA50" s="21">
        <f>8192*'5qubits'!Y95/100</f>
        <v>3840</v>
      </c>
      <c r="AB50" s="21">
        <f>8192*'5qubits'!Z95/100</f>
        <v>2435.9731200000001</v>
      </c>
      <c r="AC50" s="21" t="s">
        <v>73</v>
      </c>
      <c r="AD50" s="21">
        <f>8192*'5qubits'!AA95/100</f>
        <v>2133.03296</v>
      </c>
      <c r="AE50" s="21">
        <f>8192*'5qubits'!AB95/100</f>
        <v>2397.9622399999998</v>
      </c>
      <c r="AF50" s="21">
        <f>8192*'5qubits'!AC95/100</f>
        <v>2270.9862400000002</v>
      </c>
      <c r="AG50" s="21">
        <f>8192*'5qubits'!AD95/100</f>
        <v>3163.0131199999996</v>
      </c>
      <c r="AH50" s="21">
        <f>8192*'5qubits'!AE95/100</f>
        <v>2819.0310399999998</v>
      </c>
      <c r="AI50" s="21">
        <f>8192*'5qubits'!AF95/100</f>
        <v>2264.02304</v>
      </c>
    </row>
    <row r="51" spans="1:35" s="21" customFormat="1" x14ac:dyDescent="0.45">
      <c r="B51" s="21">
        <f>8192*'5qubits'!C96/100</f>
        <v>1516.01152</v>
      </c>
      <c r="C51" s="21">
        <f>8192*'5qubits'!D96/100</f>
        <v>1476.0345600000001</v>
      </c>
      <c r="D51" s="21">
        <f>8192*'5qubits'!E96/100</f>
        <v>2087.97696</v>
      </c>
      <c r="E51" s="21">
        <f>8192*'5qubits'!F96/100</f>
        <v>2474.96704</v>
      </c>
      <c r="F51" s="21">
        <f>8192*'5qubits'!G96/100</f>
        <v>1782.9888000000001</v>
      </c>
      <c r="G51" s="21">
        <f>8192*'5qubits'!H96/100</f>
        <v>1810.0223999999998</v>
      </c>
      <c r="I51" s="21">
        <f>8192*'5qubits'!I96/100</f>
        <v>1786.0198399999999</v>
      </c>
      <c r="J51" s="21">
        <f>8192*'5qubits'!J96/100</f>
        <v>2009.9891200000002</v>
      </c>
      <c r="K51" s="21">
        <f>8192*'5qubits'!K96/100</f>
        <v>1912.99584</v>
      </c>
      <c r="L51" s="21">
        <f>8192*'5qubits'!L96/100</f>
        <v>1232.97792</v>
      </c>
      <c r="M51" s="21">
        <f>8192*'5qubits'!M96/100</f>
        <v>1568.0307199999997</v>
      </c>
      <c r="N51" s="21">
        <f>8192*'5qubits'!N96/100</f>
        <v>2289.00864</v>
      </c>
      <c r="P51" s="21">
        <f>8192*'5qubits'!O96/100</f>
        <v>2583.0195199999998</v>
      </c>
      <c r="Q51" s="21">
        <f>8192*'5qubits'!P96/100</f>
        <v>1269.0227199999999</v>
      </c>
      <c r="R51" s="21">
        <f>8192*'5qubits'!Q96/100</f>
        <v>1368.9651199999998</v>
      </c>
      <c r="S51" s="21">
        <f>8192*'5qubits'!R96/100</f>
        <v>2304.9830400000001</v>
      </c>
      <c r="T51" s="21">
        <f>8192*'5qubits'!S96/100</f>
        <v>2020.9664000000002</v>
      </c>
      <c r="U51" s="21">
        <f>8192*'5qubits'!T96/100</f>
        <v>2240.0204800000001</v>
      </c>
      <c r="W51" s="21">
        <f>8192*'5qubits'!U96/100</f>
        <v>1763.0003200000001</v>
      </c>
      <c r="X51" s="21">
        <f>8192*'5qubits'!V96/100</f>
        <v>2237.9724799999999</v>
      </c>
      <c r="Y51" s="21">
        <f>8192*'5qubits'!W96/100</f>
        <v>1289.0111999999999</v>
      </c>
      <c r="Z51" s="21">
        <f>8192*'5qubits'!X96/100</f>
        <v>2123.03872</v>
      </c>
      <c r="AA51" s="21">
        <f>8192*'5qubits'!Y96/100</f>
        <v>1979.0233600000001</v>
      </c>
      <c r="AB51" s="21">
        <f>8192*'5qubits'!Z96/100</f>
        <v>2043.9859200000001</v>
      </c>
      <c r="AD51" s="21">
        <f>8192*'5qubits'!AA96/100</f>
        <v>2047.0169599999999</v>
      </c>
      <c r="AE51" s="21">
        <f>8192*'5qubits'!AB96/100</f>
        <v>2531.0003200000001</v>
      </c>
      <c r="AF51" s="21">
        <f>8192*'5qubits'!AC96/100</f>
        <v>1787.00288</v>
      </c>
      <c r="AG51" s="21">
        <f>8192*'5qubits'!AD96/100</f>
        <v>1954.0377600000002</v>
      </c>
      <c r="AH51" s="21">
        <f>8192*'5qubits'!AE96/100</f>
        <v>2548.0396799999999</v>
      </c>
      <c r="AI51" s="21">
        <f>8192*'5qubits'!AF96/100</f>
        <v>1858.0275200000001</v>
      </c>
    </row>
    <row r="52" spans="1:35" s="21" customFormat="1" x14ac:dyDescent="0.45">
      <c r="B52" s="21">
        <f>8192*'5qubits'!C97/100</f>
        <v>2290.9747200000002</v>
      </c>
      <c r="C52" s="21">
        <f>8192*'5qubits'!D97/100</f>
        <v>2703.0323200000003</v>
      </c>
      <c r="D52" s="21">
        <f>8192*'5qubits'!E97/100</f>
        <v>1716.96128</v>
      </c>
      <c r="E52" s="21">
        <f>8192*'5qubits'!F97/100</f>
        <v>1468.0064000000002</v>
      </c>
      <c r="F52" s="21">
        <f>8192*'5qubits'!G97/100</f>
        <v>1889.9763200000002</v>
      </c>
      <c r="G52" s="21">
        <f>8192*'5qubits'!H97/100</f>
        <v>1090.0275199999999</v>
      </c>
      <c r="I52" s="21">
        <f>8192*'5qubits'!I97/100</f>
        <v>2251.9807999999998</v>
      </c>
      <c r="J52" s="21">
        <f>8192*'5qubits'!J97/100</f>
        <v>1985.9865599999998</v>
      </c>
      <c r="K52" s="21">
        <f>8192*'5qubits'!K97/100</f>
        <v>2245.0176000000001</v>
      </c>
      <c r="L52" s="21">
        <f>8192*'5qubits'!L97/100</f>
        <v>2777.0060800000001</v>
      </c>
      <c r="M52" s="21">
        <f>8192*'5qubits'!M97/100</f>
        <v>2202.9926399999999</v>
      </c>
      <c r="N52" s="21">
        <f>8192*'5qubits'!N97/100</f>
        <v>1793.9660800000001</v>
      </c>
      <c r="P52" s="21">
        <f>8192*'5qubits'!O97/100</f>
        <v>1381.0073600000001</v>
      </c>
      <c r="Q52" s="21">
        <f>8192*'5qubits'!P97/100</f>
        <v>2734.9811200000004</v>
      </c>
      <c r="R52" s="21">
        <f>8192*'5qubits'!Q97/100</f>
        <v>2573.0252799999998</v>
      </c>
      <c r="S52" s="21">
        <f>8192*'5qubits'!R97/100</f>
        <v>1362.0019200000002</v>
      </c>
      <c r="T52" s="21">
        <f>8192*'5qubits'!S97/100</f>
        <v>1553.0393599999998</v>
      </c>
      <c r="U52" s="21">
        <f>8192*'5qubits'!T97/100</f>
        <v>1245.02016</v>
      </c>
      <c r="W52" s="21">
        <f>8192*'5qubits'!U97/100</f>
        <v>2300.9689600000002</v>
      </c>
      <c r="X52" s="21">
        <f>8192*'5qubits'!V97/100</f>
        <v>1773.9776000000002</v>
      </c>
      <c r="Y52" s="21">
        <f>8192*'5qubits'!W97/100</f>
        <v>2836.9715200000001</v>
      </c>
      <c r="Z52" s="21">
        <f>8192*'5qubits'!X97/100</f>
        <v>995.0003200000001</v>
      </c>
      <c r="AA52" s="21">
        <f>8192*'5qubits'!Y97/100</f>
        <v>1553.0393599999998</v>
      </c>
      <c r="AB52" s="21">
        <f>8192*'5qubits'!Z97/100</f>
        <v>2090.0249600000002</v>
      </c>
      <c r="AD52" s="21">
        <f>8192*'5qubits'!AA97/100</f>
        <v>2048.9830400000001</v>
      </c>
      <c r="AE52" s="21">
        <f>8192*'5qubits'!AB97/100</f>
        <v>1565.98272</v>
      </c>
      <c r="AF52" s="21">
        <f>8192*'5qubits'!AC97/100</f>
        <v>2358.9683199999999</v>
      </c>
      <c r="AG52" s="21">
        <f>8192*'5qubits'!AD97/100</f>
        <v>1841.9712</v>
      </c>
      <c r="AH52" s="21">
        <f>8192*'5qubits'!AE97/100</f>
        <v>1518.9606400000002</v>
      </c>
      <c r="AI52" s="21">
        <f>8192*'5qubits'!AF97/100</f>
        <v>2322.0223999999998</v>
      </c>
    </row>
    <row r="53" spans="1:35" s="21" customFormat="1" x14ac:dyDescent="0.45">
      <c r="B53" s="21">
        <f>8192*'5qubits'!C98/100</f>
        <v>1352.9907199999998</v>
      </c>
      <c r="C53" s="21">
        <f>8192*'5qubits'!D98/100</f>
        <v>1545.0111999999999</v>
      </c>
      <c r="D53" s="21">
        <f>8192*'5qubits'!E98/100</f>
        <v>1395.99872</v>
      </c>
      <c r="E53" s="21">
        <f>8192*'5qubits'!F98/100</f>
        <v>1265.00864</v>
      </c>
      <c r="F53" s="21">
        <f>8192*'5qubits'!G98/100</f>
        <v>1391.9846400000001</v>
      </c>
      <c r="G53" s="21">
        <f>8192*'5qubits'!H98/100</f>
        <v>579.99360000000001</v>
      </c>
      <c r="I53" s="21">
        <f>8192*'5qubits'!I98/100</f>
        <v>1727.0374400000001</v>
      </c>
      <c r="J53" s="21">
        <f>8192*'5qubits'!J98/100</f>
        <v>1507.9833600000002</v>
      </c>
      <c r="K53" s="21">
        <f>8192*'5qubits'!K98/100</f>
        <v>2017.03424</v>
      </c>
      <c r="L53" s="21">
        <f>8192*'5qubits'!L98/100</f>
        <v>1450.96704</v>
      </c>
      <c r="M53" s="21">
        <f>8192*'5qubits'!M98/100</f>
        <v>1175.9616000000001</v>
      </c>
      <c r="N53" s="21">
        <f>8192*'5qubits'!N98/100</f>
        <v>1459.9782399999999</v>
      </c>
      <c r="P53" s="21">
        <f>8192*'5qubits'!O98/100</f>
        <v>1086.0134399999999</v>
      </c>
      <c r="Q53" s="21">
        <f>8192*'5qubits'!P98/100</f>
        <v>1082.9824000000001</v>
      </c>
      <c r="R53" s="21">
        <f>8192*'5qubits'!Q98/100</f>
        <v>1134.01856</v>
      </c>
      <c r="S53" s="21">
        <f>8192*'5qubits'!R98/100</f>
        <v>1043.0054399999999</v>
      </c>
      <c r="T53" s="21">
        <f>8192*'5qubits'!S98/100</f>
        <v>1255.9974400000001</v>
      </c>
      <c r="U53" s="21">
        <f>8192*'5qubits'!T98/100</f>
        <v>922.99263999999994</v>
      </c>
      <c r="W53" s="21">
        <f>8192*'5qubits'!U98/100</f>
        <v>1744.9779199999998</v>
      </c>
      <c r="X53" s="21">
        <f>8192*'5qubits'!V98/100</f>
        <v>1849.0163200000002</v>
      </c>
      <c r="Y53" s="21">
        <f>8192*'5qubits'!W98/100</f>
        <v>1513.9635200000002</v>
      </c>
      <c r="Z53" s="21">
        <f>8192*'5qubits'!X98/100</f>
        <v>698.04032000000007</v>
      </c>
      <c r="AA53" s="21">
        <f>8192*'5qubits'!Y98/100</f>
        <v>820.01919999999996</v>
      </c>
      <c r="AB53" s="21">
        <f>8192*'5qubits'!Z98/100</f>
        <v>1622.0160000000001</v>
      </c>
      <c r="AD53" s="21">
        <f>8192*'5qubits'!AA98/100</f>
        <v>1962.96704</v>
      </c>
      <c r="AE53" s="21">
        <f>8192*'5qubits'!AB98/100</f>
        <v>1696.9728</v>
      </c>
      <c r="AF53" s="21">
        <f>8192*'5qubits'!AC98/100</f>
        <v>1774.9606400000002</v>
      </c>
      <c r="AG53" s="21">
        <f>8192*'5qubits'!AD98/100</f>
        <v>1232.97792</v>
      </c>
      <c r="AH53" s="21">
        <f>8192*'5qubits'!AE98/100</f>
        <v>1305.9686400000001</v>
      </c>
      <c r="AI53" s="21">
        <f>8192*'5qubits'!AF98/100</f>
        <v>1748.0089600000001</v>
      </c>
    </row>
    <row r="54" spans="1:35" s="21" customFormat="1" x14ac:dyDescent="0.45">
      <c r="B54" s="21">
        <f>SUM(B50:B53)</f>
        <v>8192</v>
      </c>
      <c r="C54" s="21">
        <f t="shared" ref="C54:AI54" si="8">SUM(C50:C53)</f>
        <v>8192.0819200000005</v>
      </c>
      <c r="D54" s="21">
        <f t="shared" si="8"/>
        <v>8191.9180799999995</v>
      </c>
      <c r="E54" s="21">
        <f t="shared" si="8"/>
        <v>8192</v>
      </c>
      <c r="F54" s="21">
        <f t="shared" si="8"/>
        <v>8191.9180800000013</v>
      </c>
      <c r="G54" s="21">
        <f t="shared" si="8"/>
        <v>8192.0819200000005</v>
      </c>
      <c r="I54" s="21">
        <f t="shared" si="8"/>
        <v>8192</v>
      </c>
      <c r="J54" s="21">
        <f t="shared" si="8"/>
        <v>8192</v>
      </c>
      <c r="K54" s="21">
        <f t="shared" si="8"/>
        <v>8192.0819200000005</v>
      </c>
      <c r="L54" s="21">
        <f t="shared" si="8"/>
        <v>8191.9180800000013</v>
      </c>
      <c r="M54" s="21">
        <f t="shared" si="8"/>
        <v>8192</v>
      </c>
      <c r="N54" s="21">
        <f t="shared" si="8"/>
        <v>8191.9180799999995</v>
      </c>
      <c r="P54" s="21">
        <f t="shared" si="8"/>
        <v>8191.9999999999991</v>
      </c>
      <c r="Q54" s="21">
        <f t="shared" si="8"/>
        <v>8192</v>
      </c>
      <c r="R54" s="21">
        <f t="shared" si="8"/>
        <v>8192</v>
      </c>
      <c r="S54" s="21">
        <f t="shared" si="8"/>
        <v>8192</v>
      </c>
      <c r="T54" s="21">
        <f t="shared" si="8"/>
        <v>8192</v>
      </c>
      <c r="U54" s="21">
        <f t="shared" si="8"/>
        <v>8192</v>
      </c>
      <c r="W54" s="21">
        <f t="shared" si="8"/>
        <v>8191.9180799999995</v>
      </c>
      <c r="X54" s="21">
        <f t="shared" si="8"/>
        <v>8192</v>
      </c>
      <c r="Y54" s="21">
        <f t="shared" si="8"/>
        <v>8191.9180800000004</v>
      </c>
      <c r="Z54" s="21">
        <f t="shared" si="8"/>
        <v>8192.0819200000005</v>
      </c>
      <c r="AA54" s="21">
        <f t="shared" si="8"/>
        <v>8192.0819200000005</v>
      </c>
      <c r="AB54" s="21">
        <f t="shared" si="8"/>
        <v>8192</v>
      </c>
      <c r="AD54" s="21">
        <f t="shared" si="8"/>
        <v>8192</v>
      </c>
      <c r="AE54" s="21">
        <f t="shared" si="8"/>
        <v>8191.9180799999995</v>
      </c>
      <c r="AF54" s="21">
        <f t="shared" si="8"/>
        <v>8191.9180800000004</v>
      </c>
      <c r="AG54" s="21">
        <f t="shared" si="8"/>
        <v>8192</v>
      </c>
      <c r="AH54" s="21">
        <f t="shared" si="8"/>
        <v>8192</v>
      </c>
      <c r="AI54" s="21">
        <f t="shared" si="8"/>
        <v>8192.0819200000005</v>
      </c>
    </row>
    <row r="56" spans="1:35" x14ac:dyDescent="0.45">
      <c r="A56" s="21" t="s">
        <v>73</v>
      </c>
      <c r="B56" s="25">
        <v>2468.0038399999999</v>
      </c>
      <c r="C56">
        <v>2990.9811200000004</v>
      </c>
      <c r="D56">
        <v>3032.02304</v>
      </c>
      <c r="E56">
        <v>2984.0179200000002</v>
      </c>
      <c r="F56">
        <v>3126.9683199999999</v>
      </c>
      <c r="G56" s="26">
        <v>4712.0384000000004</v>
      </c>
      <c r="H56" s="21" t="s">
        <v>73</v>
      </c>
      <c r="I56" s="25">
        <v>2017.03424</v>
      </c>
      <c r="J56">
        <v>2426.9619200000002</v>
      </c>
      <c r="K56">
        <v>2688.0409600000003</v>
      </c>
      <c r="L56">
        <v>2648.9651199999998</v>
      </c>
      <c r="M56">
        <v>2730.9670400000005</v>
      </c>
      <c r="N56" s="26">
        <v>3245.0150400000002</v>
      </c>
      <c r="O56" s="21" t="s">
        <v>73</v>
      </c>
      <c r="P56">
        <v>3105.0137599999998</v>
      </c>
      <c r="Q56">
        <v>3115.9910399999999</v>
      </c>
      <c r="R56">
        <v>3141.9596799999999</v>
      </c>
      <c r="S56">
        <v>3361.9967999999999</v>
      </c>
      <c r="T56">
        <v>3482.0096000000003</v>
      </c>
      <c r="U56" s="26">
        <v>3783.9667200000004</v>
      </c>
      <c r="V56" s="21" t="s">
        <v>73</v>
      </c>
      <c r="W56" s="25">
        <v>2331.0335999999998</v>
      </c>
      <c r="X56">
        <v>2382.9708799999999</v>
      </c>
      <c r="Y56">
        <v>2551.9718400000002</v>
      </c>
      <c r="Z56">
        <v>2435.9731200000001</v>
      </c>
      <c r="AA56">
        <v>3840</v>
      </c>
      <c r="AB56" s="26">
        <v>4376.0025599999999</v>
      </c>
      <c r="AC56" s="21" t="s">
        <v>73</v>
      </c>
      <c r="AD56" s="25">
        <v>2133.03296</v>
      </c>
      <c r="AE56">
        <v>2270.9862400000002</v>
      </c>
      <c r="AF56">
        <v>2397.9622399999998</v>
      </c>
      <c r="AG56">
        <v>2264.02304</v>
      </c>
      <c r="AH56">
        <v>2819.0310399999998</v>
      </c>
      <c r="AI56" s="26">
        <v>3163.0131199999996</v>
      </c>
    </row>
    <row r="57" spans="1:35" x14ac:dyDescent="0.45">
      <c r="B57" s="25">
        <v>1476.0345600000001</v>
      </c>
      <c r="C57">
        <v>2087.97696</v>
      </c>
      <c r="D57">
        <v>1516.01152</v>
      </c>
      <c r="E57">
        <v>2474.96704</v>
      </c>
      <c r="F57">
        <v>1782.9888000000001</v>
      </c>
      <c r="G57" s="26">
        <v>1810.0223999999998</v>
      </c>
      <c r="I57" s="25">
        <v>1912.99584</v>
      </c>
      <c r="J57">
        <v>1786.0198399999999</v>
      </c>
      <c r="K57">
        <v>2009.9891200000002</v>
      </c>
      <c r="L57">
        <v>2289.00864</v>
      </c>
      <c r="M57">
        <v>1232.97792</v>
      </c>
      <c r="N57" s="26">
        <v>1568.0307199999997</v>
      </c>
      <c r="P57">
        <v>1269.0227199999999</v>
      </c>
      <c r="Q57">
        <v>1368.9651199999998</v>
      </c>
      <c r="R57">
        <v>2583.0195199999998</v>
      </c>
      <c r="S57">
        <v>2020.9664000000002</v>
      </c>
      <c r="T57">
        <v>2304.9830400000001</v>
      </c>
      <c r="U57" s="26">
        <v>2240.0204800000001</v>
      </c>
      <c r="W57" s="25">
        <v>2237.9724799999999</v>
      </c>
      <c r="X57">
        <v>1763.0003200000001</v>
      </c>
      <c r="Y57">
        <v>1289.0111999999999</v>
      </c>
      <c r="Z57">
        <v>2043.9859200000001</v>
      </c>
      <c r="AA57">
        <v>1979.0233600000001</v>
      </c>
      <c r="AB57" s="26">
        <v>2123.03872</v>
      </c>
      <c r="AD57" s="25">
        <v>2047.0169599999999</v>
      </c>
      <c r="AE57">
        <v>1787.00288</v>
      </c>
      <c r="AF57">
        <v>2531.0003200000001</v>
      </c>
      <c r="AG57">
        <v>1858.0275200000001</v>
      </c>
      <c r="AH57">
        <v>2548.0396799999999</v>
      </c>
      <c r="AI57" s="26">
        <v>1954.0377600000002</v>
      </c>
    </row>
    <row r="58" spans="1:35" x14ac:dyDescent="0.45">
      <c r="B58" s="25">
        <v>2703.0323200000003</v>
      </c>
      <c r="C58">
        <v>1716.96128</v>
      </c>
      <c r="D58">
        <v>2290.9747200000002</v>
      </c>
      <c r="E58">
        <v>1468.0064000000002</v>
      </c>
      <c r="F58">
        <v>1889.9763200000002</v>
      </c>
      <c r="G58" s="26">
        <v>1090.0275199999999</v>
      </c>
      <c r="I58" s="25">
        <v>2245.0176000000001</v>
      </c>
      <c r="J58">
        <v>2251.9807999999998</v>
      </c>
      <c r="K58">
        <v>1985.9865599999998</v>
      </c>
      <c r="L58">
        <v>1793.9660800000001</v>
      </c>
      <c r="M58">
        <v>2777.0060800000001</v>
      </c>
      <c r="N58" s="26">
        <v>2202.9926399999999</v>
      </c>
      <c r="P58">
        <v>2734.9811200000004</v>
      </c>
      <c r="Q58">
        <v>2573.0252799999998</v>
      </c>
      <c r="R58">
        <v>1381.0073600000001</v>
      </c>
      <c r="S58">
        <v>1553.0393599999998</v>
      </c>
      <c r="T58">
        <v>1362.0019200000002</v>
      </c>
      <c r="U58" s="26">
        <v>1245.02016</v>
      </c>
      <c r="W58" s="25">
        <v>1773.9776000000002</v>
      </c>
      <c r="X58">
        <v>2300.9689600000002</v>
      </c>
      <c r="Y58">
        <v>2836.9715200000001</v>
      </c>
      <c r="Z58">
        <v>2090.0249600000002</v>
      </c>
      <c r="AA58">
        <v>1553.0393599999998</v>
      </c>
      <c r="AB58" s="26">
        <v>995.0003200000001</v>
      </c>
      <c r="AD58" s="25">
        <v>2048.9830400000001</v>
      </c>
      <c r="AE58">
        <v>2358.9683199999999</v>
      </c>
      <c r="AF58">
        <v>1565.98272</v>
      </c>
      <c r="AG58">
        <v>2322.0223999999998</v>
      </c>
      <c r="AH58">
        <v>1518.9606400000002</v>
      </c>
      <c r="AI58" s="26">
        <v>1841.9712</v>
      </c>
    </row>
    <row r="59" spans="1:35" x14ac:dyDescent="0.45">
      <c r="B59" s="25">
        <v>1545.0111999999999</v>
      </c>
      <c r="C59">
        <v>1395.99872</v>
      </c>
      <c r="D59">
        <v>1352.9907199999998</v>
      </c>
      <c r="E59">
        <v>1265.00864</v>
      </c>
      <c r="F59">
        <v>1391.9846400000001</v>
      </c>
      <c r="G59" s="26">
        <v>579.99360000000001</v>
      </c>
      <c r="I59" s="25">
        <v>2017.03424</v>
      </c>
      <c r="J59">
        <v>1727.0374400000001</v>
      </c>
      <c r="K59">
        <v>1507.9833600000002</v>
      </c>
      <c r="L59">
        <v>1459.9782399999999</v>
      </c>
      <c r="M59">
        <v>1450.96704</v>
      </c>
      <c r="N59" s="26">
        <v>1175.9616000000001</v>
      </c>
      <c r="P59">
        <v>1082.9824000000001</v>
      </c>
      <c r="Q59">
        <v>1134.01856</v>
      </c>
      <c r="R59">
        <v>1086.0134399999999</v>
      </c>
      <c r="S59">
        <v>1255.9974400000001</v>
      </c>
      <c r="T59">
        <v>1043.0054399999999</v>
      </c>
      <c r="U59" s="26">
        <v>922.99263999999994</v>
      </c>
      <c r="W59" s="25">
        <v>1849.0163200000002</v>
      </c>
      <c r="X59">
        <v>1744.9779199999998</v>
      </c>
      <c r="Y59">
        <v>1513.9635200000002</v>
      </c>
      <c r="Z59">
        <v>1622.0160000000001</v>
      </c>
      <c r="AA59">
        <v>820.01919999999996</v>
      </c>
      <c r="AB59" s="26">
        <v>698.04032000000007</v>
      </c>
      <c r="AD59" s="25">
        <v>1962.96704</v>
      </c>
      <c r="AE59">
        <v>1774.9606400000002</v>
      </c>
      <c r="AF59">
        <v>1696.9728</v>
      </c>
      <c r="AG59">
        <v>1748.0089600000001</v>
      </c>
      <c r="AH59">
        <v>1305.9686400000001</v>
      </c>
      <c r="AI59" s="26">
        <v>1232.97792</v>
      </c>
    </row>
    <row r="60" spans="1:35" x14ac:dyDescent="0.45">
      <c r="B60">
        <v>8192.0819200000005</v>
      </c>
      <c r="C60">
        <v>8191.9180799999995</v>
      </c>
      <c r="D60">
        <v>8192</v>
      </c>
      <c r="E60">
        <v>8192</v>
      </c>
      <c r="F60">
        <v>8191.9180800000013</v>
      </c>
      <c r="G60">
        <v>8192.0819200000005</v>
      </c>
      <c r="I60">
        <v>8192.0819200000005</v>
      </c>
      <c r="J60">
        <v>8192</v>
      </c>
      <c r="K60">
        <v>8192</v>
      </c>
      <c r="L60">
        <v>8191.9180799999995</v>
      </c>
      <c r="M60">
        <v>8191.9180800000013</v>
      </c>
      <c r="N60">
        <v>8192</v>
      </c>
      <c r="P60">
        <v>8192</v>
      </c>
      <c r="Q60">
        <v>8192</v>
      </c>
      <c r="R60">
        <v>8191.9999999999991</v>
      </c>
      <c r="S60">
        <v>8192</v>
      </c>
      <c r="T60">
        <v>8192</v>
      </c>
      <c r="U60">
        <v>8192</v>
      </c>
      <c r="W60">
        <v>8192</v>
      </c>
      <c r="X60">
        <v>8191.9180799999995</v>
      </c>
      <c r="Y60">
        <v>8191.9180800000004</v>
      </c>
      <c r="Z60">
        <v>8192</v>
      </c>
      <c r="AA60">
        <v>8192.0819200000005</v>
      </c>
      <c r="AB60">
        <v>8192.0819200000005</v>
      </c>
      <c r="AD60">
        <v>8192</v>
      </c>
      <c r="AE60">
        <v>8191.9180800000004</v>
      </c>
      <c r="AF60">
        <v>8191.9180799999995</v>
      </c>
      <c r="AG60">
        <v>8192.0819200000005</v>
      </c>
      <c r="AH60">
        <v>8192</v>
      </c>
      <c r="AI60">
        <v>8192</v>
      </c>
    </row>
    <row r="62" spans="1:35" s="21" customFormat="1" x14ac:dyDescent="0.45">
      <c r="A62" s="21" t="s">
        <v>293</v>
      </c>
      <c r="B62" s="21">
        <f>8192*'5qubits'!C115/100</f>
        <v>3100.9996799999999</v>
      </c>
      <c r="C62" s="21">
        <f>8192*'5qubits'!D115/100</f>
        <v>2758.0006400000002</v>
      </c>
      <c r="D62" s="21">
        <f>8192*'5qubits'!E115/100</f>
        <v>3878.0108799999998</v>
      </c>
      <c r="E62" s="21">
        <f>8192*'5qubits'!F115/100</f>
        <v>4067.9833600000002</v>
      </c>
      <c r="F62" s="21">
        <f>8192*'5qubits'!G115/100</f>
        <v>4380.9996799999999</v>
      </c>
      <c r="G62" s="21">
        <f>8192*'5qubits'!H115/100</f>
        <v>4545.0035200000002</v>
      </c>
      <c r="H62" s="21" t="s">
        <v>293</v>
      </c>
      <c r="I62" s="21">
        <f>8192*'5qubits'!I115/100</f>
        <v>2902.9990399999997</v>
      </c>
      <c r="J62" s="21">
        <f>8192*'5qubits'!J115/100</f>
        <v>2752.0204800000001</v>
      </c>
      <c r="K62" s="21">
        <f>8192*'5qubits'!K115/100</f>
        <v>2772.9920000000002</v>
      </c>
      <c r="L62" s="21">
        <f>8192*'5qubits'!L115/100</f>
        <v>4010.9670400000005</v>
      </c>
      <c r="M62" s="21">
        <f>8192*'5qubits'!M115/100</f>
        <v>3834.0198399999999</v>
      </c>
      <c r="N62" s="21">
        <f>8192*'5qubits'!N115/100</f>
        <v>2740.9612800000004</v>
      </c>
      <c r="O62" s="21" t="s">
        <v>293</v>
      </c>
      <c r="P62" s="21">
        <f>8192*'5qubits'!O115/100</f>
        <v>3675.0131199999996</v>
      </c>
      <c r="Q62" s="21">
        <f>8192*'5qubits'!P115/100</f>
        <v>2623.9795199999999</v>
      </c>
      <c r="R62" s="21">
        <f>8192*'5qubits'!Q115/100</f>
        <v>3284.9920000000002</v>
      </c>
      <c r="S62" s="21">
        <f>8192*'5qubits'!R115/100</f>
        <v>4295.9667200000004</v>
      </c>
      <c r="T62" s="21">
        <f>8192*'5qubits'!S115/100</f>
        <v>4292.0345600000001</v>
      </c>
      <c r="U62" s="21">
        <f>8192*'5qubits'!T115/100</f>
        <v>3395.9935999999998</v>
      </c>
      <c r="V62" s="21" t="s">
        <v>293</v>
      </c>
      <c r="W62" s="21">
        <f>8192*'5qubits'!U115/100</f>
        <v>3179.9705599999998</v>
      </c>
      <c r="X62" s="21">
        <f>8192*'5qubits'!V115/100</f>
        <v>3154.9849599999998</v>
      </c>
      <c r="Y62" s="21">
        <f>8192*'5qubits'!W115/100</f>
        <v>3031.04</v>
      </c>
      <c r="Z62" s="21">
        <f>8192*'5qubits'!X115/100</f>
        <v>4216.0128000000004</v>
      </c>
      <c r="AA62" s="21">
        <f>8192*'5qubits'!Y115/100</f>
        <v>3300.9664000000002</v>
      </c>
      <c r="AB62" s="21">
        <f>8192*'5qubits'!Z115/100</f>
        <v>3991.9615999999996</v>
      </c>
      <c r="AC62" s="21" t="s">
        <v>293</v>
      </c>
      <c r="AD62" s="21">
        <f>8192*'5qubits'!AA115/100</f>
        <v>2775.04</v>
      </c>
      <c r="AE62" s="21">
        <f>8192*'5qubits'!AB115/100</f>
        <v>2805.0227199999999</v>
      </c>
      <c r="AF62" s="21">
        <f>8192*'5qubits'!AC115/100</f>
        <v>4007.0348800000002</v>
      </c>
      <c r="AG62" s="21">
        <f>8192*'5qubits'!AD115/100</f>
        <v>4003.0208000000002</v>
      </c>
      <c r="AH62" s="21">
        <f>8192*'5qubits'!AE115/100</f>
        <v>3247.9641600000004</v>
      </c>
      <c r="AI62" s="21">
        <f>8192*'5qubits'!AF115/100</f>
        <v>3430.9734399999998</v>
      </c>
    </row>
    <row r="63" spans="1:35" s="21" customFormat="1" x14ac:dyDescent="0.45">
      <c r="B63" s="21">
        <f>8192*'5qubits'!C116/100</f>
        <v>2101.9852799999999</v>
      </c>
      <c r="C63" s="21">
        <f>8192*'5qubits'!D116/100</f>
        <v>2033.9916800000001</v>
      </c>
      <c r="D63" s="21">
        <f>8192*'5qubits'!E116/100</f>
        <v>2183.00416</v>
      </c>
      <c r="E63" s="21">
        <f>8192*'5qubits'!F116/100</f>
        <v>2091.0079999999998</v>
      </c>
      <c r="F63" s="21">
        <f>8192*'5qubits'!G116/100</f>
        <v>2231.9923199999998</v>
      </c>
      <c r="G63" s="21">
        <f>8192*'5qubits'!H116/100</f>
        <v>1932.98432</v>
      </c>
      <c r="I63" s="21">
        <f>8192*'5qubits'!I116/100</f>
        <v>2063.9744000000001</v>
      </c>
      <c r="J63" s="21">
        <f>8192*'5qubits'!J116/100</f>
        <v>1920.0409599999998</v>
      </c>
      <c r="K63" s="21">
        <f>8192*'5qubits'!K116/100</f>
        <v>1836.97408</v>
      </c>
      <c r="L63" s="21">
        <f>8192*'5qubits'!L116/100</f>
        <v>2024.9804800000002</v>
      </c>
      <c r="M63" s="21">
        <f>8192*'5qubits'!M116/100</f>
        <v>1901.0355199999999</v>
      </c>
      <c r="N63" s="21">
        <f>8192*'5qubits'!N116/100</f>
        <v>1795.0310399999998</v>
      </c>
      <c r="P63" s="21">
        <f>8192*'5qubits'!O116/100</f>
        <v>1806.0083199999999</v>
      </c>
      <c r="Q63" s="21">
        <f>8192*'5qubits'!P116/100</f>
        <v>2012.03712</v>
      </c>
      <c r="R63" s="21">
        <f>8192*'5qubits'!Q116/100</f>
        <v>1520.0255999999999</v>
      </c>
      <c r="S63" s="21">
        <f>8192*'5qubits'!R116/100</f>
        <v>1936.9983999999999</v>
      </c>
      <c r="T63" s="21">
        <f>8192*'5qubits'!S116/100</f>
        <v>2232.9753599999999</v>
      </c>
      <c r="U63" s="21">
        <f>8192*'5qubits'!T116/100</f>
        <v>1927.00416</v>
      </c>
      <c r="W63" s="21">
        <f>8192*'5qubits'!U116/100</f>
        <v>1907.99872</v>
      </c>
      <c r="X63" s="21">
        <f>8192*'5qubits'!V116/100</f>
        <v>2429.00992</v>
      </c>
      <c r="Y63" s="21">
        <f>8192*'5qubits'!W116/100</f>
        <v>1922.00704</v>
      </c>
      <c r="Z63" s="21">
        <f>8192*'5qubits'!X116/100</f>
        <v>1790.0339199999999</v>
      </c>
      <c r="AA63" s="21">
        <f>8192*'5qubits'!Y116/100</f>
        <v>1988.0345600000001</v>
      </c>
      <c r="AB63" s="21">
        <f>8192*'5qubits'!Z116/100</f>
        <v>1763.9833600000002</v>
      </c>
      <c r="AD63" s="21">
        <f>8192*'5qubits'!AA116/100</f>
        <v>1887.0272</v>
      </c>
      <c r="AE63" s="21">
        <f>8192*'5qubits'!AB116/100</f>
        <v>2038.00576</v>
      </c>
      <c r="AF63" s="21">
        <f>8192*'5qubits'!AC116/100</f>
        <v>2062.99136</v>
      </c>
      <c r="AG63" s="21">
        <f>8192*'5qubits'!AD116/100</f>
        <v>2047.0169599999999</v>
      </c>
      <c r="AH63" s="21">
        <f>8192*'5qubits'!AE116/100</f>
        <v>2024.9804800000002</v>
      </c>
      <c r="AI63" s="21">
        <f>8192*'5qubits'!AF116/100</f>
        <v>2009.0060800000001</v>
      </c>
    </row>
    <row r="64" spans="1:35" s="21" customFormat="1" x14ac:dyDescent="0.45">
      <c r="B64" s="21">
        <f>8192*'5qubits'!C117/100</f>
        <v>1530.0198399999999</v>
      </c>
      <c r="C64" s="21">
        <f>8192*'5qubits'!D117/100</f>
        <v>1860.9766399999999</v>
      </c>
      <c r="D64" s="21">
        <f>8192*'5qubits'!E117/100</f>
        <v>1160.9702400000001</v>
      </c>
      <c r="E64" s="21">
        <f>8192*'5qubits'!F117/100</f>
        <v>1143.0297599999999</v>
      </c>
      <c r="F64" s="21">
        <f>8192*'5qubits'!G117/100</f>
        <v>877.03551999999991</v>
      </c>
      <c r="G64" s="21">
        <f>8192*'5qubits'!H117/100</f>
        <v>994.01728000000003</v>
      </c>
      <c r="I64" s="21">
        <f>8192*'5qubits'!I117/100</f>
        <v>1854.9964799999998</v>
      </c>
      <c r="J64" s="21">
        <f>8192*'5qubits'!J117/100</f>
        <v>1932.98432</v>
      </c>
      <c r="K64" s="21">
        <f>8192*'5qubits'!K117/100</f>
        <v>2057.99424</v>
      </c>
      <c r="L64" s="21">
        <f>8192*'5qubits'!L117/100</f>
        <v>1281.9660799999999</v>
      </c>
      <c r="M64" s="21">
        <f>8192*'5qubits'!M117/100</f>
        <v>1405.00992</v>
      </c>
      <c r="N64" s="21">
        <f>8192*'5qubits'!N117/100</f>
        <v>2196.0294399999998</v>
      </c>
      <c r="P64" s="21">
        <f>8192*'5qubits'!O117/100</f>
        <v>1603.0105600000002</v>
      </c>
      <c r="Q64" s="21">
        <f>8192*'5qubits'!P117/100</f>
        <v>1801.99424</v>
      </c>
      <c r="R64" s="21">
        <f>8192*'5qubits'!Q117/100</f>
        <v>2041.0367999999999</v>
      </c>
      <c r="S64" s="21">
        <f>8192*'5qubits'!R117/100</f>
        <v>1174.97856</v>
      </c>
      <c r="T64" s="21">
        <f>8192*'5qubits'!S117/100</f>
        <v>952.97535999999991</v>
      </c>
      <c r="U64" s="21">
        <f>8192*'5qubits'!T117/100</f>
        <v>1482.9977600000002</v>
      </c>
      <c r="W64" s="21">
        <f>8192*'5qubits'!U117/100</f>
        <v>1742.0288</v>
      </c>
      <c r="X64" s="21">
        <f>8192*'5qubits'!V117/100</f>
        <v>1425.98144</v>
      </c>
      <c r="Y64" s="21">
        <f>8192*'5qubits'!W117/100</f>
        <v>1701.96992</v>
      </c>
      <c r="Z64" s="21">
        <f>8192*'5qubits'!X117/100</f>
        <v>1225.0316800000001</v>
      </c>
      <c r="AA64" s="21">
        <f>8192*'5qubits'!Y117/100</f>
        <v>1565.98272</v>
      </c>
      <c r="AB64" s="21">
        <f>8192*'5qubits'!Z117/100</f>
        <v>1351.0246400000001</v>
      </c>
      <c r="AD64" s="21">
        <f>8192*'5qubits'!AA117/100</f>
        <v>1907.01568</v>
      </c>
      <c r="AE64" s="21">
        <f>8192*'5qubits'!AB117/100</f>
        <v>1830.0108799999998</v>
      </c>
      <c r="AF64" s="21">
        <f>8192*'5qubits'!AC117/100</f>
        <v>1231.99488</v>
      </c>
      <c r="AG64" s="21">
        <f>8192*'5qubits'!AD117/100</f>
        <v>1220.0345600000001</v>
      </c>
      <c r="AH64" s="21">
        <f>8192*'5qubits'!AE117/100</f>
        <v>1536.9830400000001</v>
      </c>
      <c r="AI64" s="21">
        <f>8192*'5qubits'!AF117/100</f>
        <v>1492.9920000000002</v>
      </c>
    </row>
    <row r="65" spans="1:35" s="21" customFormat="1" x14ac:dyDescent="0.45">
      <c r="B65" s="21">
        <f>8192*'5qubits'!C118/100</f>
        <v>1458.9951999999998</v>
      </c>
      <c r="C65" s="21">
        <f>8192*'5qubits'!D118/100</f>
        <v>1539.0310399999998</v>
      </c>
      <c r="D65" s="21">
        <f>8192*'5qubits'!E118/100</f>
        <v>970.0147199999999</v>
      </c>
      <c r="E65" s="21">
        <f>8192*'5qubits'!F118/100</f>
        <v>889.97888000000012</v>
      </c>
      <c r="F65" s="21">
        <f>8192*'5qubits'!G118/100</f>
        <v>701.97248000000002</v>
      </c>
      <c r="G65" s="21">
        <f>8192*'5qubits'!H118/100</f>
        <v>719.99487999999997</v>
      </c>
      <c r="I65" s="21">
        <f>8192*'5qubits'!I118/100</f>
        <v>1370.03008</v>
      </c>
      <c r="J65" s="21">
        <f>8192*'5qubits'!J118/100</f>
        <v>1587.0361600000001</v>
      </c>
      <c r="K65" s="21">
        <f>8192*'5qubits'!K118/100</f>
        <v>1524.0396799999999</v>
      </c>
      <c r="L65" s="21">
        <f>8192*'5qubits'!L118/100</f>
        <v>874.00448000000006</v>
      </c>
      <c r="M65" s="21">
        <f>8192*'5qubits'!M118/100</f>
        <v>1052.0166400000001</v>
      </c>
      <c r="N65" s="21">
        <f>8192*'5qubits'!N118/100</f>
        <v>1459.9782399999999</v>
      </c>
      <c r="P65" s="21">
        <f>8192*'5qubits'!O118/100</f>
        <v>1107.9680000000001</v>
      </c>
      <c r="Q65" s="21">
        <f>8192*'5qubits'!P118/100</f>
        <v>1753.9891200000002</v>
      </c>
      <c r="R65" s="21">
        <f>8192*'5qubits'!Q118/100</f>
        <v>1346.0275200000001</v>
      </c>
      <c r="S65" s="21">
        <f>8192*'5qubits'!R118/100</f>
        <v>783.97440000000006</v>
      </c>
      <c r="T65" s="21">
        <f>8192*'5qubits'!S118/100</f>
        <v>714.0147199999999</v>
      </c>
      <c r="U65" s="21">
        <f>8192*'5qubits'!T118/100</f>
        <v>1386.0044800000001</v>
      </c>
      <c r="W65" s="21">
        <f>8192*'5qubits'!U118/100</f>
        <v>1362.0019200000002</v>
      </c>
      <c r="X65" s="21">
        <f>8192*'5qubits'!V118/100</f>
        <v>1182.02368</v>
      </c>
      <c r="Y65" s="21">
        <f>8192*'5qubits'!W118/100</f>
        <v>1536.9830400000001</v>
      </c>
      <c r="Z65" s="21">
        <f>8192*'5qubits'!X118/100</f>
        <v>961.00351999999998</v>
      </c>
      <c r="AA65" s="21">
        <f>8192*'5qubits'!Y118/100</f>
        <v>1337.0163200000002</v>
      </c>
      <c r="AB65" s="21">
        <f>8192*'5qubits'!Z118/100</f>
        <v>1085.0303999999999</v>
      </c>
      <c r="AD65" s="21">
        <f>8192*'5qubits'!AA118/100</f>
        <v>1622.9990400000002</v>
      </c>
      <c r="AE65" s="21">
        <f>8192*'5qubits'!AB118/100</f>
        <v>1518.9606400000002</v>
      </c>
      <c r="AF65" s="21">
        <f>8192*'5qubits'!AC118/100</f>
        <v>889.97888000000012</v>
      </c>
      <c r="AG65" s="21">
        <f>8192*'5qubits'!AD118/100</f>
        <v>922.00960000000009</v>
      </c>
      <c r="AH65" s="21">
        <f>8192*'5qubits'!AE118/100</f>
        <v>1381.9904000000001</v>
      </c>
      <c r="AI65" s="21">
        <f>8192*'5qubits'!AF118/100</f>
        <v>1259.0284799999999</v>
      </c>
    </row>
    <row r="66" spans="1:35" s="21" customFormat="1" x14ac:dyDescent="0.45">
      <c r="B66" s="21">
        <f>SUM(B62:B65)</f>
        <v>8192</v>
      </c>
      <c r="C66" s="21">
        <f t="shared" ref="C66:AI66" si="9">SUM(C62:C65)</f>
        <v>8192</v>
      </c>
      <c r="D66" s="21">
        <f t="shared" si="9"/>
        <v>8192</v>
      </c>
      <c r="E66" s="21">
        <f t="shared" si="9"/>
        <v>8192</v>
      </c>
      <c r="F66" s="21">
        <f t="shared" si="9"/>
        <v>8192</v>
      </c>
      <c r="G66" s="21">
        <f t="shared" si="9"/>
        <v>8192</v>
      </c>
      <c r="I66" s="21">
        <f t="shared" si="9"/>
        <v>8192</v>
      </c>
      <c r="J66" s="21">
        <f t="shared" si="9"/>
        <v>8192.0819199999987</v>
      </c>
      <c r="K66" s="21">
        <f t="shared" si="9"/>
        <v>8192</v>
      </c>
      <c r="L66" s="21">
        <f t="shared" si="9"/>
        <v>8191.9180800000013</v>
      </c>
      <c r="M66" s="21">
        <f t="shared" si="9"/>
        <v>8192.0819200000005</v>
      </c>
      <c r="N66" s="21">
        <f t="shared" si="9"/>
        <v>8192</v>
      </c>
      <c r="P66" s="21">
        <f t="shared" si="9"/>
        <v>8191.9999999999991</v>
      </c>
      <c r="Q66" s="21">
        <f t="shared" si="9"/>
        <v>8192</v>
      </c>
      <c r="R66" s="21">
        <f t="shared" si="9"/>
        <v>8192.0819200000005</v>
      </c>
      <c r="S66" s="21">
        <f t="shared" si="9"/>
        <v>8191.9180800000004</v>
      </c>
      <c r="T66" s="21">
        <f t="shared" si="9"/>
        <v>8192</v>
      </c>
      <c r="U66" s="21">
        <f t="shared" si="9"/>
        <v>8192</v>
      </c>
      <c r="W66" s="21">
        <f t="shared" si="9"/>
        <v>8192</v>
      </c>
      <c r="X66" s="21">
        <f t="shared" si="9"/>
        <v>8192</v>
      </c>
      <c r="Y66" s="21">
        <f t="shared" si="9"/>
        <v>8191.9999999999991</v>
      </c>
      <c r="Z66" s="21">
        <f t="shared" si="9"/>
        <v>8192.0819200000005</v>
      </c>
      <c r="AA66" s="21">
        <f t="shared" si="9"/>
        <v>8192</v>
      </c>
      <c r="AB66" s="21">
        <f t="shared" si="9"/>
        <v>8192</v>
      </c>
      <c r="AD66" s="21">
        <f t="shared" si="9"/>
        <v>8192.0819200000005</v>
      </c>
      <c r="AE66" s="21">
        <f t="shared" si="9"/>
        <v>8192</v>
      </c>
      <c r="AF66" s="21">
        <f t="shared" si="9"/>
        <v>8192</v>
      </c>
      <c r="AG66" s="21">
        <f t="shared" si="9"/>
        <v>8192.0819200000005</v>
      </c>
      <c r="AH66" s="21">
        <f t="shared" si="9"/>
        <v>8191.9180800000013</v>
      </c>
      <c r="AI66" s="21">
        <f t="shared" si="9"/>
        <v>8192</v>
      </c>
    </row>
    <row r="68" spans="1:35" x14ac:dyDescent="0.45">
      <c r="A68" s="21" t="s">
        <v>293</v>
      </c>
      <c r="B68" s="25">
        <v>2758.0006400000002</v>
      </c>
      <c r="C68">
        <v>3100.9996799999999</v>
      </c>
      <c r="D68">
        <v>3878.0108799999998</v>
      </c>
      <c r="E68">
        <v>4067.9833600000002</v>
      </c>
      <c r="F68">
        <v>4380.9996799999999</v>
      </c>
      <c r="G68" s="26">
        <v>4545.0035200000002</v>
      </c>
      <c r="H68" s="21" t="s">
        <v>293</v>
      </c>
      <c r="I68" s="25">
        <v>2752.0204800000001</v>
      </c>
      <c r="J68">
        <v>2772.9920000000002</v>
      </c>
      <c r="K68">
        <v>2902.9990399999997</v>
      </c>
      <c r="L68">
        <v>2740.9612800000004</v>
      </c>
      <c r="M68">
        <v>3834.0198399999999</v>
      </c>
      <c r="N68" s="26">
        <v>4010.9670400000005</v>
      </c>
      <c r="O68" s="21" t="s">
        <v>293</v>
      </c>
      <c r="P68">
        <v>2623.9795199999999</v>
      </c>
      <c r="Q68">
        <v>3284.9920000000002</v>
      </c>
      <c r="R68">
        <v>3675.0131199999996</v>
      </c>
      <c r="S68">
        <v>3395.9935999999998</v>
      </c>
      <c r="T68">
        <v>4292.0345600000001</v>
      </c>
      <c r="U68" s="26">
        <v>4295.9667200000004</v>
      </c>
      <c r="V68" s="21" t="s">
        <v>293</v>
      </c>
      <c r="W68" s="25">
        <v>3031.04</v>
      </c>
      <c r="X68">
        <v>3154.9849599999998</v>
      </c>
      <c r="Y68">
        <v>3179.9705599999998</v>
      </c>
      <c r="Z68">
        <v>3300.9664000000002</v>
      </c>
      <c r="AA68">
        <v>3991.9615999999996</v>
      </c>
      <c r="AB68" s="26">
        <v>4216.0128000000004</v>
      </c>
      <c r="AC68" s="21" t="s">
        <v>293</v>
      </c>
      <c r="AD68" s="25">
        <v>2775.04</v>
      </c>
      <c r="AE68">
        <v>2805.0227199999999</v>
      </c>
      <c r="AF68" s="26">
        <v>4007.0348800000002</v>
      </c>
      <c r="AG68">
        <v>3247.9641600000004</v>
      </c>
      <c r="AH68">
        <v>3430.9734399999998</v>
      </c>
      <c r="AI68" s="26">
        <v>4003.0208000000002</v>
      </c>
    </row>
    <row r="69" spans="1:35" x14ac:dyDescent="0.45">
      <c r="B69" s="25">
        <v>2033.9916800000001</v>
      </c>
      <c r="C69">
        <v>2101.9852799999999</v>
      </c>
      <c r="D69">
        <v>2183.00416</v>
      </c>
      <c r="E69">
        <v>2091.0079999999998</v>
      </c>
      <c r="F69">
        <v>2231.9923199999998</v>
      </c>
      <c r="G69" s="26">
        <v>1932.98432</v>
      </c>
      <c r="I69" s="25">
        <v>1920.0409599999998</v>
      </c>
      <c r="J69">
        <v>1836.97408</v>
      </c>
      <c r="K69">
        <v>2063.9744000000001</v>
      </c>
      <c r="L69">
        <v>1795.0310399999998</v>
      </c>
      <c r="M69">
        <v>1901.0355199999999</v>
      </c>
      <c r="N69" s="26">
        <v>2024.9804800000002</v>
      </c>
      <c r="P69">
        <v>2012.03712</v>
      </c>
      <c r="Q69">
        <v>1520.0255999999999</v>
      </c>
      <c r="R69">
        <v>1806.0083199999999</v>
      </c>
      <c r="S69">
        <v>1927.00416</v>
      </c>
      <c r="T69">
        <v>2232.9753599999999</v>
      </c>
      <c r="U69" s="26">
        <v>1936.9983999999999</v>
      </c>
      <c r="W69" s="25">
        <v>1922.00704</v>
      </c>
      <c r="X69">
        <v>2429.00992</v>
      </c>
      <c r="Y69">
        <v>1907.99872</v>
      </c>
      <c r="Z69">
        <v>1988.0345600000001</v>
      </c>
      <c r="AA69">
        <v>1763.9833600000002</v>
      </c>
      <c r="AB69" s="26">
        <v>1790.0339199999999</v>
      </c>
      <c r="AD69" s="25">
        <v>1887.0272</v>
      </c>
      <c r="AE69">
        <v>2038.00576</v>
      </c>
      <c r="AF69" s="26">
        <v>2062.99136</v>
      </c>
      <c r="AG69">
        <v>2024.9804800000002</v>
      </c>
      <c r="AH69">
        <v>2009.0060800000001</v>
      </c>
      <c r="AI69" s="26">
        <v>2047.0169599999999</v>
      </c>
    </row>
    <row r="70" spans="1:35" x14ac:dyDescent="0.45">
      <c r="B70" s="25">
        <v>1860.9766399999999</v>
      </c>
      <c r="C70">
        <v>1530.0198399999999</v>
      </c>
      <c r="D70">
        <v>1160.9702400000001</v>
      </c>
      <c r="E70">
        <v>1143.0297599999999</v>
      </c>
      <c r="F70">
        <v>877.03551999999991</v>
      </c>
      <c r="G70" s="26">
        <v>994.01728000000003</v>
      </c>
      <c r="I70" s="25">
        <v>1932.98432</v>
      </c>
      <c r="J70">
        <v>2057.99424</v>
      </c>
      <c r="K70">
        <v>1854.9964799999998</v>
      </c>
      <c r="L70">
        <v>2196.0294399999998</v>
      </c>
      <c r="M70">
        <v>1405.00992</v>
      </c>
      <c r="N70" s="26">
        <v>1281.9660799999999</v>
      </c>
      <c r="P70">
        <v>1801.99424</v>
      </c>
      <c r="Q70">
        <v>2041.0367999999999</v>
      </c>
      <c r="R70">
        <v>1603.0105600000002</v>
      </c>
      <c r="S70">
        <v>1482.9977600000002</v>
      </c>
      <c r="T70">
        <v>952.97535999999991</v>
      </c>
      <c r="U70" s="26">
        <v>1174.97856</v>
      </c>
      <c r="W70" s="25">
        <v>1701.96992</v>
      </c>
      <c r="X70">
        <v>1425.98144</v>
      </c>
      <c r="Y70">
        <v>1742.0288</v>
      </c>
      <c r="Z70">
        <v>1565.98272</v>
      </c>
      <c r="AA70">
        <v>1351.0246400000001</v>
      </c>
      <c r="AB70" s="26">
        <v>1225.0316800000001</v>
      </c>
      <c r="AD70" s="25">
        <v>1907.01568</v>
      </c>
      <c r="AE70">
        <v>1830.0108799999998</v>
      </c>
      <c r="AF70" s="26">
        <v>1231.99488</v>
      </c>
      <c r="AG70">
        <v>1536.9830400000001</v>
      </c>
      <c r="AH70">
        <v>1492.9920000000002</v>
      </c>
      <c r="AI70" s="26">
        <v>1220.0345600000001</v>
      </c>
    </row>
    <row r="71" spans="1:35" x14ac:dyDescent="0.45">
      <c r="B71" s="25">
        <v>1539.0310399999998</v>
      </c>
      <c r="C71">
        <v>1458.9951999999998</v>
      </c>
      <c r="D71">
        <v>970.0147199999999</v>
      </c>
      <c r="E71">
        <v>889.97888000000012</v>
      </c>
      <c r="F71">
        <v>701.97248000000002</v>
      </c>
      <c r="G71" s="26">
        <v>719.99487999999997</v>
      </c>
      <c r="I71" s="25">
        <v>1587.0361600000001</v>
      </c>
      <c r="J71">
        <v>1524.0396799999999</v>
      </c>
      <c r="K71">
        <v>1370.03008</v>
      </c>
      <c r="L71">
        <v>1459.9782399999999</v>
      </c>
      <c r="M71">
        <v>1052.0166400000001</v>
      </c>
      <c r="N71" s="26">
        <v>874.00448000000006</v>
      </c>
      <c r="P71">
        <v>1753.9891200000002</v>
      </c>
      <c r="Q71">
        <v>1346.0275200000001</v>
      </c>
      <c r="R71">
        <v>1107.9680000000001</v>
      </c>
      <c r="S71">
        <v>1386.0044800000001</v>
      </c>
      <c r="T71">
        <v>714.0147199999999</v>
      </c>
      <c r="U71" s="26">
        <v>783.97440000000006</v>
      </c>
      <c r="W71" s="25">
        <v>1536.9830400000001</v>
      </c>
      <c r="X71">
        <v>1182.02368</v>
      </c>
      <c r="Y71">
        <v>1362.0019200000002</v>
      </c>
      <c r="Z71">
        <v>1337.0163200000002</v>
      </c>
      <c r="AA71">
        <v>1085.0303999999999</v>
      </c>
      <c r="AB71" s="26">
        <v>961.00351999999998</v>
      </c>
      <c r="AD71" s="25">
        <v>1622.9990400000002</v>
      </c>
      <c r="AE71">
        <v>1518.9606400000002</v>
      </c>
      <c r="AF71" s="26">
        <v>889.97888000000012</v>
      </c>
      <c r="AG71">
        <v>1381.9904000000001</v>
      </c>
      <c r="AH71">
        <v>1259.0284799999999</v>
      </c>
      <c r="AI71" s="26">
        <v>922.00960000000009</v>
      </c>
    </row>
    <row r="72" spans="1:35" x14ac:dyDescent="0.45">
      <c r="B72">
        <v>8192</v>
      </c>
      <c r="C72">
        <v>8192</v>
      </c>
      <c r="D72">
        <v>8192</v>
      </c>
      <c r="E72">
        <v>8192</v>
      </c>
      <c r="F72">
        <v>8192</v>
      </c>
      <c r="G72">
        <v>8192</v>
      </c>
      <c r="I72">
        <v>8192.0819199999987</v>
      </c>
      <c r="J72">
        <v>8192</v>
      </c>
      <c r="K72">
        <v>8192</v>
      </c>
      <c r="L72">
        <v>8192</v>
      </c>
      <c r="M72">
        <v>8192.0819200000005</v>
      </c>
      <c r="N72">
        <v>8191.9180800000013</v>
      </c>
      <c r="P72">
        <v>8192</v>
      </c>
      <c r="Q72">
        <v>8192.0819200000005</v>
      </c>
      <c r="R72">
        <v>8191.9999999999991</v>
      </c>
      <c r="S72">
        <v>8192</v>
      </c>
      <c r="T72">
        <v>8192</v>
      </c>
      <c r="U72">
        <v>8191.9180800000004</v>
      </c>
      <c r="W72">
        <v>8191.9999999999991</v>
      </c>
      <c r="X72">
        <v>8192</v>
      </c>
      <c r="Y72">
        <v>8192</v>
      </c>
      <c r="Z72">
        <v>8192</v>
      </c>
      <c r="AA72">
        <v>8192</v>
      </c>
      <c r="AB72">
        <v>8192.0819200000005</v>
      </c>
      <c r="AD72">
        <v>8192.0819200000005</v>
      </c>
      <c r="AE72">
        <v>8192</v>
      </c>
      <c r="AF72">
        <v>8192</v>
      </c>
      <c r="AG72">
        <v>8191.9180800000013</v>
      </c>
      <c r="AH72">
        <v>8192</v>
      </c>
      <c r="AI72">
        <v>8192.0819200000005</v>
      </c>
    </row>
    <row r="74" spans="1:35" s="21" customFormat="1" x14ac:dyDescent="0.45">
      <c r="A74" s="21" t="s">
        <v>213</v>
      </c>
      <c r="B74" s="21">
        <f>8192*'5qubits'!C135/100</f>
        <v>2980.9868800000004</v>
      </c>
      <c r="C74" s="21">
        <f>8192*'5qubits'!D135/100</f>
        <v>3148.0217599999996</v>
      </c>
      <c r="D74" s="21">
        <f>8192*'5qubits'!E135/100</f>
        <v>2512.9779199999998</v>
      </c>
      <c r="E74" s="21">
        <f>8192*'5qubits'!F135/100</f>
        <v>4111.9744000000001</v>
      </c>
      <c r="F74" s="21">
        <f>8192*'5qubits'!G135/100</f>
        <v>2883.0105599999997</v>
      </c>
      <c r="G74" s="21">
        <f>8192*'5qubits'!H135/100</f>
        <v>3144.0076799999997</v>
      </c>
      <c r="H74" s="21" t="s">
        <v>213</v>
      </c>
      <c r="I74" s="21">
        <f>8192*'5qubits'!I135/100</f>
        <v>2797.9776000000002</v>
      </c>
      <c r="J74" s="21">
        <f>8192*'5qubits'!J135/100</f>
        <v>2304.9830400000001</v>
      </c>
      <c r="K74" s="21">
        <f>8192*'5qubits'!K135/100</f>
        <v>2638.9708799999999</v>
      </c>
      <c r="L74" s="21">
        <f>8192*'5qubits'!L135/100</f>
        <v>2738.9952000000003</v>
      </c>
      <c r="M74" s="21">
        <f>8192*'5qubits'!M135/100</f>
        <v>3076.0140799999999</v>
      </c>
      <c r="N74" s="21">
        <f>8192*'5qubits'!N135/100</f>
        <v>2332.9996799999999</v>
      </c>
      <c r="O74" s="21" t="s">
        <v>213</v>
      </c>
      <c r="P74" s="21">
        <f>8192*'5qubits'!O135/100</f>
        <v>3274.9977600000002</v>
      </c>
      <c r="Q74" s="21">
        <f>8192*'5qubits'!P135/100</f>
        <v>3149.9878399999998</v>
      </c>
      <c r="R74" s="21">
        <f>8192*'5qubits'!Q135/100</f>
        <v>3198.9759999999997</v>
      </c>
      <c r="S74" s="21">
        <f>8192*'5qubits'!R135/100</f>
        <v>3392.9625599999999</v>
      </c>
      <c r="T74" s="21">
        <f>8192*'5qubits'!S135/100</f>
        <v>3318.00576</v>
      </c>
      <c r="U74" s="21">
        <f>8192*'5qubits'!T135/100</f>
        <v>3440.9676799999997</v>
      </c>
      <c r="V74" s="21" t="s">
        <v>213</v>
      </c>
      <c r="W74" s="21">
        <f>8192*'5qubits'!U135/100</f>
        <v>2888.9907199999998</v>
      </c>
      <c r="X74" s="21">
        <f>8192*'5qubits'!V135/100</f>
        <v>3564.01152</v>
      </c>
      <c r="Y74" s="21">
        <f>8192*'5qubits'!W135/100</f>
        <v>2901.0329599999995</v>
      </c>
      <c r="Z74" s="21">
        <f>8192*'5qubits'!X135/100</f>
        <v>3877.0278399999997</v>
      </c>
      <c r="AA74" s="21">
        <f>8192*'5qubits'!Y135/100</f>
        <v>4015.9641600000004</v>
      </c>
      <c r="AB74" s="21">
        <f>8192*'5qubits'!Z135/100</f>
        <v>2951.0041600000004</v>
      </c>
      <c r="AC74" s="21" t="s">
        <v>213</v>
      </c>
      <c r="AD74" s="21">
        <f>8192*'5qubits'!AA135/100</f>
        <v>2829.0252799999998</v>
      </c>
      <c r="AE74" s="21">
        <f>8192*'5qubits'!AB135/100</f>
        <v>3376.9881599999999</v>
      </c>
      <c r="AF74" s="21">
        <f>8192*'5qubits'!AC135/100</f>
        <v>3435.9705599999998</v>
      </c>
      <c r="AG74" s="21">
        <f>8192*'5qubits'!AD135/100</f>
        <v>3154.9849599999998</v>
      </c>
      <c r="AH74" s="21">
        <f>8192*'5qubits'!AE135/100</f>
        <v>4366.0083199999999</v>
      </c>
      <c r="AI74" s="21">
        <f>8192*'5qubits'!AF135/100</f>
        <v>2585.9686400000001</v>
      </c>
    </row>
    <row r="75" spans="1:35" s="21" customFormat="1" x14ac:dyDescent="0.45">
      <c r="B75" s="21">
        <f>8192*'5qubits'!C136/100</f>
        <v>1994.9977600000002</v>
      </c>
      <c r="C75" s="21">
        <f>8192*'5qubits'!D136/100</f>
        <v>1927.9872</v>
      </c>
      <c r="D75" s="21">
        <f>8192*'5qubits'!E136/100</f>
        <v>2319.9744000000001</v>
      </c>
      <c r="E75" s="21">
        <f>8192*'5qubits'!F136/100</f>
        <v>1912.0128</v>
      </c>
      <c r="F75" s="21">
        <f>8192*'5qubits'!G136/100</f>
        <v>2579.98848</v>
      </c>
      <c r="G75" s="21">
        <f>8192*'5qubits'!H136/100</f>
        <v>2313.99424</v>
      </c>
      <c r="I75" s="21">
        <f>8192*'5qubits'!I136/100</f>
        <v>2057.0111999999999</v>
      </c>
      <c r="J75" s="21">
        <f>8192*'5qubits'!J136/100</f>
        <v>1925.0380799999998</v>
      </c>
      <c r="K75" s="21">
        <f>8192*'5qubits'!K136/100</f>
        <v>2278.0313599999999</v>
      </c>
      <c r="L75" s="21">
        <f>8192*'5qubits'!L136/100</f>
        <v>1998.0288</v>
      </c>
      <c r="M75" s="21">
        <f>8192*'5qubits'!M136/100</f>
        <v>2028.9945600000001</v>
      </c>
      <c r="N75" s="21">
        <f>8192*'5qubits'!N136/100</f>
        <v>1859.9935999999998</v>
      </c>
      <c r="P75" s="21">
        <f>8192*'5qubits'!O136/100</f>
        <v>1931.0182399999999</v>
      </c>
      <c r="Q75" s="21">
        <f>8192*'5qubits'!P136/100</f>
        <v>2004.9920000000002</v>
      </c>
      <c r="R75" s="21">
        <f>8192*'5qubits'!Q136/100</f>
        <v>2212.0038399999999</v>
      </c>
      <c r="S75" s="21">
        <f>8192*'5qubits'!R136/100</f>
        <v>2163.01568</v>
      </c>
      <c r="T75" s="21">
        <f>8192*'5qubits'!S136/100</f>
        <v>2034.9747200000002</v>
      </c>
      <c r="U75" s="21">
        <f>8192*'5qubits'!T136/100</f>
        <v>1729.0035200000002</v>
      </c>
      <c r="W75" s="21">
        <f>8192*'5qubits'!U136/100</f>
        <v>1796.0140799999999</v>
      </c>
      <c r="X75" s="21">
        <f>8192*'5qubits'!V136/100</f>
        <v>1511.0144</v>
      </c>
      <c r="Y75" s="21">
        <f>8192*'5qubits'!W136/100</f>
        <v>1980.0064000000002</v>
      </c>
      <c r="Z75" s="21">
        <f>8192*'5qubits'!X136/100</f>
        <v>1764.9664000000002</v>
      </c>
      <c r="AA75" s="21">
        <f>8192*'5qubits'!Y136/100</f>
        <v>1988.0345600000001</v>
      </c>
      <c r="AB75" s="21">
        <f>8192*'5qubits'!Z136/100</f>
        <v>1807.9744000000001</v>
      </c>
      <c r="AD75" s="21">
        <f>8192*'5qubits'!AA136/100</f>
        <v>2455.9616000000001</v>
      </c>
      <c r="AE75" s="21">
        <f>8192*'5qubits'!AB136/100</f>
        <v>2117.9596799999999</v>
      </c>
      <c r="AF75" s="21">
        <f>8192*'5qubits'!AC136/100</f>
        <v>1990.9836799999998</v>
      </c>
      <c r="AG75" s="21">
        <f>8192*'5qubits'!AD136/100</f>
        <v>2150.9734400000002</v>
      </c>
      <c r="AH75" s="21">
        <f>8192*'5qubits'!AE136/100</f>
        <v>1450.96704</v>
      </c>
      <c r="AI75" s="21">
        <f>8192*'5qubits'!AF136/100</f>
        <v>2580.9715200000001</v>
      </c>
    </row>
    <row r="76" spans="1:35" s="21" customFormat="1" x14ac:dyDescent="0.45">
      <c r="B76" s="21">
        <f>8192*'5qubits'!C137/100</f>
        <v>1787.9859200000001</v>
      </c>
      <c r="C76" s="21">
        <f>8192*'5qubits'!D137/100</f>
        <v>1798.9632000000001</v>
      </c>
      <c r="D76" s="21">
        <f>8192*'5qubits'!E137/100</f>
        <v>1642.9875200000001</v>
      </c>
      <c r="E76" s="21">
        <f>8192*'5qubits'!F137/100</f>
        <v>1331.0361600000001</v>
      </c>
      <c r="F76" s="21">
        <f>8192*'5qubits'!G137/100</f>
        <v>1380.02432</v>
      </c>
      <c r="G76" s="21">
        <f>8192*'5qubits'!H137/100</f>
        <v>1531.9859200000001</v>
      </c>
      <c r="I76" s="21">
        <f>8192*'5qubits'!I137/100</f>
        <v>1889.9763200000002</v>
      </c>
      <c r="J76" s="21">
        <f>8192*'5qubits'!J137/100</f>
        <v>2106.9823999999999</v>
      </c>
      <c r="K76" s="21">
        <f>8192*'5qubits'!K137/100</f>
        <v>1722.0403200000001</v>
      </c>
      <c r="L76" s="21">
        <f>8192*'5qubits'!L137/100</f>
        <v>1874.0019200000002</v>
      </c>
      <c r="M76" s="21">
        <f>8192*'5qubits'!M137/100</f>
        <v>1735.9667199999999</v>
      </c>
      <c r="N76" s="21">
        <f>8192*'5qubits'!N137/100</f>
        <v>1962.96704</v>
      </c>
      <c r="P76" s="21">
        <f>8192*'5qubits'!O137/100</f>
        <v>1705.9839999999999</v>
      </c>
      <c r="Q76" s="21">
        <f>8192*'5qubits'!P137/100</f>
        <v>1759.9692800000003</v>
      </c>
      <c r="R76" s="21">
        <f>8192*'5qubits'!Q137/100</f>
        <v>1532.9689600000002</v>
      </c>
      <c r="S76" s="21">
        <f>8192*'5qubits'!R137/100</f>
        <v>1482.0147200000001</v>
      </c>
      <c r="T76" s="21">
        <f>8192*'5qubits'!S137/100</f>
        <v>1648.9676800000002</v>
      </c>
      <c r="U76" s="21">
        <f>8192*'5qubits'!T137/100</f>
        <v>1798.9632000000001</v>
      </c>
      <c r="W76" s="21">
        <f>8192*'5qubits'!U137/100</f>
        <v>2007.04</v>
      </c>
      <c r="X76" s="21">
        <f>8192*'5qubits'!V137/100</f>
        <v>2020.9664000000002</v>
      </c>
      <c r="Y76" s="21">
        <f>8192*'5qubits'!W137/100</f>
        <v>1840.0051199999998</v>
      </c>
      <c r="Z76" s="21">
        <f>8192*'5qubits'!X137/100</f>
        <v>1568.0307199999997</v>
      </c>
      <c r="AA76" s="21">
        <f>8192*'5qubits'!Y137/100</f>
        <v>1294.0083199999999</v>
      </c>
      <c r="AB76" s="21">
        <f>8192*'5qubits'!Z137/100</f>
        <v>1956.9868799999999</v>
      </c>
      <c r="AD76" s="21">
        <f>8192*'5qubits'!AA137/100</f>
        <v>1453.9980799999998</v>
      </c>
      <c r="AE76" s="21">
        <f>8192*'5qubits'!AB137/100</f>
        <v>1478.9836799999998</v>
      </c>
      <c r="AF76" s="21">
        <f>8192*'5qubits'!AC137/100</f>
        <v>1541.9801600000001</v>
      </c>
      <c r="AG76" s="21">
        <f>8192*'5qubits'!AD137/100</f>
        <v>1569.9967999999999</v>
      </c>
      <c r="AH76" s="21">
        <f>8192*'5qubits'!AE137/100</f>
        <v>1546.9772800000001</v>
      </c>
      <c r="AI76" s="21">
        <f>8192*'5qubits'!AF137/100</f>
        <v>1430.97856</v>
      </c>
    </row>
    <row r="77" spans="1:35" s="21" customFormat="1" x14ac:dyDescent="0.45">
      <c r="B77" s="21">
        <f>8192*'5qubits'!C138/100</f>
        <v>1428.0294399999998</v>
      </c>
      <c r="C77" s="21">
        <f>8192*'5qubits'!D138/100</f>
        <v>1317.0278400000002</v>
      </c>
      <c r="D77" s="21">
        <f>8192*'5qubits'!E138/100</f>
        <v>1715.9782399999999</v>
      </c>
      <c r="E77" s="21">
        <f>8192*'5qubits'!F138/100</f>
        <v>836.97664000000009</v>
      </c>
      <c r="F77" s="21">
        <f>8192*'5qubits'!G138/100</f>
        <v>1348.9766399999999</v>
      </c>
      <c r="G77" s="21">
        <f>8192*'5qubits'!H138/100</f>
        <v>1202.01216</v>
      </c>
      <c r="I77" s="21">
        <f>8192*'5qubits'!I138/100</f>
        <v>1447.0348800000002</v>
      </c>
      <c r="J77" s="21">
        <f>8192*'5qubits'!J138/100</f>
        <v>1854.9964799999998</v>
      </c>
      <c r="K77" s="21">
        <f>8192*'5qubits'!K138/100</f>
        <v>1553.0393599999998</v>
      </c>
      <c r="L77" s="21">
        <f>8192*'5qubits'!L138/100</f>
        <v>1580.97408</v>
      </c>
      <c r="M77" s="21">
        <f>8192*'5qubits'!M138/100</f>
        <v>1351.0246400000001</v>
      </c>
      <c r="N77" s="21">
        <f>8192*'5qubits'!N138/100</f>
        <v>2036.0396799999999</v>
      </c>
      <c r="P77" s="21">
        <f>8192*'5qubits'!O138/100</f>
        <v>1280</v>
      </c>
      <c r="Q77" s="21">
        <f>8192*'5qubits'!P138/100</f>
        <v>1276.9689599999999</v>
      </c>
      <c r="R77" s="21">
        <f>8192*'5qubits'!Q138/100</f>
        <v>1247.96928</v>
      </c>
      <c r="S77" s="21">
        <f>8192*'5qubits'!R138/100</f>
        <v>1154.00704</v>
      </c>
      <c r="T77" s="21">
        <f>8192*'5qubits'!S138/100</f>
        <v>1189.96992</v>
      </c>
      <c r="U77" s="21">
        <f>8192*'5qubits'!T138/100</f>
        <v>1222.98368</v>
      </c>
      <c r="W77" s="21">
        <f>8192*'5qubits'!U138/100</f>
        <v>1500.03712</v>
      </c>
      <c r="X77" s="21">
        <f>8192*'5qubits'!V138/100</f>
        <v>1096.0076799999999</v>
      </c>
      <c r="Y77" s="21">
        <f>8192*'5qubits'!W138/100</f>
        <v>1471.0374400000001</v>
      </c>
      <c r="Z77" s="21">
        <f>8192*'5qubits'!X138/100</f>
        <v>981.97504000000004</v>
      </c>
      <c r="AA77" s="21">
        <f>8192*'5qubits'!Y138/100</f>
        <v>893.99296000000004</v>
      </c>
      <c r="AB77" s="21">
        <f>8192*'5qubits'!Z138/100</f>
        <v>1476.0345600000001</v>
      </c>
      <c r="AD77" s="21">
        <f>8192*'5qubits'!AA138/100</f>
        <v>1453.0150399999998</v>
      </c>
      <c r="AE77" s="21">
        <f>8192*'5qubits'!AB138/100</f>
        <v>1217.9865600000001</v>
      </c>
      <c r="AF77" s="21">
        <f>8192*'5qubits'!AC138/100</f>
        <v>1222.98368</v>
      </c>
      <c r="AG77" s="21">
        <f>8192*'5qubits'!AD138/100</f>
        <v>1315.96288</v>
      </c>
      <c r="AH77" s="21">
        <f>8192*'5qubits'!AE138/100</f>
        <v>827.96543999999994</v>
      </c>
      <c r="AI77" s="21">
        <f>8192*'5qubits'!AF138/100</f>
        <v>1593.9993599999998</v>
      </c>
    </row>
    <row r="78" spans="1:35" s="21" customFormat="1" x14ac:dyDescent="0.45">
      <c r="B78" s="21">
        <f>SUM(B74:B77)</f>
        <v>8192</v>
      </c>
      <c r="C78" s="21">
        <f t="shared" ref="C78:AH78" si="10">SUM(C74:C77)</f>
        <v>8192</v>
      </c>
      <c r="D78" s="21">
        <f t="shared" si="10"/>
        <v>8191.9180800000013</v>
      </c>
      <c r="E78" s="21">
        <f t="shared" si="10"/>
        <v>8191.9999999999991</v>
      </c>
      <c r="F78" s="21">
        <f t="shared" si="10"/>
        <v>8191.9999999999991</v>
      </c>
      <c r="G78" s="21">
        <f t="shared" si="10"/>
        <v>8192</v>
      </c>
      <c r="I78" s="21">
        <f t="shared" si="10"/>
        <v>8192</v>
      </c>
      <c r="J78" s="21">
        <f t="shared" si="10"/>
        <v>8191.9999999999991</v>
      </c>
      <c r="K78" s="21">
        <f t="shared" si="10"/>
        <v>8192.0819200000005</v>
      </c>
      <c r="L78" s="21">
        <f t="shared" si="10"/>
        <v>8192</v>
      </c>
      <c r="M78" s="21">
        <f t="shared" si="10"/>
        <v>8192</v>
      </c>
      <c r="N78" s="21">
        <f t="shared" si="10"/>
        <v>8192</v>
      </c>
      <c r="P78" s="21">
        <f t="shared" si="10"/>
        <v>8192</v>
      </c>
      <c r="Q78" s="21">
        <f t="shared" si="10"/>
        <v>8191.9180800000004</v>
      </c>
      <c r="R78" s="21">
        <f t="shared" si="10"/>
        <v>8191.9180800000004</v>
      </c>
      <c r="S78" s="21">
        <f t="shared" si="10"/>
        <v>8192</v>
      </c>
      <c r="T78" s="21">
        <f t="shared" si="10"/>
        <v>8191.9180799999995</v>
      </c>
      <c r="U78" s="21">
        <f t="shared" si="10"/>
        <v>8191.9180800000004</v>
      </c>
      <c r="W78" s="21">
        <f t="shared" si="10"/>
        <v>8192.0819200000005</v>
      </c>
      <c r="X78" s="21">
        <f t="shared" si="10"/>
        <v>8192</v>
      </c>
      <c r="Y78" s="21">
        <f t="shared" si="10"/>
        <v>8192.0819200000005</v>
      </c>
      <c r="Z78" s="21">
        <f t="shared" si="10"/>
        <v>8192</v>
      </c>
      <c r="AA78" s="21">
        <f t="shared" si="10"/>
        <v>8192</v>
      </c>
      <c r="AB78" s="21">
        <f t="shared" si="10"/>
        <v>8192</v>
      </c>
      <c r="AD78" s="21">
        <f t="shared" si="10"/>
        <v>8192</v>
      </c>
      <c r="AE78" s="21">
        <f t="shared" si="10"/>
        <v>8191.9180800000004</v>
      </c>
      <c r="AF78" s="21">
        <f t="shared" si="10"/>
        <v>8191.9180799999995</v>
      </c>
      <c r="AG78" s="21">
        <f t="shared" si="10"/>
        <v>8191.9180799999995</v>
      </c>
      <c r="AH78" s="21">
        <f t="shared" si="10"/>
        <v>8191.9180800000004</v>
      </c>
      <c r="AI78" s="21">
        <f>SUM(AI74:AI77)</f>
        <v>8191.9180799999995</v>
      </c>
    </row>
    <row r="80" spans="1:35" x14ac:dyDescent="0.45">
      <c r="A80" s="21" t="s">
        <v>213</v>
      </c>
      <c r="B80" s="25">
        <v>2512.9779199999998</v>
      </c>
      <c r="C80">
        <v>2980.9868800000004</v>
      </c>
      <c r="D80">
        <v>3148.0217599999996</v>
      </c>
      <c r="E80">
        <v>2883.0105599999997</v>
      </c>
      <c r="F80">
        <v>3144.0076799999997</v>
      </c>
      <c r="G80" s="26">
        <v>4111.9744000000001</v>
      </c>
      <c r="H80" s="21" t="s">
        <v>213</v>
      </c>
      <c r="I80" s="25">
        <v>2304.9830400000001</v>
      </c>
      <c r="J80">
        <v>2638.9708799999999</v>
      </c>
      <c r="K80">
        <v>2797.9776000000002</v>
      </c>
      <c r="L80">
        <v>2332.9996799999999</v>
      </c>
      <c r="M80">
        <v>2738.9952000000003</v>
      </c>
      <c r="N80" s="26">
        <v>3076.0140799999999</v>
      </c>
      <c r="O80" s="21" t="s">
        <v>213</v>
      </c>
      <c r="P80">
        <v>3149.9878399999998</v>
      </c>
      <c r="Q80">
        <v>3198.9759999999997</v>
      </c>
      <c r="R80">
        <v>3274.9977600000002</v>
      </c>
      <c r="S80">
        <v>3318.00576</v>
      </c>
      <c r="T80">
        <v>3392.9625599999999</v>
      </c>
      <c r="U80" s="26">
        <v>3440.9676799999997</v>
      </c>
      <c r="V80" s="21" t="s">
        <v>213</v>
      </c>
      <c r="W80" s="25">
        <v>2888.9907199999998</v>
      </c>
      <c r="X80">
        <v>2901.0329599999995</v>
      </c>
      <c r="Y80">
        <v>3564.01152</v>
      </c>
      <c r="Z80">
        <v>2951.0041600000004</v>
      </c>
      <c r="AA80">
        <v>3877.0278399999997</v>
      </c>
      <c r="AB80" s="26">
        <v>4015.9641600000004</v>
      </c>
      <c r="AC80" s="21" t="s">
        <v>213</v>
      </c>
      <c r="AD80" s="25">
        <v>2829.0252799999998</v>
      </c>
      <c r="AE80">
        <v>3376.9881599999999</v>
      </c>
      <c r="AF80">
        <v>3435.9705599999998</v>
      </c>
      <c r="AG80">
        <v>2585.9686400000001</v>
      </c>
      <c r="AH80">
        <v>3154.9849599999998</v>
      </c>
      <c r="AI80" s="26">
        <v>4366.0083199999999</v>
      </c>
    </row>
    <row r="81" spans="1:35" x14ac:dyDescent="0.45">
      <c r="B81" s="25">
        <v>2319.9744000000001</v>
      </c>
      <c r="C81">
        <v>1994.9977600000002</v>
      </c>
      <c r="D81">
        <v>1927.9872</v>
      </c>
      <c r="E81">
        <v>2579.98848</v>
      </c>
      <c r="F81">
        <v>2313.99424</v>
      </c>
      <c r="G81" s="26">
        <v>1912.0128</v>
      </c>
      <c r="I81" s="25">
        <v>1925.0380799999998</v>
      </c>
      <c r="J81">
        <v>2278.0313599999999</v>
      </c>
      <c r="K81">
        <v>2057.0111999999999</v>
      </c>
      <c r="L81">
        <v>1859.9935999999998</v>
      </c>
      <c r="M81">
        <v>1998.0288</v>
      </c>
      <c r="N81" s="26">
        <v>2028.9945600000001</v>
      </c>
      <c r="P81">
        <v>2004.9920000000002</v>
      </c>
      <c r="Q81">
        <v>2212.0038399999999</v>
      </c>
      <c r="R81">
        <v>1931.0182399999999</v>
      </c>
      <c r="S81">
        <v>2034.9747200000002</v>
      </c>
      <c r="T81">
        <v>2163.01568</v>
      </c>
      <c r="U81" s="26">
        <v>1729.0035200000002</v>
      </c>
      <c r="W81" s="25">
        <v>1796.0140799999999</v>
      </c>
      <c r="X81">
        <v>1980.0064000000002</v>
      </c>
      <c r="Y81">
        <v>1511.0144</v>
      </c>
      <c r="Z81">
        <v>1807.9744000000001</v>
      </c>
      <c r="AA81">
        <v>1764.9664000000002</v>
      </c>
      <c r="AB81" s="26">
        <v>1988.0345600000001</v>
      </c>
      <c r="AD81" s="25">
        <v>2455.9616000000001</v>
      </c>
      <c r="AE81">
        <v>2117.9596799999999</v>
      </c>
      <c r="AF81">
        <v>1990.9836799999998</v>
      </c>
      <c r="AG81">
        <v>2580.9715200000001</v>
      </c>
      <c r="AH81">
        <v>2150.9734400000002</v>
      </c>
      <c r="AI81" s="26">
        <v>1450.96704</v>
      </c>
    </row>
    <row r="82" spans="1:35" x14ac:dyDescent="0.45">
      <c r="B82" s="25">
        <v>1642.9875200000001</v>
      </c>
      <c r="C82">
        <v>1787.9859200000001</v>
      </c>
      <c r="D82">
        <v>1798.9632000000001</v>
      </c>
      <c r="E82">
        <v>1380.02432</v>
      </c>
      <c r="F82">
        <v>1531.9859200000001</v>
      </c>
      <c r="G82" s="26">
        <v>1331.0361600000001</v>
      </c>
      <c r="I82" s="25">
        <v>2106.9823999999999</v>
      </c>
      <c r="J82">
        <v>1722.0403200000001</v>
      </c>
      <c r="K82">
        <v>1889.9763200000002</v>
      </c>
      <c r="L82">
        <v>1962.96704</v>
      </c>
      <c r="M82">
        <v>1874.0019200000002</v>
      </c>
      <c r="N82" s="26">
        <v>1735.9667199999999</v>
      </c>
      <c r="P82">
        <v>1759.9692800000003</v>
      </c>
      <c r="Q82">
        <v>1532.9689600000002</v>
      </c>
      <c r="R82">
        <v>1705.9839999999999</v>
      </c>
      <c r="S82">
        <v>1648.9676800000002</v>
      </c>
      <c r="T82">
        <v>1482.0147200000001</v>
      </c>
      <c r="U82" s="26">
        <v>1798.9632000000001</v>
      </c>
      <c r="W82" s="25">
        <v>2007.04</v>
      </c>
      <c r="X82">
        <v>1840.0051199999998</v>
      </c>
      <c r="Y82">
        <v>2020.9664000000002</v>
      </c>
      <c r="Z82">
        <v>1956.9868799999999</v>
      </c>
      <c r="AA82">
        <v>1568.0307199999997</v>
      </c>
      <c r="AB82" s="26">
        <v>1294.0083199999999</v>
      </c>
      <c r="AD82" s="25">
        <v>1453.9980799999998</v>
      </c>
      <c r="AE82">
        <v>1478.9836799999998</v>
      </c>
      <c r="AF82">
        <v>1541.9801600000001</v>
      </c>
      <c r="AG82">
        <v>1430.97856</v>
      </c>
      <c r="AH82">
        <v>1569.9967999999999</v>
      </c>
      <c r="AI82" s="26">
        <v>1546.9772800000001</v>
      </c>
    </row>
    <row r="83" spans="1:35" x14ac:dyDescent="0.45">
      <c r="B83" s="25">
        <v>1715.9782399999999</v>
      </c>
      <c r="C83">
        <v>1428.0294399999998</v>
      </c>
      <c r="D83">
        <v>1317.0278400000002</v>
      </c>
      <c r="E83">
        <v>1348.9766399999999</v>
      </c>
      <c r="F83">
        <v>1202.01216</v>
      </c>
      <c r="G83" s="26">
        <v>836.97664000000009</v>
      </c>
      <c r="I83" s="25">
        <v>1854.9964799999998</v>
      </c>
      <c r="J83">
        <v>1553.0393599999998</v>
      </c>
      <c r="K83">
        <v>1447.0348800000002</v>
      </c>
      <c r="L83">
        <v>2036.0396799999999</v>
      </c>
      <c r="M83">
        <v>1580.97408</v>
      </c>
      <c r="N83" s="26">
        <v>1351.0246400000001</v>
      </c>
      <c r="P83">
        <v>1276.9689599999999</v>
      </c>
      <c r="Q83">
        <v>1247.96928</v>
      </c>
      <c r="R83">
        <v>1280</v>
      </c>
      <c r="S83">
        <v>1189.96992</v>
      </c>
      <c r="T83">
        <v>1154.00704</v>
      </c>
      <c r="U83" s="26">
        <v>1222.98368</v>
      </c>
      <c r="W83" s="25">
        <v>1500.03712</v>
      </c>
      <c r="X83">
        <v>1471.0374400000001</v>
      </c>
      <c r="Y83">
        <v>1096.0076799999999</v>
      </c>
      <c r="Z83">
        <v>1476.0345600000001</v>
      </c>
      <c r="AA83">
        <v>981.97504000000004</v>
      </c>
      <c r="AB83" s="26">
        <v>893.99296000000004</v>
      </c>
      <c r="AD83" s="25">
        <v>1453.0150399999998</v>
      </c>
      <c r="AE83">
        <v>1217.9865600000001</v>
      </c>
      <c r="AF83">
        <v>1222.98368</v>
      </c>
      <c r="AG83">
        <v>1593.9993599999998</v>
      </c>
      <c r="AH83">
        <v>1315.96288</v>
      </c>
      <c r="AI83" s="26">
        <v>827.96543999999994</v>
      </c>
    </row>
    <row r="84" spans="1:35" x14ac:dyDescent="0.45">
      <c r="B84">
        <v>8191.9180800000013</v>
      </c>
      <c r="C84">
        <v>8192</v>
      </c>
      <c r="D84">
        <v>8192</v>
      </c>
      <c r="E84">
        <v>8191.9999999999991</v>
      </c>
      <c r="F84">
        <v>8192</v>
      </c>
      <c r="G84">
        <v>8191.9999999999991</v>
      </c>
      <c r="I84">
        <v>8191.9999999999991</v>
      </c>
      <c r="J84">
        <v>8192.0819200000005</v>
      </c>
      <c r="K84">
        <v>8192</v>
      </c>
      <c r="L84">
        <v>8192</v>
      </c>
      <c r="M84">
        <v>8192</v>
      </c>
      <c r="N84">
        <v>8192</v>
      </c>
      <c r="P84">
        <v>8191.9180800000004</v>
      </c>
      <c r="Q84">
        <v>8191.9180800000004</v>
      </c>
      <c r="R84">
        <v>8192</v>
      </c>
      <c r="S84">
        <v>8191.9180799999995</v>
      </c>
      <c r="T84">
        <v>8192</v>
      </c>
      <c r="U84">
        <v>8191.9180800000004</v>
      </c>
      <c r="W84">
        <v>8192.0819200000005</v>
      </c>
      <c r="X84">
        <v>8192.0819200000005</v>
      </c>
      <c r="Y84">
        <v>8192</v>
      </c>
      <c r="Z84">
        <v>8192</v>
      </c>
      <c r="AA84">
        <v>8192</v>
      </c>
      <c r="AB84">
        <v>8192</v>
      </c>
      <c r="AD84">
        <v>8192</v>
      </c>
      <c r="AE84">
        <v>8191.9180800000004</v>
      </c>
      <c r="AF84">
        <v>8191.9180799999995</v>
      </c>
      <c r="AG84">
        <v>8191.9180799999995</v>
      </c>
      <c r="AH84">
        <v>8191.9180799999995</v>
      </c>
      <c r="AI84">
        <v>8191.9180800000004</v>
      </c>
    </row>
    <row r="86" spans="1:35" s="21" customFormat="1" x14ac:dyDescent="0.45">
      <c r="A86" s="21" t="s">
        <v>245</v>
      </c>
      <c r="B86" s="21">
        <f>8192*'5qubits'!C155/100</f>
        <v>2631.0246399999996</v>
      </c>
      <c r="C86" s="21">
        <f>8192*'5qubits'!D155/100</f>
        <v>2402.9593599999998</v>
      </c>
      <c r="D86" s="21">
        <f>8192*'5qubits'!E155/100</f>
        <v>2392.9651199999998</v>
      </c>
      <c r="E86" s="21">
        <f>8192*'5qubits'!F155/100</f>
        <v>2690.9900799999996</v>
      </c>
      <c r="F86" s="21">
        <f>8192*'5qubits'!G155/100</f>
        <v>2548.0396799999999</v>
      </c>
      <c r="G86" s="21">
        <f>8192*'5qubits'!H155/100</f>
        <v>2612.0192000000002</v>
      </c>
      <c r="H86" s="21" t="s">
        <v>245</v>
      </c>
      <c r="I86" s="21">
        <f>8192*'5qubits'!I155/100</f>
        <v>2228.96128</v>
      </c>
      <c r="J86" s="21">
        <f>8192*'5qubits'!J155/100</f>
        <v>2352.0051199999998</v>
      </c>
      <c r="K86" s="21">
        <f>8192*'5qubits'!K155/100</f>
        <v>1830.9939199999999</v>
      </c>
      <c r="L86" s="21">
        <f>8192*'5qubits'!L155/100</f>
        <v>2709.9955200000004</v>
      </c>
      <c r="M86" s="21">
        <f>8192*'5qubits'!M155/100</f>
        <v>2256.9779199999998</v>
      </c>
      <c r="N86" s="21">
        <f>8192*'5qubits'!N155/100</f>
        <v>2100.0192000000002</v>
      </c>
      <c r="O86" s="21" t="s">
        <v>245</v>
      </c>
      <c r="P86" s="21">
        <f>8192*'5qubits'!O155/100</f>
        <v>2191.0323199999998</v>
      </c>
      <c r="Q86" s="21">
        <f>8192*'5qubits'!P155/100</f>
        <v>2101.9852799999999</v>
      </c>
      <c r="R86" s="21">
        <f>8192*'5qubits'!Q155/100</f>
        <v>2299.00288</v>
      </c>
      <c r="S86" s="21">
        <f>8192*'5qubits'!R155/100</f>
        <v>2294.00576</v>
      </c>
      <c r="T86" s="21">
        <f>8192*'5qubits'!S155/100</f>
        <v>2624.9625599999999</v>
      </c>
      <c r="U86" s="21">
        <f>8192*'5qubits'!T155/100</f>
        <v>2947.9731199999997</v>
      </c>
      <c r="V86" s="21" t="s">
        <v>245</v>
      </c>
      <c r="W86" s="21">
        <f>8192*'5qubits'!U155/100</f>
        <v>2242.9695999999999</v>
      </c>
      <c r="X86" s="21">
        <f>8192*'5qubits'!V155/100</f>
        <v>2146.9593599999998</v>
      </c>
      <c r="Y86" s="21">
        <f>8192*'5qubits'!W155/100</f>
        <v>3297.03424</v>
      </c>
      <c r="Z86" s="21">
        <f>8192*'5qubits'!X155/100</f>
        <v>2826.9772800000001</v>
      </c>
      <c r="AA86" s="21">
        <f>8192*'5qubits'!Y155/100</f>
        <v>2640.0358399999996</v>
      </c>
      <c r="AB86" s="21">
        <f>8192*'5qubits'!Z155/100</f>
        <v>2603.0079999999998</v>
      </c>
      <c r="AC86" s="21" t="s">
        <v>245</v>
      </c>
      <c r="AD86" s="21">
        <f>8192*'5qubits'!AA155/100</f>
        <v>2315.9603200000001</v>
      </c>
      <c r="AE86" s="21">
        <f>8192*'5qubits'!AB155/100</f>
        <v>2526.0032000000001</v>
      </c>
      <c r="AF86" s="21">
        <f>8192*'5qubits'!AC155/100</f>
        <v>2575.9744000000001</v>
      </c>
      <c r="AG86" s="21">
        <f>8192*'5qubits'!AD155/100</f>
        <v>2366.9964799999998</v>
      </c>
      <c r="AH86" s="21">
        <f>8192*'5qubits'!AE155/100</f>
        <v>2483.9782399999999</v>
      </c>
      <c r="AI86" s="21">
        <f>8192*'5qubits'!AF155/100</f>
        <v>2495.0374400000001</v>
      </c>
    </row>
    <row r="87" spans="1:35" s="21" customFormat="1" x14ac:dyDescent="0.45">
      <c r="B87" s="21">
        <f>8192*'5qubits'!C156/100</f>
        <v>1748.0089600000001</v>
      </c>
      <c r="C87" s="21">
        <f>8192*'5qubits'!D156/100</f>
        <v>1777.00864</v>
      </c>
      <c r="D87" s="21">
        <f>8192*'5qubits'!E156/100</f>
        <v>1450.96704</v>
      </c>
      <c r="E87" s="21">
        <f>8192*'5qubits'!F156/100</f>
        <v>1787.00288</v>
      </c>
      <c r="F87" s="21">
        <f>8192*'5qubits'!G156/100</f>
        <v>1980.9894399999998</v>
      </c>
      <c r="G87" s="21">
        <f>8192*'5qubits'!H156/100</f>
        <v>1869.0048000000002</v>
      </c>
      <c r="I87" s="21">
        <f>8192*'5qubits'!I156/100</f>
        <v>2144.0102400000001</v>
      </c>
      <c r="J87" s="21">
        <f>8192*'5qubits'!J156/100</f>
        <v>1989.0176000000001</v>
      </c>
      <c r="K87" s="21">
        <f>8192*'5qubits'!K156/100</f>
        <v>1899.9705600000002</v>
      </c>
      <c r="L87" s="21">
        <f>8192*'5qubits'!L156/100</f>
        <v>2057.0111999999999</v>
      </c>
      <c r="M87" s="21">
        <f>8192*'5qubits'!M156/100</f>
        <v>1830.9939199999999</v>
      </c>
      <c r="N87" s="21">
        <f>8192*'5qubits'!N156/100</f>
        <v>1921.0239999999999</v>
      </c>
      <c r="P87" s="21">
        <f>8192*'5qubits'!O156/100</f>
        <v>1890.9593599999998</v>
      </c>
      <c r="Q87" s="21">
        <f>8192*'5qubits'!P156/100</f>
        <v>1699.0207999999998</v>
      </c>
      <c r="R87" s="21">
        <f>8192*'5qubits'!Q156/100</f>
        <v>1734.9836799999998</v>
      </c>
      <c r="S87" s="21">
        <f>8192*'5qubits'!R156/100</f>
        <v>1744.9779199999998</v>
      </c>
      <c r="T87" s="21">
        <f>8192*'5qubits'!S156/100</f>
        <v>1763.9833600000002</v>
      </c>
      <c r="U87" s="21">
        <f>8192*'5qubits'!T156/100</f>
        <v>1776.0255999999999</v>
      </c>
      <c r="W87" s="21">
        <f>8192*'5qubits'!U156/100</f>
        <v>1830.0108799999998</v>
      </c>
      <c r="X87" s="21">
        <f>8192*'5qubits'!V156/100</f>
        <v>1893.0073600000001</v>
      </c>
      <c r="Y87" s="21">
        <f>8192*'5qubits'!W156/100</f>
        <v>1657.9788800000001</v>
      </c>
      <c r="Z87" s="21">
        <f>8192*'5qubits'!X156/100</f>
        <v>1797.9801600000001</v>
      </c>
      <c r="AA87" s="21">
        <f>8192*'5qubits'!Y156/100</f>
        <v>1814.0364799999998</v>
      </c>
      <c r="AB87" s="21">
        <f>8192*'5qubits'!Z156/100</f>
        <v>1801.0111999999999</v>
      </c>
      <c r="AD87" s="21">
        <f>8192*'5qubits'!AA156/100</f>
        <v>1660.0268799999999</v>
      </c>
      <c r="AE87" s="21">
        <f>8192*'5qubits'!AB156/100</f>
        <v>1714.9951999999998</v>
      </c>
      <c r="AF87" s="21">
        <f>8192*'5qubits'!AC156/100</f>
        <v>1767.0144</v>
      </c>
      <c r="AG87" s="21">
        <f>8192*'5qubits'!AD156/100</f>
        <v>1945.0265599999998</v>
      </c>
      <c r="AH87" s="21">
        <f>8192*'5qubits'!AE156/100</f>
        <v>2012.03712</v>
      </c>
      <c r="AI87" s="21">
        <f>8192*'5qubits'!AF156/100</f>
        <v>1752.02304</v>
      </c>
    </row>
    <row r="88" spans="1:35" s="21" customFormat="1" x14ac:dyDescent="0.45">
      <c r="B88" s="21">
        <f>8192*'5qubits'!C157/100</f>
        <v>2241.0035200000002</v>
      </c>
      <c r="C88" s="21">
        <f>8192*'5qubits'!D157/100</f>
        <v>2263.04</v>
      </c>
      <c r="D88" s="21">
        <f>8192*'5qubits'!E157/100</f>
        <v>2566.9632000000001</v>
      </c>
      <c r="E88" s="21">
        <f>8192*'5qubits'!F157/100</f>
        <v>2187.0182399999999</v>
      </c>
      <c r="F88" s="21">
        <f>8192*'5qubits'!G157/100</f>
        <v>2027.0284799999999</v>
      </c>
      <c r="G88" s="21">
        <f>8192*'5qubits'!H157/100</f>
        <v>2014.0032000000001</v>
      </c>
      <c r="I88" s="21">
        <f>8192*'5qubits'!I157/100</f>
        <v>1917.00992</v>
      </c>
      <c r="J88" s="21">
        <f>8192*'5qubits'!J157/100</f>
        <v>2052.99712</v>
      </c>
      <c r="K88" s="21">
        <f>8192*'5qubits'!K157/100</f>
        <v>2234.0403200000001</v>
      </c>
      <c r="L88" s="21">
        <f>8192*'5qubits'!L157/100</f>
        <v>1894.9734400000002</v>
      </c>
      <c r="M88" s="21">
        <f>8192*'5qubits'!M157/100</f>
        <v>2239.0374400000001</v>
      </c>
      <c r="N88" s="21">
        <f>8192*'5qubits'!N157/100</f>
        <v>2226.0121599999998</v>
      </c>
      <c r="P88" s="21">
        <f>8192*'5qubits'!O157/100</f>
        <v>2095.0220800000002</v>
      </c>
      <c r="Q88" s="21">
        <f>8192*'5qubits'!P157/100</f>
        <v>2447.0323199999998</v>
      </c>
      <c r="R88" s="21">
        <f>8192*'5qubits'!Q157/100</f>
        <v>2309.9801600000001</v>
      </c>
      <c r="S88" s="21">
        <f>8192*'5qubits'!R157/100</f>
        <v>2269.02016</v>
      </c>
      <c r="T88" s="21">
        <f>8192*'5qubits'!S157/100</f>
        <v>2101.9852799999999</v>
      </c>
      <c r="U88" s="21">
        <f>8192*'5qubits'!T157/100</f>
        <v>2029.9776000000002</v>
      </c>
      <c r="W88" s="21">
        <f>8192*'5qubits'!U157/100</f>
        <v>2284.01152</v>
      </c>
      <c r="X88" s="21">
        <f>8192*'5qubits'!V157/100</f>
        <v>2213.96992</v>
      </c>
      <c r="Y88" s="21">
        <f>8192*'5qubits'!W157/100</f>
        <v>2020.9664000000002</v>
      </c>
      <c r="Z88" s="21">
        <f>8192*'5qubits'!X157/100</f>
        <v>2028.01152</v>
      </c>
      <c r="AA88" s="21">
        <f>8192*'5qubits'!Y157/100</f>
        <v>2043.00288</v>
      </c>
      <c r="AB88" s="21">
        <f>8192*'5qubits'!Z157/100</f>
        <v>2100.0192000000002</v>
      </c>
      <c r="AD88" s="21">
        <f>8192*'5qubits'!AA157/100</f>
        <v>2321.0393599999998</v>
      </c>
      <c r="AE88" s="21">
        <f>8192*'5qubits'!AB157/100</f>
        <v>2264.02304</v>
      </c>
      <c r="AF88" s="21">
        <f>8192*'5qubits'!AC157/100</f>
        <v>2203.97568</v>
      </c>
      <c r="AG88" s="21">
        <f>8192*'5qubits'!AD157/100</f>
        <v>2001.9609599999999</v>
      </c>
      <c r="AH88" s="21">
        <f>8192*'5qubits'!AE157/100</f>
        <v>1922.99008</v>
      </c>
      <c r="AI88" s="21">
        <f>8192*'5qubits'!AF157/100</f>
        <v>2261.9750399999998</v>
      </c>
    </row>
    <row r="89" spans="1:35" s="21" customFormat="1" x14ac:dyDescent="0.45">
      <c r="B89" s="21">
        <f>8192*'5qubits'!C158/100</f>
        <v>1571.96288</v>
      </c>
      <c r="C89" s="21">
        <f>8192*'5qubits'!D158/100</f>
        <v>1748.9920000000002</v>
      </c>
      <c r="D89" s="21">
        <f>8192*'5qubits'!E158/100</f>
        <v>1781.0227199999999</v>
      </c>
      <c r="E89" s="21">
        <f>8192*'5qubits'!F158/100</f>
        <v>1526.9888000000001</v>
      </c>
      <c r="F89" s="21">
        <f>8192*'5qubits'!G158/100</f>
        <v>1636.02432</v>
      </c>
      <c r="G89" s="21">
        <f>8192*'5qubits'!H158/100</f>
        <v>1696.9728</v>
      </c>
      <c r="I89" s="21">
        <f>8192*'5qubits'!I158/100</f>
        <v>1902.01856</v>
      </c>
      <c r="J89" s="21">
        <f>8192*'5qubits'!J158/100</f>
        <v>1797.9801600000001</v>
      </c>
      <c r="K89" s="21">
        <f>8192*'5qubits'!K158/100</f>
        <v>2226.9951999999998</v>
      </c>
      <c r="L89" s="21">
        <f>8192*'5qubits'!L158/100</f>
        <v>1530.0198399999999</v>
      </c>
      <c r="M89" s="21">
        <f>8192*'5qubits'!M158/100</f>
        <v>1864.9907199999998</v>
      </c>
      <c r="N89" s="21">
        <f>8192*'5qubits'!N158/100</f>
        <v>1945.0265599999998</v>
      </c>
      <c r="P89" s="21">
        <f>8192*'5qubits'!O158/100</f>
        <v>2014.9862400000002</v>
      </c>
      <c r="Q89" s="21">
        <f>8192*'5qubits'!P158/100</f>
        <v>1943.9616000000001</v>
      </c>
      <c r="R89" s="21">
        <f>8192*'5qubits'!Q158/100</f>
        <v>1848.0332800000001</v>
      </c>
      <c r="S89" s="21">
        <f>8192*'5qubits'!R158/100</f>
        <v>1883.9961600000001</v>
      </c>
      <c r="T89" s="21">
        <f>8192*'5qubits'!S158/100</f>
        <v>1700.9868799999999</v>
      </c>
      <c r="U89" s="21">
        <f>8192*'5qubits'!T158/100</f>
        <v>1438.0236799999998</v>
      </c>
      <c r="W89" s="21">
        <f>8192*'5qubits'!U158/100</f>
        <v>1835.0079999999998</v>
      </c>
      <c r="X89" s="21">
        <f>8192*'5qubits'!V158/100</f>
        <v>1937.98144</v>
      </c>
      <c r="Y89" s="21">
        <f>8192*'5qubits'!W158/100</f>
        <v>1216.0204799999999</v>
      </c>
      <c r="Z89" s="21">
        <f>8192*'5qubits'!X158/100</f>
        <v>1539.0310399999998</v>
      </c>
      <c r="AA89" s="21">
        <f>8192*'5qubits'!Y158/100</f>
        <v>1695.0067199999999</v>
      </c>
      <c r="AB89" s="21">
        <f>8192*'5qubits'!Z158/100</f>
        <v>1687.9616000000001</v>
      </c>
      <c r="AD89" s="21">
        <f>8192*'5qubits'!AA158/100</f>
        <v>1894.9734400000002</v>
      </c>
      <c r="AE89" s="21">
        <f>8192*'5qubits'!AB158/100</f>
        <v>1686.97856</v>
      </c>
      <c r="AF89" s="21">
        <f>8192*'5qubits'!AC158/100</f>
        <v>1645.0355199999999</v>
      </c>
      <c r="AG89" s="21">
        <f>8192*'5qubits'!AD158/100</f>
        <v>1878.0160000000001</v>
      </c>
      <c r="AH89" s="21">
        <f>8192*'5qubits'!AE158/100</f>
        <v>1772.9945600000001</v>
      </c>
      <c r="AI89" s="21">
        <f>8192*'5qubits'!AF158/100</f>
        <v>1682.9644800000001</v>
      </c>
    </row>
    <row r="90" spans="1:35" s="21" customFormat="1" x14ac:dyDescent="0.45">
      <c r="B90" s="21">
        <f>SUM(B86:B89)</f>
        <v>8192</v>
      </c>
      <c r="C90" s="21">
        <f t="shared" ref="C90:AI90" si="11">SUM(C86:C89)</f>
        <v>8192</v>
      </c>
      <c r="D90" s="21">
        <f t="shared" si="11"/>
        <v>8191.9180800000004</v>
      </c>
      <c r="E90" s="21">
        <f t="shared" si="11"/>
        <v>8191.9999999999991</v>
      </c>
      <c r="F90" s="21">
        <f t="shared" si="11"/>
        <v>8192.0819199999987</v>
      </c>
      <c r="G90" s="21">
        <f t="shared" si="11"/>
        <v>8192</v>
      </c>
      <c r="I90" s="21">
        <f t="shared" si="11"/>
        <v>8192</v>
      </c>
      <c r="J90" s="21">
        <f t="shared" si="11"/>
        <v>8192</v>
      </c>
      <c r="K90" s="21">
        <f t="shared" si="11"/>
        <v>8192</v>
      </c>
      <c r="L90" s="21">
        <f t="shared" si="11"/>
        <v>8192</v>
      </c>
      <c r="M90" s="21">
        <f t="shared" si="11"/>
        <v>8192</v>
      </c>
      <c r="N90" s="21">
        <f t="shared" si="11"/>
        <v>8192.0819200000005</v>
      </c>
      <c r="P90" s="21">
        <f t="shared" si="11"/>
        <v>8192</v>
      </c>
      <c r="Q90" s="21">
        <f t="shared" si="11"/>
        <v>8192</v>
      </c>
      <c r="R90" s="21">
        <f t="shared" si="11"/>
        <v>8192</v>
      </c>
      <c r="S90" s="21">
        <f t="shared" si="11"/>
        <v>8192</v>
      </c>
      <c r="T90" s="21">
        <f t="shared" si="11"/>
        <v>8191.9180799999995</v>
      </c>
      <c r="U90" s="21">
        <f t="shared" si="11"/>
        <v>8192</v>
      </c>
      <c r="W90" s="21">
        <f t="shared" si="11"/>
        <v>8192</v>
      </c>
      <c r="X90" s="21">
        <f t="shared" si="11"/>
        <v>8191.9180799999995</v>
      </c>
      <c r="Y90" s="21">
        <f t="shared" si="11"/>
        <v>8192</v>
      </c>
      <c r="Z90" s="21">
        <f t="shared" si="11"/>
        <v>8192</v>
      </c>
      <c r="AA90" s="21">
        <f t="shared" si="11"/>
        <v>8192.0819199999987</v>
      </c>
      <c r="AB90" s="21">
        <f t="shared" si="11"/>
        <v>8192</v>
      </c>
      <c r="AD90" s="21">
        <f t="shared" si="11"/>
        <v>8192</v>
      </c>
      <c r="AE90" s="21">
        <f t="shared" si="11"/>
        <v>8192</v>
      </c>
      <c r="AF90" s="21">
        <f t="shared" si="11"/>
        <v>8192</v>
      </c>
      <c r="AG90" s="21">
        <f t="shared" si="11"/>
        <v>8192</v>
      </c>
      <c r="AH90" s="21">
        <f t="shared" si="11"/>
        <v>8191.9999999999991</v>
      </c>
      <c r="AI90" s="21">
        <f t="shared" si="11"/>
        <v>8192</v>
      </c>
    </row>
    <row r="92" spans="1:35" x14ac:dyDescent="0.45">
      <c r="A92" s="21" t="s">
        <v>245</v>
      </c>
      <c r="B92" s="25">
        <v>2392.9651199999998</v>
      </c>
      <c r="C92">
        <v>2402.9593599999998</v>
      </c>
      <c r="D92">
        <v>2631.0246399999996</v>
      </c>
      <c r="E92">
        <v>2548.0396799999999</v>
      </c>
      <c r="F92">
        <v>2612.0192000000002</v>
      </c>
      <c r="G92" s="26">
        <v>2690.9900799999996</v>
      </c>
      <c r="H92" s="21" t="s">
        <v>245</v>
      </c>
      <c r="I92" s="25">
        <v>1830.9939199999999</v>
      </c>
      <c r="J92">
        <v>2228.96128</v>
      </c>
      <c r="K92">
        <v>2352.0051199999998</v>
      </c>
      <c r="L92">
        <v>2100.0192000000002</v>
      </c>
      <c r="M92">
        <v>2256.9779199999998</v>
      </c>
      <c r="N92" s="28">
        <v>2709.9955200000004</v>
      </c>
      <c r="O92" s="21" t="s">
        <v>245</v>
      </c>
      <c r="P92">
        <v>2101.9852799999999</v>
      </c>
      <c r="Q92">
        <v>2191.0323199999998</v>
      </c>
      <c r="R92">
        <v>2299.00288</v>
      </c>
      <c r="S92">
        <v>2294.00576</v>
      </c>
      <c r="T92">
        <v>2624.9625599999999</v>
      </c>
      <c r="U92" s="26">
        <v>2947.9731199999997</v>
      </c>
      <c r="V92" s="21" t="s">
        <v>245</v>
      </c>
      <c r="W92" s="25">
        <v>2146.9593599999998</v>
      </c>
      <c r="X92">
        <v>2242.9695999999999</v>
      </c>
      <c r="Y92" s="26">
        <v>3297.03424</v>
      </c>
      <c r="Z92">
        <v>2603.0079999999998</v>
      </c>
      <c r="AA92">
        <v>2640.0358399999996</v>
      </c>
      <c r="AB92" s="26">
        <v>2826.9772800000001</v>
      </c>
      <c r="AC92" s="21" t="s">
        <v>245</v>
      </c>
      <c r="AD92" s="25">
        <v>2315.9603200000001</v>
      </c>
      <c r="AE92">
        <v>2526.0032000000001</v>
      </c>
      <c r="AF92" s="26">
        <v>2575.9744000000001</v>
      </c>
      <c r="AG92">
        <v>2366.9964799999998</v>
      </c>
      <c r="AH92">
        <v>2483.9782399999999</v>
      </c>
      <c r="AI92" s="26">
        <v>2495.0374400000001</v>
      </c>
    </row>
    <row r="93" spans="1:35" x14ac:dyDescent="0.45">
      <c r="B93" s="25">
        <v>1450.96704</v>
      </c>
      <c r="C93">
        <v>1777.00864</v>
      </c>
      <c r="D93">
        <v>1748.0089600000001</v>
      </c>
      <c r="E93">
        <v>1980.9894399999998</v>
      </c>
      <c r="F93">
        <v>1869.0048000000002</v>
      </c>
      <c r="G93" s="26">
        <v>1787.00288</v>
      </c>
      <c r="I93" s="25">
        <v>1899.9705600000002</v>
      </c>
      <c r="J93">
        <v>2144.0102400000001</v>
      </c>
      <c r="K93">
        <v>1989.0176000000001</v>
      </c>
      <c r="L93">
        <v>1921.0239999999999</v>
      </c>
      <c r="M93">
        <v>1830.9939199999999</v>
      </c>
      <c r="N93" s="28">
        <v>2057.0111999999999</v>
      </c>
      <c r="P93">
        <v>1699.0207999999998</v>
      </c>
      <c r="Q93">
        <v>1890.9593599999998</v>
      </c>
      <c r="R93">
        <v>1734.9836799999998</v>
      </c>
      <c r="S93">
        <v>1744.9779199999998</v>
      </c>
      <c r="T93">
        <v>1763.9833600000002</v>
      </c>
      <c r="U93" s="26">
        <v>1776.0255999999999</v>
      </c>
      <c r="W93" s="25">
        <v>1893.0073600000001</v>
      </c>
      <c r="X93">
        <v>1830.0108799999998</v>
      </c>
      <c r="Y93" s="26">
        <v>1657.9788800000001</v>
      </c>
      <c r="Z93">
        <v>1801.0111999999999</v>
      </c>
      <c r="AA93">
        <v>1814.0364799999998</v>
      </c>
      <c r="AB93" s="26">
        <v>1797.9801600000001</v>
      </c>
      <c r="AD93" s="25">
        <v>1660.0268799999999</v>
      </c>
      <c r="AE93">
        <v>1714.9951999999998</v>
      </c>
      <c r="AF93" s="26">
        <v>1767.0144</v>
      </c>
      <c r="AG93">
        <v>1945.0265599999998</v>
      </c>
      <c r="AH93">
        <v>2012.03712</v>
      </c>
      <c r="AI93" s="26">
        <v>1752.02304</v>
      </c>
    </row>
    <row r="94" spans="1:35" x14ac:dyDescent="0.45">
      <c r="B94" s="25">
        <v>2566.9632000000001</v>
      </c>
      <c r="C94">
        <v>2263.04</v>
      </c>
      <c r="D94">
        <v>2241.0035200000002</v>
      </c>
      <c r="E94">
        <v>2027.0284799999999</v>
      </c>
      <c r="F94">
        <v>2014.0032000000001</v>
      </c>
      <c r="G94" s="26">
        <v>2187.0182399999999</v>
      </c>
      <c r="I94" s="25">
        <v>2234.0403200000001</v>
      </c>
      <c r="J94">
        <v>1917.00992</v>
      </c>
      <c r="K94">
        <v>2052.99712</v>
      </c>
      <c r="L94">
        <v>2226.0121599999998</v>
      </c>
      <c r="M94">
        <v>2239.0374400000001</v>
      </c>
      <c r="N94" s="28">
        <v>1894.9734400000002</v>
      </c>
      <c r="P94">
        <v>2447.0323199999998</v>
      </c>
      <c r="Q94">
        <v>2095.0220800000002</v>
      </c>
      <c r="R94">
        <v>2309.9801600000001</v>
      </c>
      <c r="S94">
        <v>2269.02016</v>
      </c>
      <c r="T94">
        <v>2101.9852799999999</v>
      </c>
      <c r="U94" s="26">
        <v>2029.9776000000002</v>
      </c>
      <c r="W94" s="25">
        <v>2213.96992</v>
      </c>
      <c r="X94">
        <v>2284.01152</v>
      </c>
      <c r="Y94" s="26">
        <v>2020.9664000000002</v>
      </c>
      <c r="Z94">
        <v>2100.0192000000002</v>
      </c>
      <c r="AA94">
        <v>2043.00288</v>
      </c>
      <c r="AB94" s="26">
        <v>2028.01152</v>
      </c>
      <c r="AD94" s="25">
        <v>2321.0393599999998</v>
      </c>
      <c r="AE94">
        <v>2264.02304</v>
      </c>
      <c r="AF94" s="26">
        <v>2203.97568</v>
      </c>
      <c r="AG94">
        <v>2001.9609599999999</v>
      </c>
      <c r="AH94">
        <v>1922.99008</v>
      </c>
      <c r="AI94" s="26">
        <v>2261.9750399999998</v>
      </c>
    </row>
    <row r="95" spans="1:35" x14ac:dyDescent="0.45">
      <c r="B95" s="25">
        <v>1781.0227199999999</v>
      </c>
      <c r="C95">
        <v>1748.9920000000002</v>
      </c>
      <c r="D95">
        <v>1571.96288</v>
      </c>
      <c r="E95">
        <v>1636.02432</v>
      </c>
      <c r="F95">
        <v>1696.9728</v>
      </c>
      <c r="G95" s="26">
        <v>1526.9888000000001</v>
      </c>
      <c r="I95" s="25">
        <v>2226.9951999999998</v>
      </c>
      <c r="J95">
        <v>1902.01856</v>
      </c>
      <c r="K95">
        <v>1797.9801600000001</v>
      </c>
      <c r="L95">
        <v>1945.0265599999998</v>
      </c>
      <c r="M95">
        <v>1864.9907199999998</v>
      </c>
      <c r="N95" s="28">
        <v>1530.0198399999999</v>
      </c>
      <c r="P95">
        <v>1943.9616000000001</v>
      </c>
      <c r="Q95">
        <v>2014.9862400000002</v>
      </c>
      <c r="R95">
        <v>1848.0332800000001</v>
      </c>
      <c r="S95">
        <v>1883.9961600000001</v>
      </c>
      <c r="T95">
        <v>1700.9868799999999</v>
      </c>
      <c r="U95" s="26">
        <v>1438.0236799999998</v>
      </c>
      <c r="W95" s="25">
        <v>1937.98144</v>
      </c>
      <c r="X95">
        <v>1835.0079999999998</v>
      </c>
      <c r="Y95" s="26">
        <v>1216.0204799999999</v>
      </c>
      <c r="Z95">
        <v>1687.9616000000001</v>
      </c>
      <c r="AA95">
        <v>1695.0067199999999</v>
      </c>
      <c r="AB95" s="26">
        <v>1539.0310399999998</v>
      </c>
      <c r="AD95" s="25">
        <v>1894.9734400000002</v>
      </c>
      <c r="AE95">
        <v>1686.97856</v>
      </c>
      <c r="AF95" s="26">
        <v>1645.0355199999999</v>
      </c>
      <c r="AG95">
        <v>1878.0160000000001</v>
      </c>
      <c r="AH95">
        <v>1772.9945600000001</v>
      </c>
      <c r="AI95" s="26">
        <v>1682.9644800000001</v>
      </c>
    </row>
    <row r="96" spans="1:35" x14ac:dyDescent="0.45">
      <c r="B96">
        <v>8191.9180800000004</v>
      </c>
      <c r="C96">
        <v>8192</v>
      </c>
      <c r="D96">
        <v>8192</v>
      </c>
      <c r="E96">
        <v>8192.0819199999987</v>
      </c>
      <c r="F96">
        <v>8192</v>
      </c>
      <c r="G96">
        <v>8191.9999999999991</v>
      </c>
      <c r="I96">
        <v>8192</v>
      </c>
      <c r="J96">
        <v>8192</v>
      </c>
      <c r="K96">
        <v>8192</v>
      </c>
      <c r="L96">
        <v>8192.0819200000005</v>
      </c>
      <c r="M96">
        <v>8192</v>
      </c>
      <c r="N96" s="27">
        <v>8192</v>
      </c>
      <c r="P96">
        <v>8192</v>
      </c>
      <c r="Q96">
        <v>8192</v>
      </c>
      <c r="R96">
        <v>8192</v>
      </c>
      <c r="S96">
        <v>8192</v>
      </c>
      <c r="T96">
        <v>8191.9180799999995</v>
      </c>
      <c r="U96">
        <v>8192</v>
      </c>
      <c r="W96">
        <v>8191.9180799999995</v>
      </c>
      <c r="X96">
        <v>8192</v>
      </c>
      <c r="Y96">
        <v>8192</v>
      </c>
      <c r="Z96">
        <v>8192</v>
      </c>
      <c r="AA96">
        <v>8192.0819199999987</v>
      </c>
      <c r="AB96">
        <v>8192</v>
      </c>
      <c r="AD96">
        <v>8192</v>
      </c>
      <c r="AE96">
        <v>8192</v>
      </c>
      <c r="AF96">
        <v>8192</v>
      </c>
      <c r="AG96">
        <v>8192</v>
      </c>
      <c r="AH96">
        <v>8191.9999999999991</v>
      </c>
      <c r="AI96">
        <v>8192</v>
      </c>
    </row>
    <row r="100" spans="1:30" x14ac:dyDescent="0.45">
      <c r="B100" t="s">
        <v>294</v>
      </c>
      <c r="I100" t="s">
        <v>295</v>
      </c>
      <c r="P100" t="s">
        <v>305</v>
      </c>
      <c r="W100" t="s">
        <v>306</v>
      </c>
      <c r="AD100" t="s">
        <v>308</v>
      </c>
    </row>
    <row r="101" spans="1:30" x14ac:dyDescent="0.45">
      <c r="B101" t="s">
        <v>297</v>
      </c>
      <c r="I101" t="s">
        <v>297</v>
      </c>
      <c r="P101" t="s">
        <v>297</v>
      </c>
      <c r="W101" t="s">
        <v>297</v>
      </c>
      <c r="AD101" t="s">
        <v>297</v>
      </c>
    </row>
    <row r="102" spans="1:30" x14ac:dyDescent="0.45">
      <c r="B102" t="s">
        <v>298</v>
      </c>
      <c r="I102" t="s">
        <v>300</v>
      </c>
      <c r="P102" t="s">
        <v>300</v>
      </c>
      <c r="W102" t="s">
        <v>301</v>
      </c>
      <c r="AD102" t="s">
        <v>309</v>
      </c>
    </row>
    <row r="103" spans="1:30" x14ac:dyDescent="0.45">
      <c r="B103" t="s">
        <v>299</v>
      </c>
      <c r="I103" t="s">
        <v>301</v>
      </c>
      <c r="P103" t="s">
        <v>299</v>
      </c>
      <c r="W103" t="s">
        <v>307</v>
      </c>
      <c r="AD103" t="s">
        <v>302</v>
      </c>
    </row>
    <row r="104" spans="1:30" x14ac:dyDescent="0.45">
      <c r="B104" t="s">
        <v>300</v>
      </c>
      <c r="I104" t="s">
        <v>299</v>
      </c>
      <c r="P104" t="s">
        <v>298</v>
      </c>
      <c r="W104" t="s">
        <v>300</v>
      </c>
      <c r="AD104" t="s">
        <v>301</v>
      </c>
    </row>
    <row r="105" spans="1:30" x14ac:dyDescent="0.45">
      <c r="B105" t="s">
        <v>301</v>
      </c>
      <c r="I105" t="s">
        <v>298</v>
      </c>
      <c r="P105" t="s">
        <v>301</v>
      </c>
      <c r="W105" t="s">
        <v>302</v>
      </c>
      <c r="AD105" t="s">
        <v>300</v>
      </c>
    </row>
    <row r="106" spans="1:30" x14ac:dyDescent="0.45">
      <c r="B106" t="s">
        <v>302</v>
      </c>
      <c r="I106" t="s">
        <v>302</v>
      </c>
      <c r="P106" t="s">
        <v>302</v>
      </c>
      <c r="W106" t="s">
        <v>299</v>
      </c>
      <c r="AD106" t="s">
        <v>298</v>
      </c>
    </row>
    <row r="107" spans="1:30" x14ac:dyDescent="0.45">
      <c r="B107" t="s">
        <v>303</v>
      </c>
      <c r="I107" t="s">
        <v>304</v>
      </c>
      <c r="P107" t="s">
        <v>304</v>
      </c>
      <c r="W107" t="s">
        <v>303</v>
      </c>
      <c r="AD107" t="s">
        <v>303</v>
      </c>
    </row>
    <row r="108" spans="1:30" x14ac:dyDescent="0.45">
      <c r="B108" t="s">
        <v>304</v>
      </c>
      <c r="I108" t="s">
        <v>303</v>
      </c>
      <c r="P108" t="s">
        <v>303</v>
      </c>
      <c r="W108" t="s">
        <v>304</v>
      </c>
      <c r="AD108" t="s">
        <v>304</v>
      </c>
    </row>
    <row r="112" spans="1:30" x14ac:dyDescent="0.45">
      <c r="A112">
        <v>1</v>
      </c>
      <c r="B112" t="s">
        <v>297</v>
      </c>
      <c r="D112" t="s">
        <v>297</v>
      </c>
    </row>
    <row r="113" spans="1:35" x14ac:dyDescent="0.45">
      <c r="A113">
        <f>(1+5+4+3+6)/5</f>
        <v>3.8</v>
      </c>
      <c r="B113" t="s">
        <v>298</v>
      </c>
      <c r="D113" t="s">
        <v>300</v>
      </c>
    </row>
    <row r="114" spans="1:35" x14ac:dyDescent="0.45">
      <c r="A114">
        <f>(3+4+3+6+2)/5</f>
        <v>3.6</v>
      </c>
      <c r="B114" t="s">
        <v>299</v>
      </c>
      <c r="D114" t="s">
        <v>299</v>
      </c>
    </row>
    <row r="115" spans="1:35" x14ac:dyDescent="0.45">
      <c r="A115">
        <f>(4+2+2+4+5)/5</f>
        <v>3.4</v>
      </c>
      <c r="B115" t="s">
        <v>300</v>
      </c>
      <c r="D115" t="s">
        <v>301</v>
      </c>
    </row>
    <row r="116" spans="1:35" x14ac:dyDescent="0.45">
      <c r="A116">
        <f>(5+3+5+2+4)/5</f>
        <v>3.8</v>
      </c>
      <c r="B116" t="s">
        <v>301</v>
      </c>
      <c r="D116" t="s">
        <v>298</v>
      </c>
    </row>
    <row r="117" spans="1:35" x14ac:dyDescent="0.45">
      <c r="A117">
        <f>(6+6+6+5+3)/5</f>
        <v>5.2</v>
      </c>
      <c r="B117" t="s">
        <v>302</v>
      </c>
      <c r="D117" t="s">
        <v>302</v>
      </c>
    </row>
    <row r="118" spans="1:35" x14ac:dyDescent="0.45">
      <c r="A118">
        <f>(6+7+6+6+6)/5</f>
        <v>6.2</v>
      </c>
      <c r="B118" t="s">
        <v>303</v>
      </c>
      <c r="D118" t="s">
        <v>303</v>
      </c>
    </row>
    <row r="119" spans="1:35" x14ac:dyDescent="0.45">
      <c r="A119">
        <f>(7+6+6+7+7)/5</f>
        <v>6.6</v>
      </c>
      <c r="B119" t="s">
        <v>304</v>
      </c>
      <c r="D119" t="s">
        <v>304</v>
      </c>
    </row>
    <row r="125" spans="1:35" x14ac:dyDescent="0.45">
      <c r="A125" t="s">
        <v>310</v>
      </c>
    </row>
    <row r="126" spans="1:35" x14ac:dyDescent="0.45">
      <c r="B126" s="49" t="s">
        <v>294</v>
      </c>
      <c r="C126" s="49"/>
      <c r="D126" s="49"/>
      <c r="E126" s="49"/>
      <c r="F126" s="49"/>
      <c r="G126" s="49"/>
      <c r="I126" s="49" t="s">
        <v>295</v>
      </c>
      <c r="J126" s="49"/>
      <c r="K126" s="49"/>
      <c r="L126" s="49"/>
      <c r="M126" s="49"/>
      <c r="N126" s="49"/>
      <c r="P126" s="49" t="s">
        <v>305</v>
      </c>
      <c r="Q126" s="49"/>
      <c r="R126" s="49"/>
      <c r="S126" s="49"/>
      <c r="T126" s="49"/>
      <c r="U126" s="49"/>
      <c r="W126" s="49" t="s">
        <v>306</v>
      </c>
      <c r="X126" s="49"/>
      <c r="Y126" s="49"/>
      <c r="Z126" s="49"/>
      <c r="AA126" s="49"/>
      <c r="AB126" s="49"/>
      <c r="AD126" s="49" t="s">
        <v>308</v>
      </c>
      <c r="AE126" s="49"/>
      <c r="AF126" s="49"/>
      <c r="AG126" s="49"/>
      <c r="AH126" s="49"/>
      <c r="AI126" s="49"/>
    </row>
    <row r="127" spans="1:35" x14ac:dyDescent="0.45">
      <c r="A127" s="21" t="s">
        <v>60</v>
      </c>
      <c r="B127" s="25">
        <v>3865.9686400000001</v>
      </c>
      <c r="C127">
        <v>4425.9737599999999</v>
      </c>
      <c r="D127">
        <v>5200.0358399999996</v>
      </c>
      <c r="E127">
        <v>5260.9843200000005</v>
      </c>
      <c r="F127">
        <v>5419.0080000000007</v>
      </c>
      <c r="G127" s="26">
        <v>6163.98848</v>
      </c>
      <c r="H127" s="21" t="s">
        <v>60</v>
      </c>
      <c r="I127" s="25">
        <v>4192.9932799999997</v>
      </c>
      <c r="J127">
        <v>4260.0038400000003</v>
      </c>
      <c r="K127">
        <v>5163.9910399999999</v>
      </c>
      <c r="L127">
        <v>4599.9718400000002</v>
      </c>
      <c r="M127">
        <v>4888.9856</v>
      </c>
      <c r="N127" s="26">
        <v>6008.0128000000004</v>
      </c>
      <c r="O127" s="21" t="s">
        <v>60</v>
      </c>
      <c r="P127">
        <v>4033.0035200000002</v>
      </c>
      <c r="Q127">
        <v>4171.0387199999996</v>
      </c>
      <c r="R127">
        <v>4767.0067200000003</v>
      </c>
      <c r="S127">
        <v>5361.0086399999991</v>
      </c>
      <c r="T127">
        <v>5941.9852800000008</v>
      </c>
      <c r="U127" s="26">
        <v>5963.0387199999996</v>
      </c>
      <c r="V127" s="21" t="s">
        <v>60</v>
      </c>
      <c r="W127" s="25">
        <v>3946.9875199999997</v>
      </c>
      <c r="X127">
        <v>4501.0124800000003</v>
      </c>
      <c r="Y127" s="26">
        <v>5102.9606400000002</v>
      </c>
      <c r="Z127">
        <v>4275.9782400000004</v>
      </c>
      <c r="AA127">
        <v>4516.9868800000004</v>
      </c>
      <c r="AB127" s="26">
        <v>4675.0105599999997</v>
      </c>
      <c r="AC127" s="21" t="s">
        <v>60</v>
      </c>
      <c r="AD127" s="29">
        <v>4155.9654399999999</v>
      </c>
      <c r="AE127" s="23">
        <v>5678.0390399999997</v>
      </c>
      <c r="AF127" s="30">
        <v>5923.9628799999991</v>
      </c>
      <c r="AG127" s="23">
        <v>4854.00576</v>
      </c>
      <c r="AH127" s="23">
        <v>4893.98272</v>
      </c>
      <c r="AI127" s="30">
        <v>5081.9891200000002</v>
      </c>
    </row>
    <row r="128" spans="1:35" x14ac:dyDescent="0.45">
      <c r="B128" s="25">
        <v>2593.9967999999999</v>
      </c>
      <c r="C128">
        <v>1922.00704</v>
      </c>
      <c r="D128">
        <v>1696.9728</v>
      </c>
      <c r="E128">
        <v>1324.97408</v>
      </c>
      <c r="F128">
        <v>1411.9731200000001</v>
      </c>
      <c r="G128" s="26">
        <v>1064.96</v>
      </c>
      <c r="I128" s="25">
        <v>2970.0096000000003</v>
      </c>
      <c r="J128">
        <v>2632.9907199999998</v>
      </c>
      <c r="K128">
        <v>1539.0310399999998</v>
      </c>
      <c r="L128">
        <v>1729.0035200000002</v>
      </c>
      <c r="M128">
        <v>1378.9593599999998</v>
      </c>
      <c r="N128" s="26">
        <v>1071.02208</v>
      </c>
      <c r="P128">
        <v>1792.9830400000001</v>
      </c>
      <c r="Q128">
        <v>1735.9667199999999</v>
      </c>
      <c r="R128">
        <v>2043.00288</v>
      </c>
      <c r="S128">
        <v>1409.0239999999999</v>
      </c>
      <c r="T128">
        <v>1246.0032000000001</v>
      </c>
      <c r="U128" s="26">
        <v>1087.9795200000001</v>
      </c>
      <c r="W128" s="25">
        <v>1864.9907199999998</v>
      </c>
      <c r="X128">
        <v>2487.0092800000002</v>
      </c>
      <c r="Y128" s="26">
        <v>1892.02432</v>
      </c>
      <c r="Z128">
        <v>1711.96416</v>
      </c>
      <c r="AA128">
        <v>2387.9679999999998</v>
      </c>
      <c r="AB128" s="26">
        <v>1627.0131200000001</v>
      </c>
      <c r="AD128" s="29">
        <v>1785.0367999999999</v>
      </c>
      <c r="AE128" s="23">
        <v>1218.9696000000001</v>
      </c>
      <c r="AF128" s="30">
        <v>1250.01728</v>
      </c>
      <c r="AG128" s="23">
        <v>1657.9788800000001</v>
      </c>
      <c r="AH128" s="23">
        <v>1835.0079999999998</v>
      </c>
      <c r="AI128" s="30">
        <v>873.02143999999998</v>
      </c>
    </row>
    <row r="129" spans="1:35" x14ac:dyDescent="0.45">
      <c r="B129" s="25">
        <v>887.0297599999999</v>
      </c>
      <c r="C129">
        <v>1081.99936</v>
      </c>
      <c r="D129">
        <v>840.00767999999994</v>
      </c>
      <c r="E129">
        <v>1177.02656</v>
      </c>
      <c r="F129">
        <v>919.96160000000009</v>
      </c>
      <c r="G129" s="26">
        <v>720.97792000000004</v>
      </c>
      <c r="I129" s="25">
        <v>559.02207999999996</v>
      </c>
      <c r="J129">
        <v>772.01407999999992</v>
      </c>
      <c r="K129">
        <v>1009.9916800000001</v>
      </c>
      <c r="L129">
        <v>1155.9731200000001</v>
      </c>
      <c r="M129">
        <v>1187.0208</v>
      </c>
      <c r="N129" s="26">
        <v>832.96255999999994</v>
      </c>
      <c r="P129">
        <v>1312.0307199999997</v>
      </c>
      <c r="Q129">
        <v>1270.9888000000001</v>
      </c>
      <c r="R129">
        <v>840.99072000000001</v>
      </c>
      <c r="S129">
        <v>977.96096</v>
      </c>
      <c r="T129">
        <v>715.98080000000004</v>
      </c>
      <c r="U129" s="26">
        <v>822.96831999999995</v>
      </c>
      <c r="W129" s="25">
        <v>1384.0383999999999</v>
      </c>
      <c r="X129">
        <v>592.03584000000001</v>
      </c>
      <c r="Y129" s="26">
        <v>769.96607999999992</v>
      </c>
      <c r="Z129">
        <v>1357.0048000000002</v>
      </c>
      <c r="AA129">
        <v>730.97216000000003</v>
      </c>
      <c r="AB129" s="26">
        <v>1071.02208</v>
      </c>
      <c r="AD129" s="29">
        <v>1334.9683199999999</v>
      </c>
      <c r="AE129" s="23">
        <v>921.02656000000002</v>
      </c>
      <c r="AF129" s="30">
        <v>753.00864000000001</v>
      </c>
      <c r="AG129" s="23">
        <v>986.97216000000003</v>
      </c>
      <c r="AH129" s="23">
        <v>864.99327999999991</v>
      </c>
      <c r="AI129" s="30">
        <v>1829.0278400000002</v>
      </c>
    </row>
    <row r="130" spans="1:35" x14ac:dyDescent="0.45">
      <c r="B130" s="25">
        <v>845.00479999999993</v>
      </c>
      <c r="C130">
        <v>762.01983999999993</v>
      </c>
      <c r="D130">
        <v>454.98368000000005</v>
      </c>
      <c r="E130">
        <v>429.01504</v>
      </c>
      <c r="F130">
        <v>440.97536000000002</v>
      </c>
      <c r="G130" s="26">
        <v>241.99168</v>
      </c>
      <c r="I130" s="25">
        <v>469.97504000000004</v>
      </c>
      <c r="J130">
        <v>526.99135999999999</v>
      </c>
      <c r="K130">
        <v>478.98624000000001</v>
      </c>
      <c r="L130">
        <v>706.96960000000001</v>
      </c>
      <c r="M130">
        <v>737.03423999999995</v>
      </c>
      <c r="N130" s="26">
        <v>280.00256000000002</v>
      </c>
      <c r="P130">
        <v>1053.98272</v>
      </c>
      <c r="Q130">
        <v>1014.00576</v>
      </c>
      <c r="R130">
        <v>540.99968000000001</v>
      </c>
      <c r="S130">
        <v>444.00639999999999</v>
      </c>
      <c r="T130">
        <v>288.03071999999997</v>
      </c>
      <c r="U130" s="26">
        <v>318.01344</v>
      </c>
      <c r="W130" s="25">
        <v>995.98335999999995</v>
      </c>
      <c r="X130">
        <v>612.02431999999999</v>
      </c>
      <c r="Y130" s="26">
        <v>426.96704</v>
      </c>
      <c r="Z130">
        <v>846.97088000000008</v>
      </c>
      <c r="AA130">
        <v>555.99104</v>
      </c>
      <c r="AB130" s="26">
        <v>819.03616</v>
      </c>
      <c r="AD130" s="29">
        <v>916.02944000000002</v>
      </c>
      <c r="AE130" s="23">
        <v>373.96480000000003</v>
      </c>
      <c r="AF130" s="30">
        <v>265.01119999999997</v>
      </c>
      <c r="AG130" s="23">
        <v>692.96127999999999</v>
      </c>
      <c r="AH130" s="23">
        <v>598.01599999999996</v>
      </c>
      <c r="AI130" s="30">
        <v>407.96160000000003</v>
      </c>
    </row>
    <row r="131" spans="1:35" x14ac:dyDescent="0.45">
      <c r="B131">
        <v>8191.9999999999991</v>
      </c>
      <c r="C131">
        <v>8191.9999999999991</v>
      </c>
      <c r="D131">
        <v>8192</v>
      </c>
      <c r="E131">
        <v>8192</v>
      </c>
      <c r="F131">
        <v>8191.9180800000013</v>
      </c>
      <c r="G131">
        <v>8191.9180800000004</v>
      </c>
      <c r="I131">
        <v>8192</v>
      </c>
      <c r="J131">
        <v>8192</v>
      </c>
      <c r="K131">
        <v>8192</v>
      </c>
      <c r="L131">
        <v>8191.9180800000013</v>
      </c>
      <c r="M131">
        <v>8192</v>
      </c>
      <c r="N131">
        <v>8192</v>
      </c>
      <c r="P131">
        <v>8192</v>
      </c>
      <c r="Q131">
        <v>8191.9999999999991</v>
      </c>
      <c r="R131">
        <v>8192</v>
      </c>
      <c r="S131">
        <v>8192</v>
      </c>
      <c r="T131">
        <v>8192.0000000000018</v>
      </c>
      <c r="U131">
        <v>8191.9999999999991</v>
      </c>
      <c r="W131">
        <v>8192</v>
      </c>
      <c r="X131">
        <v>8192.0819200000005</v>
      </c>
      <c r="Y131">
        <v>8191.9180799999995</v>
      </c>
      <c r="Z131">
        <v>8191.9180800000004</v>
      </c>
      <c r="AA131">
        <v>8191.9180800000004</v>
      </c>
      <c r="AB131">
        <v>8192.0819200000005</v>
      </c>
      <c r="AD131" s="23">
        <v>8192</v>
      </c>
      <c r="AE131" s="23">
        <v>8192</v>
      </c>
      <c r="AF131" s="23">
        <v>8191.9999999999991</v>
      </c>
      <c r="AG131" s="23">
        <v>8191.9180800000013</v>
      </c>
      <c r="AH131" s="23">
        <v>8191.9999999999991</v>
      </c>
      <c r="AI131" s="23">
        <v>8192.0000000000018</v>
      </c>
    </row>
    <row r="132" spans="1:35" x14ac:dyDescent="0.45">
      <c r="AD132" s="23"/>
      <c r="AE132" s="23"/>
      <c r="AF132" s="23"/>
      <c r="AG132" s="23"/>
      <c r="AH132" s="23"/>
      <c r="AI132" s="23"/>
    </row>
    <row r="133" spans="1:35" x14ac:dyDescent="0.45">
      <c r="A133" s="21" t="s">
        <v>293</v>
      </c>
      <c r="B133" s="25">
        <v>2758.0006400000002</v>
      </c>
      <c r="C133">
        <v>3100.9996799999999</v>
      </c>
      <c r="D133">
        <v>3878.0108799999998</v>
      </c>
      <c r="E133">
        <v>4067.9833600000002</v>
      </c>
      <c r="F133">
        <v>4380.9996799999999</v>
      </c>
      <c r="G133" s="26">
        <v>4545.0035200000002</v>
      </c>
      <c r="H133" s="21" t="s">
        <v>293</v>
      </c>
      <c r="I133" s="25">
        <v>2752.0204800000001</v>
      </c>
      <c r="J133">
        <v>2772.9920000000002</v>
      </c>
      <c r="K133">
        <v>2902.9990399999997</v>
      </c>
      <c r="L133">
        <v>2740.9612800000004</v>
      </c>
      <c r="M133">
        <v>3834.0198399999999</v>
      </c>
      <c r="N133" s="26">
        <v>4010.9670400000005</v>
      </c>
      <c r="O133" s="21" t="s">
        <v>293</v>
      </c>
      <c r="P133">
        <v>2623.9795199999999</v>
      </c>
      <c r="Q133">
        <v>3284.9920000000002</v>
      </c>
      <c r="R133">
        <v>3675.0131199999996</v>
      </c>
      <c r="S133">
        <v>3395.9935999999998</v>
      </c>
      <c r="T133">
        <v>4292.0345600000001</v>
      </c>
      <c r="U133" s="26">
        <v>4295.9667200000004</v>
      </c>
      <c r="V133" s="21" t="s">
        <v>293</v>
      </c>
      <c r="W133" s="25">
        <v>3031.04</v>
      </c>
      <c r="X133">
        <v>3154.9849599999998</v>
      </c>
      <c r="Y133">
        <v>3179.9705599999998</v>
      </c>
      <c r="Z133">
        <v>3300.9664000000002</v>
      </c>
      <c r="AA133">
        <v>3991.9615999999996</v>
      </c>
      <c r="AB133" s="26">
        <v>4216.0128000000004</v>
      </c>
      <c r="AC133" s="21" t="s">
        <v>293</v>
      </c>
      <c r="AD133" s="29">
        <v>2775.04</v>
      </c>
      <c r="AE133" s="23">
        <v>2805.0227199999999</v>
      </c>
      <c r="AF133" s="30">
        <v>4007.0348800000002</v>
      </c>
      <c r="AG133" s="23">
        <v>3247.9641600000004</v>
      </c>
      <c r="AH133" s="23">
        <v>3430.9734399999998</v>
      </c>
      <c r="AI133" s="30">
        <v>4003.0208000000002</v>
      </c>
    </row>
    <row r="134" spans="1:35" x14ac:dyDescent="0.45">
      <c r="B134" s="25">
        <v>2033.9916800000001</v>
      </c>
      <c r="C134">
        <v>2101.9852799999999</v>
      </c>
      <c r="D134">
        <v>2183.00416</v>
      </c>
      <c r="E134">
        <v>2091.0079999999998</v>
      </c>
      <c r="F134">
        <v>2231.9923199999998</v>
      </c>
      <c r="G134" s="26">
        <v>1932.98432</v>
      </c>
      <c r="I134" s="25">
        <v>1920.0409599999998</v>
      </c>
      <c r="J134">
        <v>1836.97408</v>
      </c>
      <c r="K134">
        <v>2063.9744000000001</v>
      </c>
      <c r="L134">
        <v>1795.0310399999998</v>
      </c>
      <c r="M134">
        <v>1901.0355199999999</v>
      </c>
      <c r="N134" s="26">
        <v>2024.9804800000002</v>
      </c>
      <c r="P134">
        <v>2012.03712</v>
      </c>
      <c r="Q134">
        <v>1520.0255999999999</v>
      </c>
      <c r="R134">
        <v>1806.0083199999999</v>
      </c>
      <c r="S134">
        <v>1927.00416</v>
      </c>
      <c r="T134">
        <v>2232.9753599999999</v>
      </c>
      <c r="U134" s="26">
        <v>1936.9983999999999</v>
      </c>
      <c r="W134" s="25">
        <v>1922.00704</v>
      </c>
      <c r="X134">
        <v>2429.00992</v>
      </c>
      <c r="Y134">
        <v>1907.99872</v>
      </c>
      <c r="Z134">
        <v>1988.0345600000001</v>
      </c>
      <c r="AA134">
        <v>1763.9833600000002</v>
      </c>
      <c r="AB134" s="26">
        <v>1790.0339199999999</v>
      </c>
      <c r="AD134" s="29">
        <v>1887.0272</v>
      </c>
      <c r="AE134" s="23">
        <v>2038.00576</v>
      </c>
      <c r="AF134" s="30">
        <v>2062.99136</v>
      </c>
      <c r="AG134" s="23">
        <v>2024.9804800000002</v>
      </c>
      <c r="AH134" s="23">
        <v>2009.0060800000001</v>
      </c>
      <c r="AI134" s="30">
        <v>2047.0169599999999</v>
      </c>
    </row>
    <row r="135" spans="1:35" x14ac:dyDescent="0.45">
      <c r="B135" s="25">
        <v>1860.9766399999999</v>
      </c>
      <c r="C135">
        <v>1530.0198399999999</v>
      </c>
      <c r="D135">
        <v>1160.9702400000001</v>
      </c>
      <c r="E135">
        <v>1143.0297599999999</v>
      </c>
      <c r="F135">
        <v>877.03551999999991</v>
      </c>
      <c r="G135" s="26">
        <v>994.01728000000003</v>
      </c>
      <c r="I135" s="25">
        <v>1932.98432</v>
      </c>
      <c r="J135">
        <v>2057.99424</v>
      </c>
      <c r="K135">
        <v>1854.9964799999998</v>
      </c>
      <c r="L135">
        <v>2196.0294399999998</v>
      </c>
      <c r="M135">
        <v>1405.00992</v>
      </c>
      <c r="N135" s="26">
        <v>1281.9660799999999</v>
      </c>
      <c r="P135">
        <v>1801.99424</v>
      </c>
      <c r="Q135">
        <v>2041.0367999999999</v>
      </c>
      <c r="R135">
        <v>1603.0105600000002</v>
      </c>
      <c r="S135">
        <v>1482.9977600000002</v>
      </c>
      <c r="T135">
        <v>952.97535999999991</v>
      </c>
      <c r="U135" s="26">
        <v>1174.97856</v>
      </c>
      <c r="W135" s="25">
        <v>1701.96992</v>
      </c>
      <c r="X135">
        <v>1425.98144</v>
      </c>
      <c r="Y135">
        <v>1742.0288</v>
      </c>
      <c r="Z135">
        <v>1565.98272</v>
      </c>
      <c r="AA135">
        <v>1351.0246400000001</v>
      </c>
      <c r="AB135" s="26">
        <v>1225.0316800000001</v>
      </c>
      <c r="AD135" s="29">
        <v>1907.01568</v>
      </c>
      <c r="AE135" s="23">
        <v>1830.0108799999998</v>
      </c>
      <c r="AF135" s="30">
        <v>1231.99488</v>
      </c>
      <c r="AG135" s="23">
        <v>1536.9830400000001</v>
      </c>
      <c r="AH135" s="23">
        <v>1492.9920000000002</v>
      </c>
      <c r="AI135" s="30">
        <v>1220.0345600000001</v>
      </c>
    </row>
    <row r="136" spans="1:35" x14ac:dyDescent="0.45">
      <c r="B136" s="25">
        <v>1539.0310399999998</v>
      </c>
      <c r="C136">
        <v>1458.9951999999998</v>
      </c>
      <c r="D136">
        <v>970.0147199999999</v>
      </c>
      <c r="E136">
        <v>889.97888000000012</v>
      </c>
      <c r="F136">
        <v>701.97248000000002</v>
      </c>
      <c r="G136" s="26">
        <v>719.99487999999997</v>
      </c>
      <c r="I136" s="25">
        <v>1587.0361600000001</v>
      </c>
      <c r="J136">
        <v>1524.0396799999999</v>
      </c>
      <c r="K136">
        <v>1370.03008</v>
      </c>
      <c r="L136">
        <v>1459.9782399999999</v>
      </c>
      <c r="M136">
        <v>1052.0166400000001</v>
      </c>
      <c r="N136" s="26">
        <v>874.00448000000006</v>
      </c>
      <c r="P136">
        <v>1753.9891200000002</v>
      </c>
      <c r="Q136">
        <v>1346.0275200000001</v>
      </c>
      <c r="R136">
        <v>1107.9680000000001</v>
      </c>
      <c r="S136">
        <v>1386.0044800000001</v>
      </c>
      <c r="T136">
        <v>714.0147199999999</v>
      </c>
      <c r="U136" s="26">
        <v>783.97440000000006</v>
      </c>
      <c r="W136" s="25">
        <v>1536.9830400000001</v>
      </c>
      <c r="X136">
        <v>1182.02368</v>
      </c>
      <c r="Y136">
        <v>1362.0019200000002</v>
      </c>
      <c r="Z136">
        <v>1337.0163200000002</v>
      </c>
      <c r="AA136">
        <v>1085.0303999999999</v>
      </c>
      <c r="AB136" s="26">
        <v>961.00351999999998</v>
      </c>
      <c r="AD136" s="29">
        <v>1622.9990400000002</v>
      </c>
      <c r="AE136" s="23">
        <v>1518.9606400000002</v>
      </c>
      <c r="AF136" s="30">
        <v>889.97888000000012</v>
      </c>
      <c r="AG136" s="23">
        <v>1381.9904000000001</v>
      </c>
      <c r="AH136" s="23">
        <v>1259.0284799999999</v>
      </c>
      <c r="AI136" s="30">
        <v>922.00960000000009</v>
      </c>
    </row>
    <row r="137" spans="1:35" x14ac:dyDescent="0.45">
      <c r="B137">
        <v>8192</v>
      </c>
      <c r="C137">
        <v>8192</v>
      </c>
      <c r="D137">
        <v>8192</v>
      </c>
      <c r="E137">
        <v>8192</v>
      </c>
      <c r="F137">
        <v>8192</v>
      </c>
      <c r="G137">
        <v>8192</v>
      </c>
      <c r="I137">
        <v>8192.0819199999987</v>
      </c>
      <c r="J137">
        <v>8192</v>
      </c>
      <c r="K137">
        <v>8192</v>
      </c>
      <c r="L137">
        <v>8192</v>
      </c>
      <c r="M137">
        <v>8192.0819200000005</v>
      </c>
      <c r="N137">
        <v>8191.9180800000013</v>
      </c>
      <c r="P137">
        <v>8192</v>
      </c>
      <c r="Q137">
        <v>8192.0819200000005</v>
      </c>
      <c r="R137">
        <v>8191.9999999999991</v>
      </c>
      <c r="S137">
        <v>8192</v>
      </c>
      <c r="T137">
        <v>8192</v>
      </c>
      <c r="U137">
        <v>8191.9180800000004</v>
      </c>
      <c r="W137">
        <v>8191.9999999999991</v>
      </c>
      <c r="X137">
        <v>8192</v>
      </c>
      <c r="Y137">
        <v>8192</v>
      </c>
      <c r="Z137">
        <v>8192</v>
      </c>
      <c r="AA137">
        <v>8192</v>
      </c>
      <c r="AB137">
        <v>8192.0819200000005</v>
      </c>
      <c r="AD137" s="23">
        <v>8192.0819200000005</v>
      </c>
      <c r="AE137" s="23">
        <v>8192</v>
      </c>
      <c r="AF137" s="23">
        <v>8192</v>
      </c>
      <c r="AG137" s="23">
        <v>8191.9180800000013</v>
      </c>
      <c r="AH137" s="23">
        <v>8192</v>
      </c>
      <c r="AI137" s="23">
        <v>8192.0819200000005</v>
      </c>
    </row>
    <row r="138" spans="1:35" x14ac:dyDescent="0.45">
      <c r="AD138" s="23"/>
      <c r="AE138" s="23"/>
      <c r="AF138" s="23"/>
      <c r="AG138" s="23"/>
      <c r="AH138" s="23"/>
      <c r="AI138" s="23"/>
    </row>
    <row r="139" spans="1:35" x14ac:dyDescent="0.45">
      <c r="A139" s="21" t="s">
        <v>7</v>
      </c>
      <c r="B139" s="25">
        <v>3795.02592</v>
      </c>
      <c r="C139">
        <v>3796.0089600000001</v>
      </c>
      <c r="D139">
        <v>3854.0083199999999</v>
      </c>
      <c r="E139">
        <v>4385.9967999999999</v>
      </c>
      <c r="F139">
        <v>4444.9791999999998</v>
      </c>
      <c r="G139" s="26">
        <v>4548.0345600000001</v>
      </c>
      <c r="H139" s="21" t="s">
        <v>7</v>
      </c>
      <c r="I139" s="25">
        <v>3280.9779200000003</v>
      </c>
      <c r="J139">
        <v>3347.0054399999999</v>
      </c>
      <c r="K139">
        <v>3449.9788799999997</v>
      </c>
      <c r="L139">
        <v>3464.9702399999996</v>
      </c>
      <c r="M139">
        <v>3502.9811200000004</v>
      </c>
      <c r="N139" s="26">
        <v>3525.0176000000001</v>
      </c>
      <c r="O139" s="21" t="s">
        <v>7</v>
      </c>
      <c r="P139">
        <v>3348.9715200000001</v>
      </c>
      <c r="Q139">
        <v>3506.1759999999999</v>
      </c>
      <c r="R139">
        <v>3669.0329599999995</v>
      </c>
      <c r="S139">
        <v>3515.0233600000001</v>
      </c>
      <c r="T139">
        <v>3675.0131199999996</v>
      </c>
      <c r="U139" s="26">
        <v>3810.01728</v>
      </c>
      <c r="V139" s="21" t="s">
        <v>7</v>
      </c>
      <c r="W139" s="25">
        <v>3390.0134399999997</v>
      </c>
      <c r="X139">
        <v>3565.9776000000002</v>
      </c>
      <c r="Y139">
        <v>3602.0223999999998</v>
      </c>
      <c r="Z139">
        <v>3622.9939199999999</v>
      </c>
      <c r="AA139">
        <v>3666.0019199999997</v>
      </c>
      <c r="AB139" s="28">
        <v>3675.9961599999997</v>
      </c>
      <c r="AC139" s="21" t="s">
        <v>7</v>
      </c>
      <c r="AD139" s="29">
        <v>3828.0396799999999</v>
      </c>
      <c r="AE139" s="23">
        <v>3933.9622399999998</v>
      </c>
      <c r="AF139" s="23">
        <v>4041.0316800000001</v>
      </c>
      <c r="AG139" s="23">
        <v>4476.0268800000003</v>
      </c>
      <c r="AH139" s="23">
        <v>4506.0096000000003</v>
      </c>
      <c r="AI139" s="30">
        <v>4532.9612800000004</v>
      </c>
    </row>
    <row r="140" spans="1:35" x14ac:dyDescent="0.45">
      <c r="B140" s="25">
        <v>2159.9846400000001</v>
      </c>
      <c r="C140">
        <v>2139.0131200000001</v>
      </c>
      <c r="D140">
        <v>2119.0246400000001</v>
      </c>
      <c r="E140">
        <v>1769.9635200000002</v>
      </c>
      <c r="F140">
        <v>1766.0313599999999</v>
      </c>
      <c r="G140" s="26">
        <v>1815.0195199999998</v>
      </c>
      <c r="I140" s="25">
        <v>1821.98272</v>
      </c>
      <c r="J140">
        <v>1863.0246400000001</v>
      </c>
      <c r="K140">
        <v>1785.0367999999999</v>
      </c>
      <c r="L140">
        <v>1883.0131200000001</v>
      </c>
      <c r="M140">
        <v>1932.00128</v>
      </c>
      <c r="N140" s="26">
        <v>1816.9856</v>
      </c>
      <c r="P140">
        <v>2207.0067199999999</v>
      </c>
      <c r="Q140">
        <v>2202.0095999999999</v>
      </c>
      <c r="R140">
        <v>2145.9763200000002</v>
      </c>
      <c r="S140">
        <v>2357.0022399999998</v>
      </c>
      <c r="T140">
        <v>2333.98272</v>
      </c>
      <c r="U140" s="26">
        <v>2295.9718400000002</v>
      </c>
      <c r="W140" s="25">
        <v>2228.96128</v>
      </c>
      <c r="X140">
        <v>2169.9788800000001</v>
      </c>
      <c r="Y140">
        <v>1989.0176000000001</v>
      </c>
      <c r="Z140">
        <v>2376.9907199999998</v>
      </c>
      <c r="AA140">
        <v>2405.0073600000001</v>
      </c>
      <c r="AB140" s="28">
        <v>2466.0377600000002</v>
      </c>
      <c r="AD140" s="29">
        <v>2077.98272</v>
      </c>
      <c r="AE140" s="23">
        <v>1932.98432</v>
      </c>
      <c r="AF140" s="23">
        <v>1841.9712</v>
      </c>
      <c r="AG140" s="23">
        <v>1670.0211199999999</v>
      </c>
      <c r="AH140" s="23">
        <v>1613.9878400000002</v>
      </c>
      <c r="AI140" s="30">
        <v>1733.0176000000001</v>
      </c>
    </row>
    <row r="141" spans="1:35" x14ac:dyDescent="0.45">
      <c r="B141" s="25">
        <v>1280</v>
      </c>
      <c r="C141">
        <v>1251.0003200000001</v>
      </c>
      <c r="D141">
        <v>1247.96928</v>
      </c>
      <c r="E141">
        <v>1313.0137599999998</v>
      </c>
      <c r="F141">
        <v>1178.9926399999999</v>
      </c>
      <c r="G141" s="26">
        <v>1148.0268799999999</v>
      </c>
      <c r="I141" s="25">
        <v>1824.0307199999997</v>
      </c>
      <c r="J141">
        <v>1744.9779199999998</v>
      </c>
      <c r="K141">
        <v>1759.9692800000003</v>
      </c>
      <c r="L141">
        <v>1774.9606400000002</v>
      </c>
      <c r="M141">
        <v>1800.0281599999998</v>
      </c>
      <c r="N141" s="26">
        <v>1785.0367999999999</v>
      </c>
      <c r="P141">
        <v>1576.96</v>
      </c>
      <c r="Q141">
        <v>1564.0166399999998</v>
      </c>
      <c r="R141">
        <v>1492.0089600000001</v>
      </c>
      <c r="S141">
        <v>1420.98432</v>
      </c>
      <c r="T141">
        <v>1343.9795199999999</v>
      </c>
      <c r="U141" s="26">
        <v>1294.0083199999999</v>
      </c>
      <c r="W141" s="25">
        <v>1569.0137599999998</v>
      </c>
      <c r="X141">
        <v>1521.00864</v>
      </c>
      <c r="Y141">
        <v>1666.00704</v>
      </c>
      <c r="Z141">
        <v>1381.0073600000001</v>
      </c>
      <c r="AA141">
        <v>1246.0032000000001</v>
      </c>
      <c r="AB141" s="28">
        <v>1220.0345600000001</v>
      </c>
      <c r="AD141" s="29">
        <v>1284.0140799999999</v>
      </c>
      <c r="AE141" s="23">
        <v>1341.0304000000001</v>
      </c>
      <c r="AF141" s="23">
        <v>1314.97984</v>
      </c>
      <c r="AG141" s="23">
        <v>1308.0166400000001</v>
      </c>
      <c r="AH141" s="23">
        <v>1309.98272</v>
      </c>
      <c r="AI141" s="30">
        <v>1227.9808</v>
      </c>
    </row>
    <row r="142" spans="1:35" x14ac:dyDescent="0.45">
      <c r="B142" s="25">
        <v>956.98944000000006</v>
      </c>
      <c r="C142">
        <v>1005.9775999999999</v>
      </c>
      <c r="D142">
        <v>970.99775999999997</v>
      </c>
      <c r="E142">
        <v>723.02592000000004</v>
      </c>
      <c r="F142">
        <v>801.99679999999989</v>
      </c>
      <c r="G142" s="26">
        <v>681.00096000000008</v>
      </c>
      <c r="I142" s="25">
        <v>1265.00864</v>
      </c>
      <c r="J142">
        <v>1236.992</v>
      </c>
      <c r="K142">
        <v>1197.01504</v>
      </c>
      <c r="L142">
        <v>1068.97408</v>
      </c>
      <c r="M142">
        <v>956.98944000000006</v>
      </c>
      <c r="N142" s="26">
        <v>1064.96</v>
      </c>
      <c r="P142">
        <v>1058.97984</v>
      </c>
      <c r="Q142">
        <v>918.97856000000002</v>
      </c>
      <c r="R142">
        <v>884.98176000000012</v>
      </c>
      <c r="S142">
        <v>898.99008000000003</v>
      </c>
      <c r="T142">
        <v>839.02464000000009</v>
      </c>
      <c r="U142" s="26">
        <v>792.0025599999999</v>
      </c>
      <c r="W142" s="25">
        <v>1004.01152</v>
      </c>
      <c r="X142">
        <v>935.03487999999993</v>
      </c>
      <c r="Y142">
        <v>935.03487999999993</v>
      </c>
      <c r="Z142">
        <v>811.00800000000004</v>
      </c>
      <c r="AA142">
        <v>874.9875199999999</v>
      </c>
      <c r="AB142" s="28">
        <v>830.01343999999995</v>
      </c>
      <c r="AD142" s="29">
        <v>1001.96352</v>
      </c>
      <c r="AE142" s="23">
        <v>984.02304000000004</v>
      </c>
      <c r="AF142" s="23">
        <v>994.01728000000003</v>
      </c>
      <c r="AG142" s="23">
        <v>738.01728000000003</v>
      </c>
      <c r="AH142" s="23">
        <v>762.01983999999993</v>
      </c>
      <c r="AI142" s="30">
        <v>698.04032000000007</v>
      </c>
    </row>
    <row r="143" spans="1:35" x14ac:dyDescent="0.45">
      <c r="B143">
        <v>8192</v>
      </c>
      <c r="C143">
        <v>8192</v>
      </c>
      <c r="D143">
        <v>8192</v>
      </c>
      <c r="E143">
        <v>8192</v>
      </c>
      <c r="F143">
        <v>8191.9999999999991</v>
      </c>
      <c r="G143">
        <v>8192.0819199999987</v>
      </c>
      <c r="I143">
        <v>8192</v>
      </c>
      <c r="J143">
        <v>8192</v>
      </c>
      <c r="K143">
        <v>8192</v>
      </c>
      <c r="L143">
        <v>8191.9180800000004</v>
      </c>
      <c r="M143">
        <v>8192</v>
      </c>
      <c r="N143">
        <v>8192</v>
      </c>
      <c r="P143">
        <v>8191.9180800000004</v>
      </c>
      <c r="Q143">
        <v>8191.1808000000001</v>
      </c>
      <c r="R143">
        <v>8192</v>
      </c>
      <c r="S143">
        <v>8192</v>
      </c>
      <c r="T143">
        <v>8192</v>
      </c>
      <c r="U143">
        <v>8192</v>
      </c>
      <c r="W143">
        <v>8192</v>
      </c>
      <c r="X143">
        <v>8192</v>
      </c>
      <c r="Y143">
        <v>8192.0819199999987</v>
      </c>
      <c r="Z143">
        <v>8192</v>
      </c>
      <c r="AA143">
        <v>8192</v>
      </c>
      <c r="AB143" s="27">
        <v>8192.0819200000005</v>
      </c>
      <c r="AD143" s="23">
        <v>8192</v>
      </c>
      <c r="AE143" s="23">
        <v>8192</v>
      </c>
      <c r="AF143" s="23">
        <v>8192</v>
      </c>
      <c r="AG143" s="23">
        <v>8192.0819200000005</v>
      </c>
      <c r="AH143" s="23">
        <v>8192</v>
      </c>
      <c r="AI143" s="23">
        <v>8192</v>
      </c>
    </row>
    <row r="144" spans="1:35" x14ac:dyDescent="0.45">
      <c r="AD144" s="23"/>
      <c r="AE144" s="23"/>
      <c r="AF144" s="23"/>
      <c r="AG144" s="23"/>
      <c r="AH144" s="23"/>
      <c r="AI144" s="23"/>
    </row>
    <row r="145" spans="1:35" x14ac:dyDescent="0.45">
      <c r="A145" s="21" t="s">
        <v>59</v>
      </c>
      <c r="B145" s="25">
        <v>3102.96576</v>
      </c>
      <c r="C145">
        <v>3206.0211200000003</v>
      </c>
      <c r="D145">
        <v>4120.9856</v>
      </c>
      <c r="E145">
        <v>3636.0191999999997</v>
      </c>
      <c r="F145">
        <v>4037.0176000000001</v>
      </c>
      <c r="G145" s="26">
        <v>4196.0243199999995</v>
      </c>
      <c r="H145" s="21" t="s">
        <v>59</v>
      </c>
      <c r="I145" s="25">
        <v>2612.0192000000002</v>
      </c>
      <c r="J145">
        <v>2904.9651199999998</v>
      </c>
      <c r="K145">
        <v>2941.9929599999996</v>
      </c>
      <c r="L145">
        <v>2638.9708799999999</v>
      </c>
      <c r="M145">
        <v>3626.0249599999997</v>
      </c>
      <c r="N145" s="26">
        <v>3630.0390399999997</v>
      </c>
      <c r="O145" s="21" t="s">
        <v>59</v>
      </c>
      <c r="P145">
        <v>2825.0111999999999</v>
      </c>
      <c r="Q145">
        <v>3537.9609600000003</v>
      </c>
      <c r="R145">
        <v>3722.0352000000003</v>
      </c>
      <c r="S145">
        <v>3463.0041600000004</v>
      </c>
      <c r="T145">
        <v>3653.9596799999999</v>
      </c>
      <c r="U145" s="26">
        <v>3767.0092800000002</v>
      </c>
      <c r="V145" s="21" t="s">
        <v>59</v>
      </c>
      <c r="W145" s="25">
        <v>3078.9632000000001</v>
      </c>
      <c r="X145">
        <v>3260.9894400000003</v>
      </c>
      <c r="Y145">
        <v>3521.0035200000002</v>
      </c>
      <c r="Z145">
        <v>3569.9916800000001</v>
      </c>
      <c r="AA145">
        <v>4039.9667200000004</v>
      </c>
      <c r="AB145" s="26">
        <v>4534.0262400000001</v>
      </c>
      <c r="AC145" s="21" t="s">
        <v>59</v>
      </c>
      <c r="AD145" s="29">
        <v>3009.0035200000002</v>
      </c>
      <c r="AE145" s="23">
        <v>3047.9974400000001</v>
      </c>
      <c r="AF145" s="23">
        <v>3323.9859200000001</v>
      </c>
      <c r="AG145" s="23">
        <v>3304.9804800000002</v>
      </c>
      <c r="AH145" s="23">
        <v>3550.9862400000002</v>
      </c>
      <c r="AI145" s="30">
        <v>4182.0159999999996</v>
      </c>
    </row>
    <row r="146" spans="1:35" x14ac:dyDescent="0.45">
      <c r="B146" s="25">
        <v>1913.9788800000001</v>
      </c>
      <c r="C146">
        <v>2028.9945600000001</v>
      </c>
      <c r="D146">
        <v>1645.0355199999999</v>
      </c>
      <c r="E146">
        <v>1936.0153599999999</v>
      </c>
      <c r="F146">
        <v>1830.0108799999998</v>
      </c>
      <c r="G146" s="26">
        <v>1599.9795199999999</v>
      </c>
      <c r="I146" s="25">
        <v>1769.9635200000002</v>
      </c>
      <c r="J146">
        <v>1646.01856</v>
      </c>
      <c r="K146">
        <v>1695.0067199999999</v>
      </c>
      <c r="L146">
        <v>1701.96992</v>
      </c>
      <c r="M146">
        <v>1445.96992</v>
      </c>
      <c r="N146" s="26">
        <v>1608.9907199999998</v>
      </c>
      <c r="P146">
        <v>1880.9651199999998</v>
      </c>
      <c r="Q146">
        <v>1600.9625599999999</v>
      </c>
      <c r="R146">
        <v>1742.0288</v>
      </c>
      <c r="S146">
        <v>1642.9875200000001</v>
      </c>
      <c r="T146">
        <v>1710.9811199999999</v>
      </c>
      <c r="U146" s="26">
        <v>2001.9609599999999</v>
      </c>
      <c r="W146" s="25">
        <v>1855.9795199999999</v>
      </c>
      <c r="X146">
        <v>1763.0003200000001</v>
      </c>
      <c r="Y146">
        <v>1576.96</v>
      </c>
      <c r="Z146">
        <v>1869.9878400000002</v>
      </c>
      <c r="AA146">
        <v>1531.9859200000001</v>
      </c>
      <c r="AB146" s="26">
        <v>1730.9695999999999</v>
      </c>
      <c r="AD146" s="29">
        <v>1916.0268799999999</v>
      </c>
      <c r="AE146" s="23">
        <v>1835.9910399999999</v>
      </c>
      <c r="AF146" s="23">
        <v>2170.9619200000002</v>
      </c>
      <c r="AG146" s="23">
        <v>1928.9702400000001</v>
      </c>
      <c r="AH146" s="23">
        <v>2046.0339199999999</v>
      </c>
      <c r="AI146" s="30">
        <v>1510.0313599999999</v>
      </c>
    </row>
    <row r="147" spans="1:35" x14ac:dyDescent="0.45">
      <c r="B147" s="25">
        <v>1854.0134400000002</v>
      </c>
      <c r="C147">
        <v>1698.0377600000002</v>
      </c>
      <c r="D147">
        <v>1593.9993599999998</v>
      </c>
      <c r="E147">
        <v>1483.5711999999999</v>
      </c>
      <c r="F147">
        <v>1516.9945600000001</v>
      </c>
      <c r="G147" s="26">
        <v>1566.96576</v>
      </c>
      <c r="I147" s="25">
        <v>2236.9894399999998</v>
      </c>
      <c r="J147">
        <v>2415.9846400000001</v>
      </c>
      <c r="K147">
        <v>2104.0332800000001</v>
      </c>
      <c r="L147">
        <v>2289.9916800000001</v>
      </c>
      <c r="M147">
        <v>2188.98432</v>
      </c>
      <c r="N147" s="26">
        <v>1941.0124799999999</v>
      </c>
      <c r="P147">
        <v>1946.9926399999999</v>
      </c>
      <c r="Q147">
        <v>2000.9779199999998</v>
      </c>
      <c r="R147">
        <v>1680.0153599999999</v>
      </c>
      <c r="S147">
        <v>1936.0153599999999</v>
      </c>
      <c r="T147">
        <v>1840.0051199999998</v>
      </c>
      <c r="U147" s="26">
        <v>1391.0016000000001</v>
      </c>
      <c r="W147" s="25">
        <v>1860.9766399999999</v>
      </c>
      <c r="X147">
        <v>1773.9776000000002</v>
      </c>
      <c r="Y147">
        <v>1981.9724799999999</v>
      </c>
      <c r="Z147">
        <v>1595.9654399999999</v>
      </c>
      <c r="AA147">
        <v>1657.9788800000001</v>
      </c>
      <c r="AB147" s="26">
        <v>1199.96416</v>
      </c>
      <c r="AD147" s="29">
        <v>1835.9910399999999</v>
      </c>
      <c r="AE147" s="23">
        <v>1883.9961600000001</v>
      </c>
      <c r="AF147" s="23">
        <v>1517.9776000000002</v>
      </c>
      <c r="AG147" s="23">
        <v>1772.01152</v>
      </c>
      <c r="AH147" s="23">
        <v>1472.0204800000001</v>
      </c>
      <c r="AI147" s="30">
        <v>1603.0105600000002</v>
      </c>
    </row>
    <row r="148" spans="1:35" x14ac:dyDescent="0.45">
      <c r="B148" s="25">
        <v>1320.96</v>
      </c>
      <c r="C148">
        <v>1259.0284799999999</v>
      </c>
      <c r="D148">
        <v>831.97952000000009</v>
      </c>
      <c r="E148">
        <v>1135.9846400000001</v>
      </c>
      <c r="F148">
        <v>807.97695999999996</v>
      </c>
      <c r="G148" s="26">
        <v>829.03039999999999</v>
      </c>
      <c r="I148" s="25">
        <v>1573.0278400000002</v>
      </c>
      <c r="J148">
        <v>1225.0316800000001</v>
      </c>
      <c r="K148">
        <v>1450.96704</v>
      </c>
      <c r="L148">
        <v>1560.9856</v>
      </c>
      <c r="M148">
        <v>931.02080000000001</v>
      </c>
      <c r="N148" s="26">
        <v>1012.03968</v>
      </c>
      <c r="P148">
        <v>1539.0310399999998</v>
      </c>
      <c r="Q148">
        <v>1052.0166400000001</v>
      </c>
      <c r="R148">
        <v>1048.0025599999999</v>
      </c>
      <c r="S148">
        <v>1149.99296</v>
      </c>
      <c r="T148">
        <v>986.97216000000003</v>
      </c>
      <c r="U148" s="26">
        <v>1032.0281600000001</v>
      </c>
      <c r="W148" s="25">
        <v>1395.99872</v>
      </c>
      <c r="X148">
        <v>1394.0326399999999</v>
      </c>
      <c r="Y148">
        <v>1111.98208</v>
      </c>
      <c r="Z148">
        <v>1155.9731200000001</v>
      </c>
      <c r="AA148">
        <v>961.98656000000005</v>
      </c>
      <c r="AB148" s="26">
        <v>727.04</v>
      </c>
      <c r="AD148" s="29">
        <v>1430.97856</v>
      </c>
      <c r="AE148" s="23">
        <v>1424.0153599999999</v>
      </c>
      <c r="AF148" s="23">
        <v>1178.9926399999999</v>
      </c>
      <c r="AG148" s="23">
        <v>1186.0377599999999</v>
      </c>
      <c r="AH148" s="23">
        <v>1122.9593600000001</v>
      </c>
      <c r="AI148" s="30">
        <v>897.02399999999989</v>
      </c>
    </row>
    <row r="149" spans="1:35" x14ac:dyDescent="0.45">
      <c r="B149">
        <v>8191.9180800000004</v>
      </c>
      <c r="C149">
        <v>8192.0819200000005</v>
      </c>
      <c r="D149">
        <v>8191.9999999999991</v>
      </c>
      <c r="E149">
        <v>8191.590400000001</v>
      </c>
      <c r="F149">
        <v>8192</v>
      </c>
      <c r="G149">
        <v>8191.9999999999991</v>
      </c>
      <c r="I149">
        <v>8192</v>
      </c>
      <c r="J149">
        <v>8192</v>
      </c>
      <c r="K149">
        <v>8191.9999999999982</v>
      </c>
      <c r="L149">
        <v>8191.9180800000004</v>
      </c>
      <c r="M149">
        <v>8192</v>
      </c>
      <c r="N149">
        <v>8192.0819199999987</v>
      </c>
      <c r="P149">
        <v>8192</v>
      </c>
      <c r="Q149">
        <v>8191.9180799999995</v>
      </c>
      <c r="R149">
        <v>8192.0819200000005</v>
      </c>
      <c r="S149">
        <v>8192</v>
      </c>
      <c r="T149">
        <v>8191.9180800000004</v>
      </c>
      <c r="U149">
        <v>8192</v>
      </c>
      <c r="W149">
        <v>8191.9180799999995</v>
      </c>
      <c r="X149">
        <v>8192</v>
      </c>
      <c r="Y149">
        <v>8191.9180799999995</v>
      </c>
      <c r="Z149">
        <v>8191.9180800000013</v>
      </c>
      <c r="AA149">
        <v>8191.9180800000004</v>
      </c>
      <c r="AB149">
        <v>8191.9999999999991</v>
      </c>
      <c r="AD149" s="23">
        <v>8192</v>
      </c>
      <c r="AE149" s="23">
        <v>8192</v>
      </c>
      <c r="AF149" s="23">
        <v>8191.9180800000013</v>
      </c>
      <c r="AG149" s="23">
        <v>8192</v>
      </c>
      <c r="AH149" s="23">
        <v>8192</v>
      </c>
      <c r="AI149" s="23">
        <v>8192.0819199999987</v>
      </c>
    </row>
    <row r="150" spans="1:35" x14ac:dyDescent="0.45">
      <c r="AD150" s="23"/>
      <c r="AE150" s="23"/>
      <c r="AF150" s="23"/>
      <c r="AG150" s="23"/>
      <c r="AH150" s="23"/>
      <c r="AI150" s="23"/>
    </row>
    <row r="151" spans="1:35" x14ac:dyDescent="0.45">
      <c r="A151" s="21" t="s">
        <v>73</v>
      </c>
      <c r="B151" s="25">
        <v>2468.0038399999999</v>
      </c>
      <c r="C151">
        <v>2990.9811200000004</v>
      </c>
      <c r="D151">
        <v>3032.02304</v>
      </c>
      <c r="E151">
        <v>2984.0179200000002</v>
      </c>
      <c r="F151">
        <v>3126.9683199999999</v>
      </c>
      <c r="G151" s="26">
        <v>4712.0384000000004</v>
      </c>
      <c r="H151" s="21" t="s">
        <v>73</v>
      </c>
      <c r="I151" s="25">
        <v>2017.03424</v>
      </c>
      <c r="J151">
        <v>2426.9619200000002</v>
      </c>
      <c r="K151">
        <v>2688.0409600000003</v>
      </c>
      <c r="L151">
        <v>2648.9651199999998</v>
      </c>
      <c r="M151">
        <v>2730.9670400000005</v>
      </c>
      <c r="N151" s="26">
        <v>3245.0150400000002</v>
      </c>
      <c r="O151" s="21" t="s">
        <v>73</v>
      </c>
      <c r="P151">
        <v>3105.0137599999998</v>
      </c>
      <c r="Q151">
        <v>3115.9910399999999</v>
      </c>
      <c r="R151">
        <v>3141.9596799999999</v>
      </c>
      <c r="S151">
        <v>3361.9967999999999</v>
      </c>
      <c r="T151">
        <v>3482.0096000000003</v>
      </c>
      <c r="U151" s="26">
        <v>3783.9667200000004</v>
      </c>
      <c r="V151" s="21" t="s">
        <v>73</v>
      </c>
      <c r="W151" s="25">
        <v>2331.0335999999998</v>
      </c>
      <c r="X151">
        <v>2382.9708799999999</v>
      </c>
      <c r="Y151">
        <v>2551.9718400000002</v>
      </c>
      <c r="Z151">
        <v>2435.9731200000001</v>
      </c>
      <c r="AA151">
        <v>3840</v>
      </c>
      <c r="AB151" s="26">
        <v>4376.0025599999999</v>
      </c>
      <c r="AC151" s="21" t="s">
        <v>73</v>
      </c>
      <c r="AD151" s="29">
        <v>2133.03296</v>
      </c>
      <c r="AE151" s="23">
        <v>2270.9862400000002</v>
      </c>
      <c r="AF151" s="23">
        <v>2397.9622399999998</v>
      </c>
      <c r="AG151" s="23">
        <v>2264.02304</v>
      </c>
      <c r="AH151" s="23">
        <v>2819.0310399999998</v>
      </c>
      <c r="AI151" s="30">
        <v>3163.0131199999996</v>
      </c>
    </row>
    <row r="152" spans="1:35" x14ac:dyDescent="0.45">
      <c r="B152" s="25">
        <v>1476.0345600000001</v>
      </c>
      <c r="C152">
        <v>2087.97696</v>
      </c>
      <c r="D152">
        <v>1516.01152</v>
      </c>
      <c r="E152">
        <v>2474.96704</v>
      </c>
      <c r="F152">
        <v>1782.9888000000001</v>
      </c>
      <c r="G152" s="26">
        <v>1810.0223999999998</v>
      </c>
      <c r="I152" s="25">
        <v>1912.99584</v>
      </c>
      <c r="J152">
        <v>1786.0198399999999</v>
      </c>
      <c r="K152">
        <v>2009.9891200000002</v>
      </c>
      <c r="L152">
        <v>2289.00864</v>
      </c>
      <c r="M152">
        <v>1232.97792</v>
      </c>
      <c r="N152" s="26">
        <v>1568.0307199999997</v>
      </c>
      <c r="P152">
        <v>1269.0227199999999</v>
      </c>
      <c r="Q152">
        <v>1368.9651199999998</v>
      </c>
      <c r="R152">
        <v>2583.0195199999998</v>
      </c>
      <c r="S152">
        <v>2020.9664000000002</v>
      </c>
      <c r="T152">
        <v>2304.9830400000001</v>
      </c>
      <c r="U152" s="26">
        <v>2240.0204800000001</v>
      </c>
      <c r="W152" s="25">
        <v>2237.9724799999999</v>
      </c>
      <c r="X152">
        <v>1763.0003200000001</v>
      </c>
      <c r="Y152">
        <v>1289.0111999999999</v>
      </c>
      <c r="Z152">
        <v>2043.9859200000001</v>
      </c>
      <c r="AA152">
        <v>1979.0233600000001</v>
      </c>
      <c r="AB152" s="26">
        <v>2123.03872</v>
      </c>
      <c r="AD152" s="29">
        <v>2047.0169599999999</v>
      </c>
      <c r="AE152" s="23">
        <v>1787.00288</v>
      </c>
      <c r="AF152" s="23">
        <v>2531.0003200000001</v>
      </c>
      <c r="AG152" s="23">
        <v>1858.0275200000001</v>
      </c>
      <c r="AH152" s="23">
        <v>2548.0396799999999</v>
      </c>
      <c r="AI152" s="30">
        <v>1954.0377600000002</v>
      </c>
    </row>
    <row r="153" spans="1:35" x14ac:dyDescent="0.45">
      <c r="B153" s="25">
        <v>2703.0323200000003</v>
      </c>
      <c r="C153">
        <v>1716.96128</v>
      </c>
      <c r="D153">
        <v>2290.9747200000002</v>
      </c>
      <c r="E153">
        <v>1468.0064000000002</v>
      </c>
      <c r="F153">
        <v>1889.9763200000002</v>
      </c>
      <c r="G153" s="26">
        <v>1090.0275199999999</v>
      </c>
      <c r="I153" s="25">
        <v>2245.0176000000001</v>
      </c>
      <c r="J153">
        <v>2251.9807999999998</v>
      </c>
      <c r="K153">
        <v>1985.9865599999998</v>
      </c>
      <c r="L153">
        <v>1793.9660800000001</v>
      </c>
      <c r="M153">
        <v>2777.0060800000001</v>
      </c>
      <c r="N153" s="26">
        <v>2202.9926399999999</v>
      </c>
      <c r="P153">
        <v>2734.9811200000004</v>
      </c>
      <c r="Q153">
        <v>2573.0252799999998</v>
      </c>
      <c r="R153">
        <v>1381.0073600000001</v>
      </c>
      <c r="S153">
        <v>1553.0393599999998</v>
      </c>
      <c r="T153">
        <v>1362.0019200000002</v>
      </c>
      <c r="U153" s="26">
        <v>1245.02016</v>
      </c>
      <c r="W153" s="25">
        <v>1773.9776000000002</v>
      </c>
      <c r="X153">
        <v>2300.9689600000002</v>
      </c>
      <c r="Y153">
        <v>2836.9715200000001</v>
      </c>
      <c r="Z153">
        <v>2090.0249600000002</v>
      </c>
      <c r="AA153">
        <v>1553.0393599999998</v>
      </c>
      <c r="AB153" s="26">
        <v>995.0003200000001</v>
      </c>
      <c r="AD153" s="29">
        <v>2048.9830400000001</v>
      </c>
      <c r="AE153" s="23">
        <v>2358.9683199999999</v>
      </c>
      <c r="AF153" s="23">
        <v>1565.98272</v>
      </c>
      <c r="AG153" s="23">
        <v>2322.0223999999998</v>
      </c>
      <c r="AH153" s="23">
        <v>1518.9606400000002</v>
      </c>
      <c r="AI153" s="30">
        <v>1841.9712</v>
      </c>
    </row>
    <row r="154" spans="1:35" x14ac:dyDescent="0.45">
      <c r="B154" s="25">
        <v>1545.0111999999999</v>
      </c>
      <c r="C154">
        <v>1395.99872</v>
      </c>
      <c r="D154">
        <v>1352.9907199999998</v>
      </c>
      <c r="E154">
        <v>1265.00864</v>
      </c>
      <c r="F154">
        <v>1391.9846400000001</v>
      </c>
      <c r="G154" s="26">
        <v>579.99360000000001</v>
      </c>
      <c r="I154" s="25">
        <v>2017.03424</v>
      </c>
      <c r="J154">
        <v>1727.0374400000001</v>
      </c>
      <c r="K154">
        <v>1507.9833600000002</v>
      </c>
      <c r="L154">
        <v>1459.9782399999999</v>
      </c>
      <c r="M154">
        <v>1450.96704</v>
      </c>
      <c r="N154" s="26">
        <v>1175.9616000000001</v>
      </c>
      <c r="P154">
        <v>1082.9824000000001</v>
      </c>
      <c r="Q154">
        <v>1134.01856</v>
      </c>
      <c r="R154">
        <v>1086.0134399999999</v>
      </c>
      <c r="S154">
        <v>1255.9974400000001</v>
      </c>
      <c r="T154">
        <v>1043.0054399999999</v>
      </c>
      <c r="U154" s="26">
        <v>922.99263999999994</v>
      </c>
      <c r="W154" s="25">
        <v>1849.0163200000002</v>
      </c>
      <c r="X154">
        <v>1744.9779199999998</v>
      </c>
      <c r="Y154">
        <v>1513.9635200000002</v>
      </c>
      <c r="Z154">
        <v>1622.0160000000001</v>
      </c>
      <c r="AA154">
        <v>820.01919999999996</v>
      </c>
      <c r="AB154" s="26">
        <v>698.04032000000007</v>
      </c>
      <c r="AD154" s="29">
        <v>1962.96704</v>
      </c>
      <c r="AE154" s="23">
        <v>1774.9606400000002</v>
      </c>
      <c r="AF154" s="23">
        <v>1696.9728</v>
      </c>
      <c r="AG154" s="23">
        <v>1748.0089600000001</v>
      </c>
      <c r="AH154" s="23">
        <v>1305.9686400000001</v>
      </c>
      <c r="AI154" s="30">
        <v>1232.97792</v>
      </c>
    </row>
    <row r="155" spans="1:35" x14ac:dyDescent="0.45">
      <c r="B155">
        <v>8192.0819200000005</v>
      </c>
      <c r="C155">
        <v>8191.9180799999995</v>
      </c>
      <c r="D155">
        <v>8192</v>
      </c>
      <c r="E155">
        <v>8192</v>
      </c>
      <c r="F155">
        <v>8191.9180800000013</v>
      </c>
      <c r="G155">
        <v>8192.0819200000005</v>
      </c>
      <c r="I155">
        <v>8192.0819200000005</v>
      </c>
      <c r="J155">
        <v>8192</v>
      </c>
      <c r="K155">
        <v>8192</v>
      </c>
      <c r="L155">
        <v>8191.9180799999995</v>
      </c>
      <c r="M155">
        <v>8191.9180800000013</v>
      </c>
      <c r="N155">
        <v>8192</v>
      </c>
      <c r="P155">
        <v>8192</v>
      </c>
      <c r="Q155">
        <v>8192</v>
      </c>
      <c r="R155">
        <v>8191.9999999999991</v>
      </c>
      <c r="S155">
        <v>8192</v>
      </c>
      <c r="T155">
        <v>8192</v>
      </c>
      <c r="U155">
        <v>8192</v>
      </c>
      <c r="W155">
        <v>8192</v>
      </c>
      <c r="X155">
        <v>8191.9180799999995</v>
      </c>
      <c r="Y155">
        <v>8191.9180800000004</v>
      </c>
      <c r="Z155">
        <v>8192</v>
      </c>
      <c r="AA155">
        <v>8192.0819200000005</v>
      </c>
      <c r="AB155">
        <v>8192.0819200000005</v>
      </c>
      <c r="AD155" s="23">
        <v>8192</v>
      </c>
      <c r="AE155" s="23">
        <v>8191.9180800000004</v>
      </c>
      <c r="AF155" s="23">
        <v>8191.9180799999995</v>
      </c>
      <c r="AG155" s="23">
        <v>8192.0819200000005</v>
      </c>
      <c r="AH155" s="23">
        <v>8192</v>
      </c>
      <c r="AI155" s="23">
        <v>8192</v>
      </c>
    </row>
    <row r="156" spans="1:35" x14ac:dyDescent="0.45">
      <c r="AD156" s="23"/>
      <c r="AE156" s="23"/>
      <c r="AF156" s="23"/>
      <c r="AG156" s="23"/>
      <c r="AH156" s="23"/>
      <c r="AI156" s="23"/>
    </row>
    <row r="157" spans="1:35" x14ac:dyDescent="0.45">
      <c r="A157" s="21" t="s">
        <v>213</v>
      </c>
      <c r="B157" s="25">
        <v>2512.9779199999998</v>
      </c>
      <c r="C157">
        <v>2980.9868800000004</v>
      </c>
      <c r="D157">
        <v>3148.0217599999996</v>
      </c>
      <c r="E157">
        <v>2883.0105599999997</v>
      </c>
      <c r="F157">
        <v>3144.0076799999997</v>
      </c>
      <c r="G157" s="26">
        <v>4111.9744000000001</v>
      </c>
      <c r="H157" s="21" t="s">
        <v>213</v>
      </c>
      <c r="I157" s="25">
        <v>2304.9830400000001</v>
      </c>
      <c r="J157">
        <v>2638.9708799999999</v>
      </c>
      <c r="K157">
        <v>2797.9776000000002</v>
      </c>
      <c r="L157">
        <v>2332.9996799999999</v>
      </c>
      <c r="M157">
        <v>2738.9952000000003</v>
      </c>
      <c r="N157" s="26">
        <v>3076.0140799999999</v>
      </c>
      <c r="O157" s="21" t="s">
        <v>213</v>
      </c>
      <c r="P157">
        <v>3149.9878399999998</v>
      </c>
      <c r="Q157">
        <v>3198.9759999999997</v>
      </c>
      <c r="R157">
        <v>3274.9977600000002</v>
      </c>
      <c r="S157">
        <v>3318.00576</v>
      </c>
      <c r="T157">
        <v>3392.9625599999999</v>
      </c>
      <c r="U157" s="26">
        <v>3440.9676799999997</v>
      </c>
      <c r="V157" s="21" t="s">
        <v>213</v>
      </c>
      <c r="W157" s="25">
        <v>2888.9907199999998</v>
      </c>
      <c r="X157">
        <v>2901.0329599999995</v>
      </c>
      <c r="Y157">
        <v>3564.01152</v>
      </c>
      <c r="Z157">
        <v>2951.0041600000004</v>
      </c>
      <c r="AA157">
        <v>3877.0278399999997</v>
      </c>
      <c r="AB157" s="26">
        <v>4015.9641600000004</v>
      </c>
      <c r="AC157" s="21" t="s">
        <v>213</v>
      </c>
      <c r="AD157" s="29">
        <v>2829.0252799999998</v>
      </c>
      <c r="AE157" s="23">
        <v>3376.9881599999999</v>
      </c>
      <c r="AF157" s="23">
        <v>3435.9705599999998</v>
      </c>
      <c r="AG157" s="23">
        <v>2585.9686400000001</v>
      </c>
      <c r="AH157" s="23">
        <v>3154.9849599999998</v>
      </c>
      <c r="AI157" s="30">
        <v>4366.0083199999999</v>
      </c>
    </row>
    <row r="158" spans="1:35" x14ac:dyDescent="0.45">
      <c r="B158" s="25">
        <v>2319.9744000000001</v>
      </c>
      <c r="C158">
        <v>1994.9977600000002</v>
      </c>
      <c r="D158">
        <v>1927.9872</v>
      </c>
      <c r="E158">
        <v>2579.98848</v>
      </c>
      <c r="F158">
        <v>2313.99424</v>
      </c>
      <c r="G158" s="26">
        <v>1912.0128</v>
      </c>
      <c r="I158" s="25">
        <v>1925.0380799999998</v>
      </c>
      <c r="J158">
        <v>2278.0313599999999</v>
      </c>
      <c r="K158">
        <v>2057.0111999999999</v>
      </c>
      <c r="L158">
        <v>1859.9935999999998</v>
      </c>
      <c r="M158">
        <v>1998.0288</v>
      </c>
      <c r="N158" s="26">
        <v>2028.9945600000001</v>
      </c>
      <c r="P158">
        <v>2004.9920000000002</v>
      </c>
      <c r="Q158">
        <v>2212.0038399999999</v>
      </c>
      <c r="R158">
        <v>1931.0182399999999</v>
      </c>
      <c r="S158">
        <v>2034.9747200000002</v>
      </c>
      <c r="T158">
        <v>2163.01568</v>
      </c>
      <c r="U158" s="26">
        <v>1729.0035200000002</v>
      </c>
      <c r="W158" s="25">
        <v>1796.0140799999999</v>
      </c>
      <c r="X158">
        <v>1980.0064000000002</v>
      </c>
      <c r="Y158">
        <v>1511.0144</v>
      </c>
      <c r="Z158">
        <v>1807.9744000000001</v>
      </c>
      <c r="AA158">
        <v>1764.9664000000002</v>
      </c>
      <c r="AB158" s="26">
        <v>1988.0345600000001</v>
      </c>
      <c r="AD158" s="29">
        <v>2455.9616000000001</v>
      </c>
      <c r="AE158" s="23">
        <v>2117.9596799999999</v>
      </c>
      <c r="AF158" s="23">
        <v>1990.9836799999998</v>
      </c>
      <c r="AG158" s="23">
        <v>2580.9715200000001</v>
      </c>
      <c r="AH158" s="23">
        <v>2150.9734400000002</v>
      </c>
      <c r="AI158" s="30">
        <v>1450.96704</v>
      </c>
    </row>
    <row r="159" spans="1:35" x14ac:dyDescent="0.45">
      <c r="B159" s="25">
        <v>1642.9875200000001</v>
      </c>
      <c r="C159">
        <v>1787.9859200000001</v>
      </c>
      <c r="D159">
        <v>1798.9632000000001</v>
      </c>
      <c r="E159">
        <v>1380.02432</v>
      </c>
      <c r="F159">
        <v>1531.9859200000001</v>
      </c>
      <c r="G159" s="26">
        <v>1331.0361600000001</v>
      </c>
      <c r="I159" s="25">
        <v>2106.9823999999999</v>
      </c>
      <c r="J159">
        <v>1722.0403200000001</v>
      </c>
      <c r="K159">
        <v>1889.9763200000002</v>
      </c>
      <c r="L159">
        <v>1962.96704</v>
      </c>
      <c r="M159">
        <v>1874.0019200000002</v>
      </c>
      <c r="N159" s="26">
        <v>1735.9667199999999</v>
      </c>
      <c r="P159">
        <v>1759.9692800000003</v>
      </c>
      <c r="Q159">
        <v>1532.9689600000002</v>
      </c>
      <c r="R159">
        <v>1705.9839999999999</v>
      </c>
      <c r="S159">
        <v>1648.9676800000002</v>
      </c>
      <c r="T159">
        <v>1482.0147200000001</v>
      </c>
      <c r="U159" s="26">
        <v>1798.9632000000001</v>
      </c>
      <c r="W159" s="25">
        <v>2007.04</v>
      </c>
      <c r="X159">
        <v>1840.0051199999998</v>
      </c>
      <c r="Y159">
        <v>2020.9664000000002</v>
      </c>
      <c r="Z159">
        <v>1956.9868799999999</v>
      </c>
      <c r="AA159">
        <v>1568.0307199999997</v>
      </c>
      <c r="AB159" s="26">
        <v>1294.0083199999999</v>
      </c>
      <c r="AD159" s="29">
        <v>1453.9980799999998</v>
      </c>
      <c r="AE159" s="23">
        <v>1478.9836799999998</v>
      </c>
      <c r="AF159" s="23">
        <v>1541.9801600000001</v>
      </c>
      <c r="AG159" s="23">
        <v>1430.97856</v>
      </c>
      <c r="AH159" s="23">
        <v>1569.9967999999999</v>
      </c>
      <c r="AI159" s="30">
        <v>1546.9772800000001</v>
      </c>
    </row>
    <row r="160" spans="1:35" x14ac:dyDescent="0.45">
      <c r="B160" s="25">
        <v>1715.9782399999999</v>
      </c>
      <c r="C160">
        <v>1428.0294399999998</v>
      </c>
      <c r="D160">
        <v>1317.0278400000002</v>
      </c>
      <c r="E160">
        <v>1348.9766399999999</v>
      </c>
      <c r="F160">
        <v>1202.01216</v>
      </c>
      <c r="G160" s="26">
        <v>836.97664000000009</v>
      </c>
      <c r="I160" s="25">
        <v>1854.9964799999998</v>
      </c>
      <c r="J160">
        <v>1553.0393599999998</v>
      </c>
      <c r="K160">
        <v>1447.0348800000002</v>
      </c>
      <c r="L160">
        <v>2036.0396799999999</v>
      </c>
      <c r="M160">
        <v>1580.97408</v>
      </c>
      <c r="N160" s="26">
        <v>1351.0246400000001</v>
      </c>
      <c r="P160">
        <v>1276.9689599999999</v>
      </c>
      <c r="Q160">
        <v>1247.96928</v>
      </c>
      <c r="R160">
        <v>1280</v>
      </c>
      <c r="S160">
        <v>1189.96992</v>
      </c>
      <c r="T160">
        <v>1154.00704</v>
      </c>
      <c r="U160" s="26">
        <v>1222.98368</v>
      </c>
      <c r="W160" s="25">
        <v>1500.03712</v>
      </c>
      <c r="X160">
        <v>1471.0374400000001</v>
      </c>
      <c r="Y160">
        <v>1096.0076799999999</v>
      </c>
      <c r="Z160">
        <v>1476.0345600000001</v>
      </c>
      <c r="AA160">
        <v>981.97504000000004</v>
      </c>
      <c r="AB160" s="26">
        <v>893.99296000000004</v>
      </c>
      <c r="AD160" s="29">
        <v>1453.0150399999998</v>
      </c>
      <c r="AE160" s="23">
        <v>1217.9865600000001</v>
      </c>
      <c r="AF160" s="23">
        <v>1222.98368</v>
      </c>
      <c r="AG160" s="23">
        <v>1593.9993599999998</v>
      </c>
      <c r="AH160" s="23">
        <v>1315.96288</v>
      </c>
      <c r="AI160" s="30">
        <v>827.96543999999994</v>
      </c>
    </row>
    <row r="161" spans="1:35" x14ac:dyDescent="0.45">
      <c r="B161">
        <v>8191.9180800000013</v>
      </c>
      <c r="C161">
        <v>8192</v>
      </c>
      <c r="D161">
        <v>8192</v>
      </c>
      <c r="E161">
        <v>8191.9999999999991</v>
      </c>
      <c r="F161">
        <v>8192</v>
      </c>
      <c r="G161">
        <v>8191.9999999999991</v>
      </c>
      <c r="I161">
        <v>8191.9999999999991</v>
      </c>
      <c r="J161">
        <v>8192.0819200000005</v>
      </c>
      <c r="K161">
        <v>8192</v>
      </c>
      <c r="L161">
        <v>8192</v>
      </c>
      <c r="M161">
        <v>8192</v>
      </c>
      <c r="N161">
        <v>8192</v>
      </c>
      <c r="P161">
        <v>8191.9180800000004</v>
      </c>
      <c r="Q161">
        <v>8191.9180800000004</v>
      </c>
      <c r="R161">
        <v>8192</v>
      </c>
      <c r="S161">
        <v>8191.9180799999995</v>
      </c>
      <c r="T161">
        <v>8192</v>
      </c>
      <c r="U161">
        <v>8191.9180800000004</v>
      </c>
      <c r="W161">
        <v>8192.0819200000005</v>
      </c>
      <c r="X161">
        <v>8192.0819200000005</v>
      </c>
      <c r="Y161">
        <v>8192</v>
      </c>
      <c r="Z161">
        <v>8192</v>
      </c>
      <c r="AA161">
        <v>8192</v>
      </c>
      <c r="AB161">
        <v>8192</v>
      </c>
      <c r="AD161" s="23">
        <v>8192</v>
      </c>
      <c r="AE161" s="23">
        <v>8191.9180800000004</v>
      </c>
      <c r="AF161" s="23">
        <v>8191.9180799999995</v>
      </c>
      <c r="AG161" s="23">
        <v>8191.9180799999995</v>
      </c>
      <c r="AH161" s="23">
        <v>8191.9180799999995</v>
      </c>
      <c r="AI161" s="23">
        <v>8191.9180800000004</v>
      </c>
    </row>
    <row r="162" spans="1:35" x14ac:dyDescent="0.45">
      <c r="AD162" s="23"/>
      <c r="AE162" s="23"/>
      <c r="AF162" s="23"/>
      <c r="AG162" s="23"/>
      <c r="AH162" s="23"/>
      <c r="AI162" s="23"/>
    </row>
    <row r="163" spans="1:35" x14ac:dyDescent="0.45">
      <c r="A163" s="21" t="s">
        <v>58</v>
      </c>
      <c r="B163" s="25">
        <v>2304.9830400000001</v>
      </c>
      <c r="C163">
        <v>2473.0009599999998</v>
      </c>
      <c r="D163">
        <v>2978.0377600000002</v>
      </c>
      <c r="E163">
        <v>2835.0054399999999</v>
      </c>
      <c r="F163">
        <v>3128.0332799999996</v>
      </c>
      <c r="G163" s="26">
        <v>3324.9689600000002</v>
      </c>
      <c r="H163" s="21" t="s">
        <v>58</v>
      </c>
      <c r="I163" s="25">
        <v>2353.9712</v>
      </c>
      <c r="J163">
        <v>2616.0332800000001</v>
      </c>
      <c r="K163" s="26">
        <v>2820.99712</v>
      </c>
      <c r="L163">
        <v>2304.9830400000001</v>
      </c>
      <c r="M163">
        <v>2574.0083199999999</v>
      </c>
      <c r="N163" s="26">
        <v>2690.0070400000004</v>
      </c>
      <c r="O163" s="21" t="s">
        <v>58</v>
      </c>
      <c r="P163">
        <v>2295.9718400000002</v>
      </c>
      <c r="Q163">
        <v>2768.9779200000003</v>
      </c>
      <c r="R163" s="26">
        <v>3081.0111999999999</v>
      </c>
      <c r="S163">
        <v>2701.9673599999996</v>
      </c>
      <c r="T163">
        <v>2796.9945600000001</v>
      </c>
      <c r="U163" s="26">
        <v>2941.9929599999996</v>
      </c>
      <c r="V163" s="21" t="s">
        <v>58</v>
      </c>
      <c r="W163" s="25">
        <v>2386.9849600000002</v>
      </c>
      <c r="X163">
        <v>2405.0073600000001</v>
      </c>
      <c r="Y163">
        <v>2966.9785600000005</v>
      </c>
      <c r="Z163">
        <v>2626.0275199999996</v>
      </c>
      <c r="AA163">
        <v>2984.0179200000002</v>
      </c>
      <c r="AB163" s="26">
        <v>3361.9967999999999</v>
      </c>
      <c r="AC163" s="21" t="s">
        <v>58</v>
      </c>
      <c r="AD163" s="29">
        <v>2225.0291200000001</v>
      </c>
      <c r="AE163" s="23">
        <v>2232.9753599999999</v>
      </c>
      <c r="AF163" s="23">
        <v>2521.0060800000001</v>
      </c>
      <c r="AG163" s="23">
        <v>2646.9990399999997</v>
      </c>
      <c r="AH163" s="23">
        <v>2790.0313599999999</v>
      </c>
      <c r="AI163" s="30">
        <v>3107.96288</v>
      </c>
    </row>
    <row r="164" spans="1:35" x14ac:dyDescent="0.45">
      <c r="B164" s="25">
        <v>2001.9609599999999</v>
      </c>
      <c r="C164">
        <v>1931.0182399999999</v>
      </c>
      <c r="D164">
        <v>1682.9644800000001</v>
      </c>
      <c r="E164">
        <v>1725.9724799999999</v>
      </c>
      <c r="F164">
        <v>1603.0105600000002</v>
      </c>
      <c r="G164" s="26">
        <v>1570.97984</v>
      </c>
      <c r="I164" s="25">
        <v>2086.9939199999999</v>
      </c>
      <c r="J164">
        <v>1980.9894399999998</v>
      </c>
      <c r="K164" s="26">
        <v>1532.9689600000002</v>
      </c>
      <c r="L164">
        <v>1759.9692800000003</v>
      </c>
      <c r="M164">
        <v>1698.0377600000002</v>
      </c>
      <c r="N164" s="26">
        <v>1473.0035200000002</v>
      </c>
      <c r="P164">
        <v>1961.9839999999999</v>
      </c>
      <c r="Q164">
        <v>1820.9996799999999</v>
      </c>
      <c r="R164" s="26">
        <v>1985.9865599999998</v>
      </c>
      <c r="S164">
        <v>1778.9747200000002</v>
      </c>
      <c r="T164">
        <v>1936.0153599999999</v>
      </c>
      <c r="U164" s="26">
        <v>2075.0335999999998</v>
      </c>
      <c r="W164" s="25">
        <v>1917.99296</v>
      </c>
      <c r="X164">
        <v>1869.0048000000002</v>
      </c>
      <c r="Y164">
        <v>1428.0294399999998</v>
      </c>
      <c r="Z164">
        <v>1927.9872</v>
      </c>
      <c r="AA164">
        <v>2104.0332800000001</v>
      </c>
      <c r="AB164" s="26">
        <v>1550.0083199999999</v>
      </c>
      <c r="AD164" s="29">
        <v>2003.02592</v>
      </c>
      <c r="AE164" s="23">
        <v>1990.9836799999998</v>
      </c>
      <c r="AF164" s="23">
        <v>2048.9830400000001</v>
      </c>
      <c r="AG164" s="23">
        <v>1685.9955199999999</v>
      </c>
      <c r="AH164" s="23">
        <v>1748.0089600000001</v>
      </c>
      <c r="AI164" s="30">
        <v>1632.0102400000001</v>
      </c>
    </row>
    <row r="165" spans="1:35" x14ac:dyDescent="0.45">
      <c r="B165" s="25">
        <v>2023.0144</v>
      </c>
      <c r="C165">
        <v>2004.0089600000001</v>
      </c>
      <c r="D165">
        <v>2194.9644800000001</v>
      </c>
      <c r="E165">
        <v>2177.0239999999999</v>
      </c>
      <c r="F165">
        <v>2104.0332800000001</v>
      </c>
      <c r="G165" s="26">
        <v>2135.9820800000002</v>
      </c>
      <c r="I165" s="25">
        <v>1966.9811199999999</v>
      </c>
      <c r="J165">
        <v>1995.9807999999998</v>
      </c>
      <c r="K165" s="26">
        <v>2397.9622399999998</v>
      </c>
      <c r="L165">
        <v>2337.9967999999999</v>
      </c>
      <c r="M165">
        <v>2362.9823999999999</v>
      </c>
      <c r="N165" s="26">
        <v>2554.0198399999999</v>
      </c>
      <c r="P165">
        <v>2070.0364799999998</v>
      </c>
      <c r="Q165">
        <v>2092.97408</v>
      </c>
      <c r="R165" s="26">
        <v>1766.0313599999999</v>
      </c>
      <c r="S165">
        <v>2223.96416</v>
      </c>
      <c r="T165">
        <v>1985.9865599999998</v>
      </c>
      <c r="U165" s="26">
        <v>1783.9718400000002</v>
      </c>
      <c r="W165" s="25">
        <v>2130.0019200000002</v>
      </c>
      <c r="X165">
        <v>2221.0150399999998</v>
      </c>
      <c r="Y165">
        <v>2564.0140799999999</v>
      </c>
      <c r="Z165">
        <v>2065.0393599999998</v>
      </c>
      <c r="AA165">
        <v>1745.9609599999999</v>
      </c>
      <c r="AB165" s="26">
        <v>2110.0134400000002</v>
      </c>
      <c r="AD165" s="29">
        <v>2105.0163200000002</v>
      </c>
      <c r="AE165" s="23">
        <v>2017.03424</v>
      </c>
      <c r="AF165" s="23">
        <v>1935.0323199999998</v>
      </c>
      <c r="AG165" s="23">
        <v>2212.9868799999999</v>
      </c>
      <c r="AH165" s="23">
        <v>2220.0320000000002</v>
      </c>
      <c r="AI165" s="30">
        <v>2148.02432</v>
      </c>
    </row>
    <row r="166" spans="1:35" x14ac:dyDescent="0.45">
      <c r="B166" s="25">
        <v>1861.9596799999999</v>
      </c>
      <c r="C166">
        <v>1783.9718400000002</v>
      </c>
      <c r="D166">
        <v>1336.0332800000001</v>
      </c>
      <c r="E166">
        <v>1453.9980799999998</v>
      </c>
      <c r="F166">
        <v>1357.0048000000002</v>
      </c>
      <c r="G166" s="26">
        <v>1159.9872</v>
      </c>
      <c r="I166" s="25">
        <v>1783.9718400000002</v>
      </c>
      <c r="J166">
        <v>1598.9964799999998</v>
      </c>
      <c r="K166" s="26">
        <v>1439.9897599999999</v>
      </c>
      <c r="L166">
        <v>1788.9689600000002</v>
      </c>
      <c r="M166">
        <v>1556.9715200000001</v>
      </c>
      <c r="N166" s="26">
        <v>1474.9695999999999</v>
      </c>
      <c r="P166">
        <v>1864.0076800000002</v>
      </c>
      <c r="Q166">
        <v>1508.9664000000002</v>
      </c>
      <c r="R166" s="26">
        <v>1358.9708799999999</v>
      </c>
      <c r="S166">
        <v>1487.0118400000001</v>
      </c>
      <c r="T166">
        <v>1473.0035200000002</v>
      </c>
      <c r="U166" s="26">
        <v>1391.0016000000001</v>
      </c>
      <c r="W166" s="25">
        <v>1757.02016</v>
      </c>
      <c r="X166">
        <v>1696.9728</v>
      </c>
      <c r="Y166">
        <v>1232.97792</v>
      </c>
      <c r="Z166">
        <v>1573.0278400000002</v>
      </c>
      <c r="AA166">
        <v>1357.9878400000002</v>
      </c>
      <c r="AB166" s="26">
        <v>1169.98144</v>
      </c>
      <c r="AD166" s="29">
        <v>1859.0105600000002</v>
      </c>
      <c r="AE166" s="23">
        <v>1951.0067199999999</v>
      </c>
      <c r="AF166" s="23">
        <v>1686.97856</v>
      </c>
      <c r="AG166" s="23">
        <v>1646.01856</v>
      </c>
      <c r="AH166" s="23">
        <v>1434.0095999999999</v>
      </c>
      <c r="AI166" s="30">
        <v>1304.0025599999999</v>
      </c>
    </row>
    <row r="167" spans="1:35" x14ac:dyDescent="0.45">
      <c r="B167">
        <v>8191.9180799999995</v>
      </c>
      <c r="C167">
        <v>8192</v>
      </c>
      <c r="D167">
        <v>8192</v>
      </c>
      <c r="E167">
        <v>8191.9999999999982</v>
      </c>
      <c r="F167">
        <v>8192.0819200000005</v>
      </c>
      <c r="G167">
        <v>8191.9180799999995</v>
      </c>
      <c r="I167">
        <v>8191.9180799999995</v>
      </c>
      <c r="J167">
        <v>8192</v>
      </c>
      <c r="K167">
        <v>8191.9180799999995</v>
      </c>
      <c r="L167">
        <v>8191.9180800000004</v>
      </c>
      <c r="M167">
        <v>8192</v>
      </c>
      <c r="N167">
        <v>8192</v>
      </c>
      <c r="P167">
        <v>8192</v>
      </c>
      <c r="Q167">
        <v>8191.9180800000004</v>
      </c>
      <c r="R167">
        <v>8192</v>
      </c>
      <c r="S167">
        <v>8191.9180800000004</v>
      </c>
      <c r="T167">
        <v>8192</v>
      </c>
      <c r="U167">
        <v>8192</v>
      </c>
      <c r="W167">
        <v>8192</v>
      </c>
      <c r="X167">
        <v>8192</v>
      </c>
      <c r="Y167">
        <v>8192</v>
      </c>
      <c r="Z167">
        <v>8192.0819199999987</v>
      </c>
      <c r="AA167">
        <v>8192</v>
      </c>
      <c r="AB167">
        <v>8192</v>
      </c>
      <c r="AD167" s="23">
        <v>8192.0819200000005</v>
      </c>
      <c r="AE167" s="23">
        <v>8192</v>
      </c>
      <c r="AF167" s="23">
        <v>8192</v>
      </c>
      <c r="AG167" s="23">
        <v>8192</v>
      </c>
      <c r="AH167" s="23">
        <v>8192.0819200000005</v>
      </c>
      <c r="AI167" s="23">
        <v>8192</v>
      </c>
    </row>
    <row r="168" spans="1:35" x14ac:dyDescent="0.45">
      <c r="AD168" s="23"/>
      <c r="AE168" s="23"/>
      <c r="AF168" s="23"/>
      <c r="AG168" s="23"/>
      <c r="AH168" s="23"/>
      <c r="AI168" s="23"/>
    </row>
    <row r="169" spans="1:35" x14ac:dyDescent="0.45">
      <c r="A169" s="21" t="s">
        <v>245</v>
      </c>
      <c r="B169" s="25">
        <v>2392.9651199999998</v>
      </c>
      <c r="C169">
        <v>2402.9593599999998</v>
      </c>
      <c r="D169">
        <v>2631.0246399999996</v>
      </c>
      <c r="E169">
        <v>2548.0396799999999</v>
      </c>
      <c r="F169">
        <v>2612.0192000000002</v>
      </c>
      <c r="G169" s="26">
        <v>2690.9900799999996</v>
      </c>
      <c r="H169" s="21" t="s">
        <v>245</v>
      </c>
      <c r="I169" s="25">
        <v>1830.9939199999999</v>
      </c>
      <c r="J169">
        <v>2228.96128</v>
      </c>
      <c r="K169">
        <v>2352.0051199999998</v>
      </c>
      <c r="L169">
        <v>2100.0192000000002</v>
      </c>
      <c r="M169">
        <v>2256.9779199999998</v>
      </c>
      <c r="N169" s="28">
        <v>2709.9955200000004</v>
      </c>
      <c r="O169" s="21" t="s">
        <v>245</v>
      </c>
      <c r="P169">
        <v>2101.9852799999999</v>
      </c>
      <c r="Q169">
        <v>2191.0323199999998</v>
      </c>
      <c r="R169">
        <v>2299.00288</v>
      </c>
      <c r="S169">
        <v>2294.00576</v>
      </c>
      <c r="T169">
        <v>2624.9625599999999</v>
      </c>
      <c r="U169" s="26">
        <v>2947.9731199999997</v>
      </c>
      <c r="V169" s="21" t="s">
        <v>245</v>
      </c>
      <c r="W169" s="25">
        <v>2146.9593599999998</v>
      </c>
      <c r="X169">
        <v>2242.9695999999999</v>
      </c>
      <c r="Y169" s="26">
        <v>3297.03424</v>
      </c>
      <c r="Z169">
        <v>2603.0079999999998</v>
      </c>
      <c r="AA169">
        <v>2640.0358399999996</v>
      </c>
      <c r="AB169" s="26">
        <v>2826.9772800000001</v>
      </c>
      <c r="AC169" s="21" t="s">
        <v>245</v>
      </c>
      <c r="AD169" s="29">
        <v>2315.9603200000001</v>
      </c>
      <c r="AE169" s="23">
        <v>2526.0032000000001</v>
      </c>
      <c r="AF169" s="30">
        <v>2575.9744000000001</v>
      </c>
      <c r="AG169" s="23">
        <v>2366.9964799999998</v>
      </c>
      <c r="AH169" s="23">
        <v>2483.9782399999999</v>
      </c>
      <c r="AI169" s="30">
        <v>2495.0374400000001</v>
      </c>
    </row>
    <row r="170" spans="1:35" x14ac:dyDescent="0.45">
      <c r="B170" s="25">
        <v>1450.96704</v>
      </c>
      <c r="C170">
        <v>1777.00864</v>
      </c>
      <c r="D170">
        <v>1748.0089600000001</v>
      </c>
      <c r="E170">
        <v>1980.9894399999998</v>
      </c>
      <c r="F170">
        <v>1869.0048000000002</v>
      </c>
      <c r="G170" s="26">
        <v>1787.00288</v>
      </c>
      <c r="I170" s="25">
        <v>1899.9705600000002</v>
      </c>
      <c r="J170">
        <v>2144.0102400000001</v>
      </c>
      <c r="K170">
        <v>1989.0176000000001</v>
      </c>
      <c r="L170">
        <v>1921.0239999999999</v>
      </c>
      <c r="M170">
        <v>1830.9939199999999</v>
      </c>
      <c r="N170" s="28">
        <v>2057.0111999999999</v>
      </c>
      <c r="P170">
        <v>1699.0207999999998</v>
      </c>
      <c r="Q170">
        <v>1890.9593599999998</v>
      </c>
      <c r="R170">
        <v>1734.9836799999998</v>
      </c>
      <c r="S170">
        <v>1744.9779199999998</v>
      </c>
      <c r="T170">
        <v>1763.9833600000002</v>
      </c>
      <c r="U170" s="26">
        <v>1776.0255999999999</v>
      </c>
      <c r="W170" s="25">
        <v>1893.0073600000001</v>
      </c>
      <c r="X170">
        <v>1830.0108799999998</v>
      </c>
      <c r="Y170" s="26">
        <v>1657.9788800000001</v>
      </c>
      <c r="Z170">
        <v>1801.0111999999999</v>
      </c>
      <c r="AA170">
        <v>1814.0364799999998</v>
      </c>
      <c r="AB170" s="26">
        <v>1797.9801600000001</v>
      </c>
      <c r="AD170" s="29">
        <v>1660.0268799999999</v>
      </c>
      <c r="AE170" s="23">
        <v>1714.9951999999998</v>
      </c>
      <c r="AF170" s="30">
        <v>1767.0144</v>
      </c>
      <c r="AG170" s="23">
        <v>1945.0265599999998</v>
      </c>
      <c r="AH170" s="23">
        <v>2012.03712</v>
      </c>
      <c r="AI170" s="30">
        <v>1752.02304</v>
      </c>
    </row>
    <row r="171" spans="1:35" x14ac:dyDescent="0.45">
      <c r="B171" s="25">
        <v>2566.9632000000001</v>
      </c>
      <c r="C171">
        <v>2263.04</v>
      </c>
      <c r="D171">
        <v>2241.0035200000002</v>
      </c>
      <c r="E171">
        <v>2027.0284799999999</v>
      </c>
      <c r="F171">
        <v>2014.0032000000001</v>
      </c>
      <c r="G171" s="26">
        <v>2187.0182399999999</v>
      </c>
      <c r="I171" s="25">
        <v>2234.0403200000001</v>
      </c>
      <c r="J171">
        <v>1917.00992</v>
      </c>
      <c r="K171">
        <v>2052.99712</v>
      </c>
      <c r="L171">
        <v>2226.0121599999998</v>
      </c>
      <c r="M171">
        <v>2239.0374400000001</v>
      </c>
      <c r="N171" s="28">
        <v>1894.9734400000002</v>
      </c>
      <c r="P171">
        <v>2447.0323199999998</v>
      </c>
      <c r="Q171">
        <v>2095.0220800000002</v>
      </c>
      <c r="R171">
        <v>2309.9801600000001</v>
      </c>
      <c r="S171">
        <v>2269.02016</v>
      </c>
      <c r="T171">
        <v>2101.9852799999999</v>
      </c>
      <c r="U171" s="26">
        <v>2029.9776000000002</v>
      </c>
      <c r="W171" s="25">
        <v>2213.96992</v>
      </c>
      <c r="X171">
        <v>2284.01152</v>
      </c>
      <c r="Y171" s="26">
        <v>2020.9664000000002</v>
      </c>
      <c r="Z171">
        <v>2100.0192000000002</v>
      </c>
      <c r="AA171">
        <v>2043.00288</v>
      </c>
      <c r="AB171" s="26">
        <v>2028.01152</v>
      </c>
      <c r="AD171" s="29">
        <v>2321.0393599999998</v>
      </c>
      <c r="AE171" s="23">
        <v>2264.02304</v>
      </c>
      <c r="AF171" s="30">
        <v>2203.97568</v>
      </c>
      <c r="AG171" s="23">
        <v>2001.9609599999999</v>
      </c>
      <c r="AH171" s="23">
        <v>1922.99008</v>
      </c>
      <c r="AI171" s="30">
        <v>2261.9750399999998</v>
      </c>
    </row>
    <row r="172" spans="1:35" x14ac:dyDescent="0.45">
      <c r="B172" s="25">
        <v>1781.0227199999999</v>
      </c>
      <c r="C172">
        <v>1748.9920000000002</v>
      </c>
      <c r="D172">
        <v>1571.96288</v>
      </c>
      <c r="E172">
        <v>1636.02432</v>
      </c>
      <c r="F172">
        <v>1696.9728</v>
      </c>
      <c r="G172" s="26">
        <v>1526.9888000000001</v>
      </c>
      <c r="I172" s="25">
        <v>2226.9951999999998</v>
      </c>
      <c r="J172">
        <v>1902.01856</v>
      </c>
      <c r="K172">
        <v>1797.9801600000001</v>
      </c>
      <c r="L172">
        <v>1945.0265599999998</v>
      </c>
      <c r="M172">
        <v>1864.9907199999998</v>
      </c>
      <c r="N172" s="28">
        <v>1530.0198399999999</v>
      </c>
      <c r="P172">
        <v>1943.9616000000001</v>
      </c>
      <c r="Q172">
        <v>2014.9862400000002</v>
      </c>
      <c r="R172">
        <v>1848.0332800000001</v>
      </c>
      <c r="S172">
        <v>1883.9961600000001</v>
      </c>
      <c r="T172">
        <v>1700.9868799999999</v>
      </c>
      <c r="U172" s="26">
        <v>1438.0236799999998</v>
      </c>
      <c r="W172" s="25">
        <v>1937.98144</v>
      </c>
      <c r="X172">
        <v>1835.0079999999998</v>
      </c>
      <c r="Y172" s="26">
        <v>1216.0204799999999</v>
      </c>
      <c r="Z172">
        <v>1687.9616000000001</v>
      </c>
      <c r="AA172">
        <v>1695.0067199999999</v>
      </c>
      <c r="AB172" s="26">
        <v>1539.0310400000001</v>
      </c>
      <c r="AD172" s="29">
        <v>1894.9734400000002</v>
      </c>
      <c r="AE172" s="23">
        <v>1686.97856</v>
      </c>
      <c r="AF172" s="30">
        <v>1645.0355199999999</v>
      </c>
      <c r="AG172" s="23">
        <v>1878.0160000000001</v>
      </c>
      <c r="AH172" s="23">
        <v>1772.9945600000001</v>
      </c>
      <c r="AI172" s="30">
        <v>1682.9644800000001</v>
      </c>
    </row>
    <row r="173" spans="1:35" x14ac:dyDescent="0.45">
      <c r="B173">
        <v>8191.9180800000004</v>
      </c>
      <c r="C173">
        <v>8192</v>
      </c>
      <c r="D173">
        <v>8192</v>
      </c>
      <c r="E173">
        <v>8192.0819199999987</v>
      </c>
      <c r="F173">
        <v>8192</v>
      </c>
      <c r="G173">
        <v>8191.9999999999991</v>
      </c>
      <c r="I173">
        <v>8192</v>
      </c>
      <c r="J173">
        <v>8192</v>
      </c>
      <c r="K173">
        <v>8192</v>
      </c>
      <c r="L173">
        <v>8192.0819200000005</v>
      </c>
      <c r="M173">
        <v>8192</v>
      </c>
      <c r="N173" s="27">
        <v>8192</v>
      </c>
      <c r="P173">
        <v>8192</v>
      </c>
      <c r="Q173">
        <v>8192</v>
      </c>
      <c r="R173">
        <v>8192</v>
      </c>
      <c r="S173">
        <v>8192</v>
      </c>
      <c r="T173">
        <v>8191.9180799999995</v>
      </c>
      <c r="U173">
        <v>8192</v>
      </c>
      <c r="W173">
        <v>8191.9180799999995</v>
      </c>
      <c r="X173">
        <v>8192</v>
      </c>
      <c r="Y173">
        <v>8192</v>
      </c>
      <c r="Z173">
        <v>8192</v>
      </c>
      <c r="AA173">
        <v>8192.0819199999987</v>
      </c>
      <c r="AB173">
        <v>8192</v>
      </c>
      <c r="AD173" s="23">
        <v>8192</v>
      </c>
      <c r="AE173" s="23">
        <v>8192</v>
      </c>
      <c r="AF173" s="23">
        <v>8192</v>
      </c>
      <c r="AG173" s="23">
        <v>8192</v>
      </c>
      <c r="AH173" s="23">
        <v>8191.9999999999991</v>
      </c>
      <c r="AI173" s="23">
        <v>8192</v>
      </c>
    </row>
  </sheetData>
  <mergeCells count="10">
    <mergeCell ref="P126:U126"/>
    <mergeCell ref="W126:AB126"/>
    <mergeCell ref="AD126:AI126"/>
    <mergeCell ref="B1:G1"/>
    <mergeCell ref="I1:N1"/>
    <mergeCell ref="B7:G7"/>
    <mergeCell ref="I7:N7"/>
    <mergeCell ref="B19:G19"/>
    <mergeCell ref="I126:N126"/>
    <mergeCell ref="B126:G1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A7D4-6244-417D-B89B-6A95D05BB41B}">
  <dimension ref="A1:AE53"/>
  <sheetViews>
    <sheetView zoomScale="78" workbookViewId="0">
      <selection sqref="A1:A2"/>
    </sheetView>
  </sheetViews>
  <sheetFormatPr defaultRowHeight="14.25" x14ac:dyDescent="0.45"/>
  <cols>
    <col min="1" max="1" width="13.9296875" customWidth="1"/>
    <col min="2" max="2" width="6.59765625" customWidth="1"/>
    <col min="3" max="3" width="6.9296875" customWidth="1"/>
    <col min="4" max="4" width="6.86328125" customWidth="1"/>
    <col min="5" max="5" width="9.1328125" customWidth="1"/>
    <col min="6" max="6" width="1.9296875" customWidth="1"/>
    <col min="7" max="11" width="11.59765625" customWidth="1"/>
    <col min="12" max="12" width="1.796875" customWidth="1"/>
    <col min="13" max="17" width="11.59765625" customWidth="1"/>
    <col min="18" max="18" width="1.86328125" customWidth="1"/>
    <col min="19" max="31" width="11.59765625" customWidth="1"/>
  </cols>
  <sheetData>
    <row r="1" spans="1:31" x14ac:dyDescent="0.45">
      <c r="A1" s="2" t="s">
        <v>292</v>
      </c>
    </row>
    <row r="2" spans="1:31" x14ac:dyDescent="0.45">
      <c r="A2" s="32" t="s">
        <v>341</v>
      </c>
    </row>
    <row r="3" spans="1:31" x14ac:dyDescent="0.45">
      <c r="A3" s="2"/>
    </row>
    <row r="4" spans="1:31" x14ac:dyDescent="0.45">
      <c r="A4" t="s">
        <v>0</v>
      </c>
      <c r="B4" s="31" t="s">
        <v>7</v>
      </c>
      <c r="C4" s="31" t="s">
        <v>7</v>
      </c>
      <c r="D4" s="31" t="s">
        <v>7</v>
      </c>
      <c r="E4" s="31" t="s">
        <v>7</v>
      </c>
      <c r="F4" s="31" t="s">
        <v>7</v>
      </c>
      <c r="G4" s="31" t="s">
        <v>7</v>
      </c>
      <c r="H4" s="31" t="s">
        <v>7</v>
      </c>
      <c r="I4" s="31" t="s">
        <v>7</v>
      </c>
      <c r="J4" s="31" t="s">
        <v>7</v>
      </c>
      <c r="K4" s="31" t="s">
        <v>7</v>
      </c>
      <c r="L4" s="31" t="s">
        <v>7</v>
      </c>
      <c r="M4" s="31" t="s">
        <v>7</v>
      </c>
      <c r="N4" s="31" t="s">
        <v>7</v>
      </c>
      <c r="O4" s="31" t="s">
        <v>7</v>
      </c>
      <c r="P4" s="31" t="s">
        <v>7</v>
      </c>
      <c r="Q4" s="31" t="s">
        <v>7</v>
      </c>
      <c r="R4" s="31" t="s">
        <v>7</v>
      </c>
      <c r="S4" s="31" t="s">
        <v>7</v>
      </c>
      <c r="T4" s="31" t="s">
        <v>7</v>
      </c>
      <c r="U4" s="31" t="s">
        <v>7</v>
      </c>
      <c r="V4" s="31" t="s">
        <v>7</v>
      </c>
      <c r="W4" s="31" t="s">
        <v>7</v>
      </c>
      <c r="X4" s="31" t="s">
        <v>7</v>
      </c>
      <c r="Y4" s="31" t="s">
        <v>7</v>
      </c>
      <c r="Z4" s="31" t="s">
        <v>7</v>
      </c>
      <c r="AA4" s="31" t="s">
        <v>7</v>
      </c>
      <c r="AB4" s="31" t="s">
        <v>7</v>
      </c>
      <c r="AC4" s="31" t="s">
        <v>7</v>
      </c>
      <c r="AD4" s="31" t="s">
        <v>7</v>
      </c>
      <c r="AE4" s="31" t="s">
        <v>7</v>
      </c>
    </row>
    <row r="5" spans="1:31" x14ac:dyDescent="0.45">
      <c r="A5" t="s">
        <v>337</v>
      </c>
      <c r="B5" s="19">
        <v>24</v>
      </c>
      <c r="C5" s="19">
        <v>24</v>
      </c>
      <c r="D5" s="19">
        <v>24</v>
      </c>
      <c r="E5" s="19">
        <v>28</v>
      </c>
      <c r="F5" s="19">
        <v>28</v>
      </c>
      <c r="G5" s="19">
        <v>28</v>
      </c>
      <c r="H5" s="19">
        <v>24</v>
      </c>
      <c r="I5" s="19">
        <v>24</v>
      </c>
      <c r="J5" s="19">
        <v>24</v>
      </c>
      <c r="K5" s="19">
        <v>28</v>
      </c>
      <c r="L5" s="19">
        <v>28</v>
      </c>
      <c r="M5" s="19">
        <v>28</v>
      </c>
      <c r="N5" s="19">
        <v>24</v>
      </c>
      <c r="O5" s="19">
        <v>24</v>
      </c>
      <c r="P5" s="19">
        <v>24</v>
      </c>
      <c r="Q5" s="19">
        <v>28</v>
      </c>
      <c r="R5" s="19">
        <v>28</v>
      </c>
      <c r="S5" s="19">
        <v>28</v>
      </c>
      <c r="T5" s="19">
        <v>24</v>
      </c>
      <c r="U5" s="19">
        <v>24</v>
      </c>
      <c r="V5" s="19">
        <v>24</v>
      </c>
      <c r="W5" s="19">
        <v>28</v>
      </c>
      <c r="X5" s="19">
        <v>28</v>
      </c>
      <c r="Y5" s="19">
        <v>28</v>
      </c>
      <c r="Z5" s="19">
        <v>24</v>
      </c>
      <c r="AA5" s="19">
        <v>24</v>
      </c>
      <c r="AB5" s="19">
        <v>24</v>
      </c>
      <c r="AC5" s="19">
        <v>28</v>
      </c>
      <c r="AD5" s="19">
        <v>28</v>
      </c>
      <c r="AE5" s="19">
        <v>28</v>
      </c>
    </row>
    <row r="6" spans="1:31" x14ac:dyDescent="0.45">
      <c r="A6" t="s">
        <v>339</v>
      </c>
      <c r="B6" s="19">
        <v>32</v>
      </c>
      <c r="C6" s="19">
        <v>32</v>
      </c>
      <c r="D6" s="19">
        <v>32</v>
      </c>
      <c r="E6" s="19">
        <v>42</v>
      </c>
      <c r="F6" s="19">
        <v>42</v>
      </c>
      <c r="G6" s="19">
        <v>42</v>
      </c>
      <c r="H6" s="19">
        <v>37</v>
      </c>
      <c r="I6" s="19">
        <v>37</v>
      </c>
      <c r="J6" s="19">
        <v>37</v>
      </c>
      <c r="K6" s="19">
        <v>47</v>
      </c>
      <c r="L6" s="19">
        <v>47</v>
      </c>
      <c r="M6" s="19">
        <v>47</v>
      </c>
      <c r="N6" s="19">
        <v>37</v>
      </c>
      <c r="O6" s="19">
        <v>37</v>
      </c>
      <c r="P6" s="19">
        <v>37</v>
      </c>
      <c r="Q6" s="19">
        <v>47</v>
      </c>
      <c r="R6" s="19">
        <v>47</v>
      </c>
      <c r="S6" s="19">
        <v>47</v>
      </c>
      <c r="T6" s="19">
        <v>37</v>
      </c>
      <c r="U6" s="19">
        <v>37</v>
      </c>
      <c r="V6" s="19">
        <v>37</v>
      </c>
      <c r="W6" s="19">
        <v>47</v>
      </c>
      <c r="X6" s="19">
        <v>47</v>
      </c>
      <c r="Y6" s="19">
        <v>47</v>
      </c>
      <c r="Z6" s="19">
        <v>37</v>
      </c>
      <c r="AA6" s="19">
        <v>37</v>
      </c>
      <c r="AB6" s="19">
        <v>37</v>
      </c>
      <c r="AC6" s="19">
        <v>47</v>
      </c>
      <c r="AD6" s="19">
        <v>47</v>
      </c>
      <c r="AE6" s="19">
        <v>47</v>
      </c>
    </row>
    <row r="7" spans="1:31" x14ac:dyDescent="0.45">
      <c r="A7" t="s">
        <v>340</v>
      </c>
      <c r="B7" s="19">
        <v>23.6</v>
      </c>
      <c r="C7" s="19">
        <v>23.6</v>
      </c>
      <c r="D7" s="19">
        <v>23.4</v>
      </c>
      <c r="E7" s="19">
        <v>23.6</v>
      </c>
      <c r="F7" s="19">
        <v>23.4</v>
      </c>
      <c r="G7" s="19">
        <v>23.5</v>
      </c>
      <c r="H7" s="19">
        <v>23.5</v>
      </c>
      <c r="I7" s="19">
        <v>23.6</v>
      </c>
      <c r="J7" s="19">
        <v>23.4</v>
      </c>
      <c r="K7" s="19">
        <v>23.7</v>
      </c>
      <c r="L7" s="19">
        <v>23.7</v>
      </c>
      <c r="M7" s="19">
        <v>23.5</v>
      </c>
      <c r="N7" s="19">
        <v>23.7</v>
      </c>
      <c r="O7" s="19">
        <v>23.7</v>
      </c>
      <c r="P7" s="19">
        <v>23.5</v>
      </c>
      <c r="Q7" s="19">
        <v>23.6</v>
      </c>
      <c r="R7" s="19">
        <v>23.6</v>
      </c>
      <c r="S7" s="19">
        <v>23.6</v>
      </c>
      <c r="T7" s="19">
        <v>23.8</v>
      </c>
      <c r="U7" s="19">
        <v>23.3</v>
      </c>
      <c r="V7" s="19">
        <v>23.5</v>
      </c>
      <c r="W7" s="19">
        <v>23.5</v>
      </c>
      <c r="X7" s="19">
        <v>23.7</v>
      </c>
      <c r="Y7" s="19">
        <v>23.7</v>
      </c>
      <c r="Z7" s="19">
        <v>23.6</v>
      </c>
      <c r="AA7" s="19">
        <v>23.7</v>
      </c>
      <c r="AB7" s="19">
        <v>23.6</v>
      </c>
      <c r="AC7" s="19">
        <v>23.8</v>
      </c>
      <c r="AD7" s="19">
        <v>23.4</v>
      </c>
      <c r="AE7" s="19">
        <v>23.5</v>
      </c>
    </row>
    <row r="8" spans="1:31" x14ac:dyDescent="0.45">
      <c r="A8" t="s">
        <v>338</v>
      </c>
      <c r="B8">
        <v>0.53661999999999999</v>
      </c>
      <c r="C8">
        <v>0.52954000000000001</v>
      </c>
      <c r="D8">
        <v>0.53674000000000011</v>
      </c>
      <c r="E8">
        <v>0.46460000000000001</v>
      </c>
      <c r="F8">
        <v>0.44483000000000006</v>
      </c>
      <c r="G8">
        <v>0.45740000000000003</v>
      </c>
      <c r="H8">
        <v>0.57886000000000004</v>
      </c>
      <c r="I8">
        <v>0.59143000000000001</v>
      </c>
      <c r="J8">
        <v>0.59948999999999997</v>
      </c>
      <c r="K8">
        <v>0.56969999999999998</v>
      </c>
      <c r="L8">
        <v>0.57239000000000007</v>
      </c>
      <c r="M8">
        <v>0.57702000000000009</v>
      </c>
      <c r="N8">
        <v>0.57189999999999996</v>
      </c>
      <c r="O8">
        <v>0.55212000000000006</v>
      </c>
      <c r="P8">
        <v>0.59118000000000004</v>
      </c>
      <c r="Q8">
        <v>0.55138999999999994</v>
      </c>
      <c r="R8">
        <v>0.53491</v>
      </c>
      <c r="S8">
        <v>0.57091999999999998</v>
      </c>
      <c r="T8">
        <v>0.56031000000000009</v>
      </c>
      <c r="U8">
        <v>0.56469999999999998</v>
      </c>
      <c r="V8">
        <v>0.58617999999999992</v>
      </c>
      <c r="W8">
        <v>0.5577399999999999</v>
      </c>
      <c r="X8">
        <v>0.55127999999999999</v>
      </c>
      <c r="Y8">
        <v>0.55248999999999993</v>
      </c>
      <c r="Z8">
        <v>0.51978000000000002</v>
      </c>
      <c r="AA8">
        <v>0.50670999999999999</v>
      </c>
      <c r="AB8">
        <v>0.53271000000000002</v>
      </c>
      <c r="AC8">
        <v>0.45362000000000002</v>
      </c>
      <c r="AD8">
        <v>0.44666000000000006</v>
      </c>
      <c r="AE8">
        <v>0.44994999999999996</v>
      </c>
    </row>
    <row r="10" spans="1:31" x14ac:dyDescent="0.45">
      <c r="A10" t="s">
        <v>0</v>
      </c>
      <c r="B10" s="31" t="s">
        <v>58</v>
      </c>
      <c r="C10" s="31" t="s">
        <v>58</v>
      </c>
      <c r="D10" s="31" t="s">
        <v>58</v>
      </c>
      <c r="E10" s="31" t="s">
        <v>58</v>
      </c>
      <c r="F10" s="31" t="s">
        <v>58</v>
      </c>
      <c r="G10" s="31" t="s">
        <v>58</v>
      </c>
      <c r="H10" s="31" t="s">
        <v>58</v>
      </c>
      <c r="I10" s="31" t="s">
        <v>58</v>
      </c>
      <c r="J10" s="31" t="s">
        <v>58</v>
      </c>
      <c r="K10" s="31" t="s">
        <v>58</v>
      </c>
      <c r="L10" s="31" t="s">
        <v>58</v>
      </c>
      <c r="M10" s="31" t="s">
        <v>58</v>
      </c>
      <c r="N10" s="31" t="s">
        <v>58</v>
      </c>
      <c r="O10" s="31" t="s">
        <v>58</v>
      </c>
      <c r="P10" s="31" t="s">
        <v>58</v>
      </c>
      <c r="Q10" s="31" t="s">
        <v>58</v>
      </c>
      <c r="R10" s="31" t="s">
        <v>58</v>
      </c>
      <c r="S10" s="31" t="s">
        <v>58</v>
      </c>
      <c r="T10" s="31" t="s">
        <v>58</v>
      </c>
      <c r="U10" s="31" t="s">
        <v>58</v>
      </c>
      <c r="V10" s="31" t="s">
        <v>58</v>
      </c>
      <c r="W10" s="31" t="s">
        <v>58</v>
      </c>
      <c r="X10" s="31" t="s">
        <v>58</v>
      </c>
      <c r="Y10" s="31" t="s">
        <v>58</v>
      </c>
      <c r="Z10" s="31" t="s">
        <v>58</v>
      </c>
      <c r="AA10" s="31" t="s">
        <v>58</v>
      </c>
      <c r="AB10" s="31" t="s">
        <v>58</v>
      </c>
      <c r="AC10" s="31" t="s">
        <v>58</v>
      </c>
      <c r="AD10" s="31" t="s">
        <v>58</v>
      </c>
      <c r="AE10" s="31" t="s">
        <v>58</v>
      </c>
    </row>
    <row r="11" spans="1:31" s="19" customFormat="1" x14ac:dyDescent="0.45">
      <c r="A11" t="s">
        <v>337</v>
      </c>
      <c r="B11" s="19">
        <v>85</v>
      </c>
      <c r="C11" s="19">
        <v>75</v>
      </c>
      <c r="D11" s="19">
        <v>55</v>
      </c>
      <c r="E11" s="19">
        <v>51</v>
      </c>
      <c r="F11" s="19">
        <v>56</v>
      </c>
      <c r="G11" s="19">
        <v>52</v>
      </c>
      <c r="H11" s="19">
        <v>65</v>
      </c>
      <c r="I11" s="19">
        <v>82</v>
      </c>
      <c r="J11" s="19">
        <v>57</v>
      </c>
      <c r="K11" s="19">
        <v>66</v>
      </c>
      <c r="L11" s="19">
        <v>71</v>
      </c>
      <c r="M11" s="19">
        <v>50</v>
      </c>
      <c r="N11" s="19">
        <v>79</v>
      </c>
      <c r="O11" s="19">
        <v>63</v>
      </c>
      <c r="P11" s="19">
        <v>57</v>
      </c>
      <c r="Q11" s="19">
        <v>70</v>
      </c>
      <c r="R11" s="19">
        <v>75</v>
      </c>
      <c r="S11" s="19">
        <v>59</v>
      </c>
      <c r="T11" s="19">
        <v>46</v>
      </c>
      <c r="U11" s="19">
        <v>76</v>
      </c>
      <c r="V11" s="19">
        <v>77</v>
      </c>
      <c r="W11" s="19">
        <v>50</v>
      </c>
      <c r="X11" s="19">
        <v>55</v>
      </c>
      <c r="Y11" s="19">
        <v>56</v>
      </c>
      <c r="Z11" s="19">
        <v>76</v>
      </c>
      <c r="AA11" s="19">
        <v>78</v>
      </c>
      <c r="AB11" s="19">
        <v>83</v>
      </c>
      <c r="AC11" s="19">
        <v>74</v>
      </c>
      <c r="AD11" s="19">
        <v>61</v>
      </c>
      <c r="AE11" s="19">
        <v>75</v>
      </c>
    </row>
    <row r="12" spans="1:31" s="19" customFormat="1" x14ac:dyDescent="0.45">
      <c r="A12" t="s">
        <v>339</v>
      </c>
      <c r="B12" s="19">
        <v>32</v>
      </c>
      <c r="C12" s="19">
        <v>32</v>
      </c>
      <c r="D12" s="19">
        <v>32</v>
      </c>
      <c r="E12" s="19">
        <v>43</v>
      </c>
      <c r="F12" s="19">
        <v>43</v>
      </c>
      <c r="G12" s="19">
        <v>43</v>
      </c>
      <c r="H12" s="19">
        <v>37</v>
      </c>
      <c r="I12" s="19">
        <v>37</v>
      </c>
      <c r="J12" s="19">
        <v>37</v>
      </c>
      <c r="K12" s="19">
        <v>47</v>
      </c>
      <c r="L12" s="19">
        <v>47</v>
      </c>
      <c r="M12" s="19">
        <v>48</v>
      </c>
      <c r="N12" s="19">
        <v>37</v>
      </c>
      <c r="O12" s="19">
        <v>37</v>
      </c>
      <c r="P12" s="19">
        <v>37</v>
      </c>
      <c r="Q12" s="19">
        <v>47</v>
      </c>
      <c r="R12" s="19">
        <v>48</v>
      </c>
      <c r="S12" s="19">
        <v>47</v>
      </c>
      <c r="T12" s="19">
        <v>37</v>
      </c>
      <c r="U12" s="19">
        <v>37</v>
      </c>
      <c r="V12" s="19">
        <v>37</v>
      </c>
      <c r="W12" s="19">
        <v>48</v>
      </c>
      <c r="X12" s="19">
        <v>48</v>
      </c>
      <c r="Y12" s="19">
        <v>48</v>
      </c>
      <c r="Z12" s="19">
        <v>37</v>
      </c>
      <c r="AA12" s="19">
        <v>37</v>
      </c>
      <c r="AB12" s="19">
        <v>37</v>
      </c>
      <c r="AC12" s="19">
        <v>48</v>
      </c>
      <c r="AD12" s="19">
        <v>48</v>
      </c>
      <c r="AE12" s="19">
        <v>48</v>
      </c>
    </row>
    <row r="13" spans="1:31" s="19" customFormat="1" x14ac:dyDescent="0.45">
      <c r="A13" t="s">
        <v>340</v>
      </c>
      <c r="B13" s="19">
        <v>24.4</v>
      </c>
      <c r="C13" s="19">
        <v>24.3</v>
      </c>
      <c r="D13" s="19">
        <v>24.7</v>
      </c>
      <c r="E13" s="19">
        <v>24.7</v>
      </c>
      <c r="F13" s="19">
        <v>24.3</v>
      </c>
      <c r="G13" s="19">
        <v>24.2</v>
      </c>
      <c r="H13" s="19">
        <v>24.8</v>
      </c>
      <c r="I13" s="19">
        <v>24.7</v>
      </c>
      <c r="J13" s="19">
        <v>24.7</v>
      </c>
      <c r="K13" s="19">
        <v>24.4</v>
      </c>
      <c r="L13" s="19">
        <v>24.6</v>
      </c>
      <c r="M13" s="19">
        <v>24.4</v>
      </c>
      <c r="N13" s="19">
        <v>24.4</v>
      </c>
      <c r="O13" s="19">
        <v>24.6</v>
      </c>
      <c r="P13" s="19">
        <v>24.7</v>
      </c>
      <c r="Q13" s="19">
        <v>24.6</v>
      </c>
      <c r="R13" s="19">
        <v>24.7</v>
      </c>
      <c r="S13" s="19">
        <v>25</v>
      </c>
      <c r="T13" s="19">
        <v>24.5</v>
      </c>
      <c r="U13" s="19">
        <v>24.4</v>
      </c>
      <c r="V13" s="19">
        <v>24.5</v>
      </c>
      <c r="W13" s="19">
        <v>24.4</v>
      </c>
      <c r="X13" s="19">
        <v>24.2</v>
      </c>
      <c r="Y13" s="19">
        <v>24.7</v>
      </c>
      <c r="Z13" s="19">
        <v>24.4</v>
      </c>
      <c r="AA13" s="19">
        <v>24.6</v>
      </c>
      <c r="AB13" s="19">
        <v>24.2</v>
      </c>
      <c r="AC13" s="19">
        <v>24.3</v>
      </c>
      <c r="AD13" s="19">
        <v>24.5</v>
      </c>
      <c r="AE13" s="19">
        <v>24.2</v>
      </c>
    </row>
    <row r="14" spans="1:31" s="19" customFormat="1" x14ac:dyDescent="0.45">
      <c r="A14" t="s">
        <v>338</v>
      </c>
      <c r="B14" s="19">
        <v>0.71852000000000005</v>
      </c>
      <c r="C14" s="19">
        <v>0.69811999999999996</v>
      </c>
      <c r="D14" s="19">
        <v>0.63647000000000009</v>
      </c>
      <c r="E14" s="19">
        <v>0.61817000000000011</v>
      </c>
      <c r="F14" s="19">
        <v>0.65393000000000001</v>
      </c>
      <c r="G14" s="19">
        <v>0.59411000000000003</v>
      </c>
      <c r="H14" s="19">
        <v>0.65563000000000005</v>
      </c>
      <c r="I14" s="19">
        <v>0.71263999999999994</v>
      </c>
      <c r="J14" s="19">
        <v>0.68066000000000004</v>
      </c>
      <c r="K14" s="19">
        <v>0.68579000000000012</v>
      </c>
      <c r="L14" s="19">
        <v>0.71861999999999993</v>
      </c>
      <c r="M14" s="19">
        <v>0.67162999999999995</v>
      </c>
      <c r="N14" s="19">
        <v>0.71972999999999998</v>
      </c>
      <c r="O14" s="19">
        <v>0.66198000000000012</v>
      </c>
      <c r="P14" s="19">
        <v>0.62390000000000001</v>
      </c>
      <c r="Q14" s="19">
        <v>0.65856999999999999</v>
      </c>
      <c r="R14" s="19">
        <v>0.67016000000000009</v>
      </c>
      <c r="S14" s="19">
        <v>0.64087000000000005</v>
      </c>
      <c r="T14" s="19">
        <v>0.63781999999999994</v>
      </c>
      <c r="U14" s="19">
        <v>0.70861999999999992</v>
      </c>
      <c r="V14" s="19">
        <v>0.70641999999999994</v>
      </c>
      <c r="W14" s="19">
        <v>0.5895999999999999</v>
      </c>
      <c r="X14" s="19">
        <v>0.67944999999999989</v>
      </c>
      <c r="Y14" s="19">
        <v>0.63573999999999997</v>
      </c>
      <c r="Z14" s="19">
        <v>0.69225999999999999</v>
      </c>
      <c r="AA14" s="19">
        <v>0.72840000000000005</v>
      </c>
      <c r="AB14" s="19">
        <v>0.72742000000000007</v>
      </c>
      <c r="AC14" s="19">
        <v>0.62060999999999999</v>
      </c>
      <c r="AD14" s="19">
        <v>0.65942999999999996</v>
      </c>
      <c r="AE14" s="19">
        <v>0.67688000000000004</v>
      </c>
    </row>
    <row r="15" spans="1:31" s="19" customFormat="1" x14ac:dyDescent="0.45"/>
    <row r="16" spans="1:31" x14ac:dyDescent="0.45">
      <c r="A16" t="s">
        <v>0</v>
      </c>
      <c r="B16" s="31" t="s">
        <v>59</v>
      </c>
      <c r="C16" s="31" t="s">
        <v>59</v>
      </c>
      <c r="D16" s="31" t="s">
        <v>59</v>
      </c>
      <c r="E16" s="31" t="s">
        <v>59</v>
      </c>
      <c r="F16" s="31" t="s">
        <v>59</v>
      </c>
      <c r="G16" s="31" t="s">
        <v>59</v>
      </c>
      <c r="H16" s="31" t="s">
        <v>59</v>
      </c>
      <c r="I16" s="31" t="s">
        <v>59</v>
      </c>
      <c r="J16" s="31" t="s">
        <v>59</v>
      </c>
      <c r="K16" s="31" t="s">
        <v>59</v>
      </c>
      <c r="L16" s="31" t="s">
        <v>59</v>
      </c>
      <c r="M16" s="31" t="s">
        <v>59</v>
      </c>
      <c r="N16" s="31" t="s">
        <v>59</v>
      </c>
      <c r="O16" s="31" t="s">
        <v>59</v>
      </c>
      <c r="P16" s="31" t="s">
        <v>59</v>
      </c>
      <c r="Q16" s="31" t="s">
        <v>59</v>
      </c>
      <c r="R16" s="31" t="s">
        <v>59</v>
      </c>
      <c r="S16" s="31" t="s">
        <v>59</v>
      </c>
      <c r="T16" s="31" t="s">
        <v>59</v>
      </c>
      <c r="U16" s="31" t="s">
        <v>59</v>
      </c>
      <c r="V16" s="31" t="s">
        <v>59</v>
      </c>
      <c r="W16" s="31" t="s">
        <v>59</v>
      </c>
      <c r="X16" s="31" t="s">
        <v>59</v>
      </c>
      <c r="Y16" s="31" t="s">
        <v>59</v>
      </c>
      <c r="Z16" s="31" t="s">
        <v>59</v>
      </c>
      <c r="AA16" s="31" t="s">
        <v>59</v>
      </c>
      <c r="AB16" s="31" t="s">
        <v>59</v>
      </c>
      <c r="AC16" s="31" t="s">
        <v>59</v>
      </c>
      <c r="AD16" s="31" t="s">
        <v>59</v>
      </c>
      <c r="AE16" s="31" t="s">
        <v>59</v>
      </c>
    </row>
    <row r="17" spans="1:31" x14ac:dyDescent="0.45">
      <c r="A17" t="s">
        <v>337</v>
      </c>
      <c r="B17" s="19">
        <v>77</v>
      </c>
      <c r="C17" s="19">
        <v>57</v>
      </c>
      <c r="D17" s="19">
        <v>48</v>
      </c>
      <c r="E17" s="19">
        <v>73</v>
      </c>
      <c r="F17" s="19">
        <v>61</v>
      </c>
      <c r="G17" s="19">
        <v>51</v>
      </c>
      <c r="H17" s="19">
        <v>76</v>
      </c>
      <c r="I17" s="19">
        <v>76</v>
      </c>
      <c r="J17" s="19">
        <v>52</v>
      </c>
      <c r="K17" s="19">
        <v>50</v>
      </c>
      <c r="L17" s="19">
        <v>75</v>
      </c>
      <c r="M17" s="19">
        <v>61</v>
      </c>
      <c r="N17" s="19">
        <v>57</v>
      </c>
      <c r="O17" s="19">
        <v>76</v>
      </c>
      <c r="P17" s="19">
        <v>58</v>
      </c>
      <c r="Q17" s="19">
        <v>61</v>
      </c>
      <c r="R17" s="19">
        <v>65</v>
      </c>
      <c r="S17" s="19">
        <v>69</v>
      </c>
      <c r="T17" s="19">
        <v>79</v>
      </c>
      <c r="U17" s="19">
        <v>82</v>
      </c>
      <c r="V17" s="19">
        <v>55</v>
      </c>
      <c r="W17" s="19">
        <v>52</v>
      </c>
      <c r="X17" s="19">
        <v>54</v>
      </c>
      <c r="Y17" s="19">
        <v>75</v>
      </c>
      <c r="Z17" s="19">
        <v>57</v>
      </c>
      <c r="AA17" s="19">
        <v>78</v>
      </c>
      <c r="AB17" s="19">
        <v>79</v>
      </c>
      <c r="AC17" s="19">
        <v>73</v>
      </c>
      <c r="AD17" s="19">
        <v>58</v>
      </c>
      <c r="AE17" s="19">
        <v>67</v>
      </c>
    </row>
    <row r="18" spans="1:31" x14ac:dyDescent="0.45">
      <c r="A18" t="s">
        <v>339</v>
      </c>
      <c r="B18" s="19">
        <v>32</v>
      </c>
      <c r="C18" s="19">
        <v>32</v>
      </c>
      <c r="D18" s="19">
        <v>32</v>
      </c>
      <c r="E18" s="19">
        <v>43</v>
      </c>
      <c r="F18" s="19">
        <v>43</v>
      </c>
      <c r="G18" s="19">
        <v>43</v>
      </c>
      <c r="H18" s="19">
        <v>37</v>
      </c>
      <c r="I18" s="19">
        <v>37</v>
      </c>
      <c r="J18" s="19">
        <v>37</v>
      </c>
      <c r="K18" s="19">
        <v>48</v>
      </c>
      <c r="L18" s="19">
        <v>48</v>
      </c>
      <c r="M18" s="19">
        <v>48</v>
      </c>
      <c r="N18" s="19">
        <v>37</v>
      </c>
      <c r="O18" s="19">
        <v>37</v>
      </c>
      <c r="P18" s="19">
        <v>37</v>
      </c>
      <c r="Q18" s="19">
        <v>47</v>
      </c>
      <c r="R18" s="19">
        <v>47</v>
      </c>
      <c r="S18" s="19">
        <v>48</v>
      </c>
      <c r="T18" s="19">
        <v>37</v>
      </c>
      <c r="U18" s="19">
        <v>37</v>
      </c>
      <c r="V18" s="19">
        <v>37</v>
      </c>
      <c r="W18" s="19">
        <v>48</v>
      </c>
      <c r="X18" s="19">
        <v>47</v>
      </c>
      <c r="Y18" s="19">
        <v>48</v>
      </c>
      <c r="Z18" s="19">
        <v>37</v>
      </c>
      <c r="AA18" s="19">
        <v>37</v>
      </c>
      <c r="AB18" s="19">
        <v>37</v>
      </c>
      <c r="AC18" s="19">
        <v>48</v>
      </c>
      <c r="AD18" s="19">
        <v>48</v>
      </c>
      <c r="AE18" s="19">
        <v>47</v>
      </c>
    </row>
    <row r="19" spans="1:31" x14ac:dyDescent="0.45">
      <c r="A19" t="s">
        <v>340</v>
      </c>
      <c r="B19" s="19">
        <v>26.2</v>
      </c>
      <c r="C19" s="19">
        <v>25.8</v>
      </c>
      <c r="D19" s="19">
        <v>26.3</v>
      </c>
      <c r="E19" s="19">
        <v>26.3</v>
      </c>
      <c r="F19" s="19">
        <v>26.2</v>
      </c>
      <c r="G19" s="19">
        <v>26.2</v>
      </c>
      <c r="H19" s="19">
        <v>26.1</v>
      </c>
      <c r="I19" s="19">
        <v>25.6</v>
      </c>
      <c r="J19" s="19">
        <v>26.4</v>
      </c>
      <c r="K19" s="19">
        <v>28.3</v>
      </c>
      <c r="L19" s="19">
        <v>26.7</v>
      </c>
      <c r="M19" s="19">
        <v>26.2</v>
      </c>
      <c r="N19" s="19">
        <v>26.4</v>
      </c>
      <c r="O19" s="19">
        <v>26.4</v>
      </c>
      <c r="P19" s="19">
        <v>26.5</v>
      </c>
      <c r="Q19" s="19">
        <v>27.2</v>
      </c>
      <c r="R19" s="19">
        <v>27</v>
      </c>
      <c r="S19" s="19">
        <v>26.7</v>
      </c>
      <c r="T19" s="19">
        <v>26.6</v>
      </c>
      <c r="U19" s="19">
        <v>26.9</v>
      </c>
      <c r="V19" s="19">
        <v>26.6</v>
      </c>
      <c r="W19" s="19">
        <v>26.3</v>
      </c>
      <c r="X19" s="19">
        <v>26.2</v>
      </c>
      <c r="Y19" s="19">
        <v>26.2</v>
      </c>
      <c r="Z19" s="19">
        <v>25.7</v>
      </c>
      <c r="AA19" s="19">
        <v>26.7</v>
      </c>
      <c r="AB19" s="19">
        <v>28.8</v>
      </c>
      <c r="AC19" s="19">
        <v>26.5</v>
      </c>
      <c r="AD19" s="19">
        <v>26.4</v>
      </c>
      <c r="AE19" s="19">
        <v>26.5</v>
      </c>
    </row>
    <row r="20" spans="1:31" x14ac:dyDescent="0.45">
      <c r="A20" t="s">
        <v>338</v>
      </c>
      <c r="B20">
        <v>0.62121000000000004</v>
      </c>
      <c r="C20">
        <v>0.61817000000000011</v>
      </c>
      <c r="D20">
        <v>0.60865000000000002</v>
      </c>
      <c r="E20">
        <v>0.55610000000000004</v>
      </c>
      <c r="F20">
        <v>0.48778999999999995</v>
      </c>
      <c r="G20">
        <v>0.50719999999999998</v>
      </c>
      <c r="H20">
        <v>0.46509</v>
      </c>
      <c r="I20">
        <v>0.64087000000000005</v>
      </c>
      <c r="J20">
        <v>0.64539000000000002</v>
      </c>
      <c r="K20">
        <v>0.55688999999999989</v>
      </c>
      <c r="L20">
        <v>0.67784999999999995</v>
      </c>
      <c r="M20">
        <v>0.55737000000000003</v>
      </c>
      <c r="N20">
        <v>0.54565999999999992</v>
      </c>
      <c r="O20">
        <v>0.6551499999999999</v>
      </c>
      <c r="P20">
        <v>0.56810999999999989</v>
      </c>
      <c r="Q20">
        <v>0.55394999999999994</v>
      </c>
      <c r="R20">
        <v>0.57727000000000006</v>
      </c>
      <c r="S20">
        <v>0.54015999999999997</v>
      </c>
      <c r="T20">
        <v>0.60192999999999997</v>
      </c>
      <c r="U20">
        <v>0.62414000000000003</v>
      </c>
      <c r="V20">
        <v>0.57018000000000002</v>
      </c>
      <c r="W20">
        <v>0.50683</v>
      </c>
      <c r="X20">
        <v>0.44652999999999998</v>
      </c>
      <c r="Y20">
        <v>0.56420000000000003</v>
      </c>
      <c r="Z20">
        <v>0.59423000000000004</v>
      </c>
      <c r="AA20">
        <v>0.63269000000000009</v>
      </c>
      <c r="AB20">
        <v>0.62792999999999988</v>
      </c>
      <c r="AC20">
        <v>0.56652999999999998</v>
      </c>
      <c r="AD20">
        <v>0.48951000000000006</v>
      </c>
      <c r="AE20">
        <v>0.59655999999999998</v>
      </c>
    </row>
    <row r="22" spans="1:31" x14ac:dyDescent="0.45">
      <c r="A22" t="s">
        <v>0</v>
      </c>
      <c r="B22" s="31" t="s">
        <v>60</v>
      </c>
      <c r="C22" s="31" t="s">
        <v>60</v>
      </c>
      <c r="D22" s="31" t="s">
        <v>60</v>
      </c>
      <c r="E22" s="31" t="s">
        <v>60</v>
      </c>
      <c r="F22" s="31" t="s">
        <v>60</v>
      </c>
      <c r="G22" s="31" t="s">
        <v>60</v>
      </c>
      <c r="H22" s="31" t="s">
        <v>60</v>
      </c>
      <c r="I22" s="31" t="s">
        <v>60</v>
      </c>
      <c r="J22" s="31" t="s">
        <v>60</v>
      </c>
      <c r="K22" s="31" t="s">
        <v>60</v>
      </c>
      <c r="L22" s="31" t="s">
        <v>60</v>
      </c>
      <c r="M22" s="31" t="s">
        <v>60</v>
      </c>
      <c r="N22" s="31" t="s">
        <v>60</v>
      </c>
      <c r="O22" s="31" t="s">
        <v>60</v>
      </c>
      <c r="P22" s="31" t="s">
        <v>60</v>
      </c>
      <c r="Q22" s="31" t="s">
        <v>60</v>
      </c>
      <c r="R22" s="31" t="s">
        <v>60</v>
      </c>
      <c r="S22" s="31" t="s">
        <v>60</v>
      </c>
      <c r="T22" s="31" t="s">
        <v>60</v>
      </c>
      <c r="U22" s="31" t="s">
        <v>60</v>
      </c>
      <c r="V22" s="31" t="s">
        <v>60</v>
      </c>
      <c r="W22" s="31" t="s">
        <v>60</v>
      </c>
      <c r="X22" s="31" t="s">
        <v>60</v>
      </c>
      <c r="Y22" s="31" t="s">
        <v>60</v>
      </c>
      <c r="Z22" s="31" t="s">
        <v>60</v>
      </c>
      <c r="AA22" s="31" t="s">
        <v>60</v>
      </c>
      <c r="AB22" s="31" t="s">
        <v>60</v>
      </c>
      <c r="AC22" s="31" t="s">
        <v>60</v>
      </c>
      <c r="AD22" s="31" t="s">
        <v>60</v>
      </c>
      <c r="AE22" s="31" t="s">
        <v>60</v>
      </c>
    </row>
    <row r="23" spans="1:31" x14ac:dyDescent="0.45">
      <c r="A23" t="s">
        <v>337</v>
      </c>
      <c r="B23">
        <v>46</v>
      </c>
      <c r="C23">
        <v>39</v>
      </c>
      <c r="D23">
        <v>70</v>
      </c>
      <c r="E23">
        <v>45</v>
      </c>
      <c r="F23">
        <v>47</v>
      </c>
      <c r="G23">
        <v>64</v>
      </c>
      <c r="H23">
        <v>42</v>
      </c>
      <c r="I23">
        <v>37</v>
      </c>
      <c r="J23">
        <v>37</v>
      </c>
      <c r="K23">
        <v>56</v>
      </c>
      <c r="L23">
        <v>76</v>
      </c>
      <c r="M23">
        <v>43</v>
      </c>
      <c r="N23">
        <v>98</v>
      </c>
      <c r="O23">
        <v>89</v>
      </c>
      <c r="P23">
        <v>39</v>
      </c>
      <c r="Q23">
        <v>41</v>
      </c>
      <c r="R23">
        <v>41</v>
      </c>
      <c r="S23">
        <v>41</v>
      </c>
      <c r="T23">
        <v>42</v>
      </c>
      <c r="U23">
        <v>39</v>
      </c>
      <c r="V23">
        <v>98</v>
      </c>
      <c r="W23">
        <v>81</v>
      </c>
      <c r="X23">
        <v>90</v>
      </c>
      <c r="Y23">
        <v>64</v>
      </c>
      <c r="Z23">
        <v>36</v>
      </c>
      <c r="AA23">
        <v>86</v>
      </c>
      <c r="AB23">
        <v>47</v>
      </c>
      <c r="AC23">
        <v>41</v>
      </c>
      <c r="AD23">
        <v>75</v>
      </c>
      <c r="AE23">
        <v>45</v>
      </c>
    </row>
    <row r="24" spans="1:31" x14ac:dyDescent="0.45">
      <c r="A24" t="s">
        <v>339</v>
      </c>
      <c r="B24">
        <v>32</v>
      </c>
      <c r="C24">
        <v>32</v>
      </c>
      <c r="D24">
        <v>32</v>
      </c>
      <c r="E24">
        <v>42</v>
      </c>
      <c r="F24">
        <v>42</v>
      </c>
      <c r="G24">
        <v>44</v>
      </c>
      <c r="H24">
        <v>37</v>
      </c>
      <c r="I24">
        <v>37</v>
      </c>
      <c r="J24">
        <v>37</v>
      </c>
      <c r="K24">
        <v>48</v>
      </c>
      <c r="L24">
        <v>49</v>
      </c>
      <c r="M24">
        <v>47</v>
      </c>
      <c r="N24">
        <v>37</v>
      </c>
      <c r="O24">
        <v>37</v>
      </c>
      <c r="P24">
        <v>37</v>
      </c>
      <c r="Q24">
        <v>47</v>
      </c>
      <c r="R24">
        <v>47</v>
      </c>
      <c r="S24">
        <v>47</v>
      </c>
      <c r="T24">
        <v>37</v>
      </c>
      <c r="U24">
        <v>37</v>
      </c>
      <c r="V24">
        <v>37</v>
      </c>
      <c r="W24">
        <v>49</v>
      </c>
      <c r="X24">
        <v>49</v>
      </c>
      <c r="Y24">
        <v>49</v>
      </c>
      <c r="Z24">
        <v>37</v>
      </c>
      <c r="AA24">
        <v>37</v>
      </c>
      <c r="AB24">
        <v>37</v>
      </c>
      <c r="AC24">
        <v>47</v>
      </c>
      <c r="AD24">
        <v>48</v>
      </c>
      <c r="AE24">
        <v>47</v>
      </c>
    </row>
    <row r="25" spans="1:31" x14ac:dyDescent="0.45">
      <c r="A25" t="s">
        <v>340</v>
      </c>
      <c r="B25">
        <v>29.3</v>
      </c>
      <c r="C25">
        <v>29.6</v>
      </c>
      <c r="D25">
        <v>29.2</v>
      </c>
      <c r="E25">
        <v>29.3</v>
      </c>
      <c r="F25">
        <v>29.2</v>
      </c>
      <c r="G25">
        <v>29.9</v>
      </c>
      <c r="H25">
        <v>30</v>
      </c>
      <c r="I25">
        <v>29.2</v>
      </c>
      <c r="J25">
        <v>29.4</v>
      </c>
      <c r="K25">
        <v>29.4</v>
      </c>
      <c r="L25">
        <v>29.5</v>
      </c>
      <c r="M25">
        <v>29.3</v>
      </c>
      <c r="N25">
        <v>29.7</v>
      </c>
      <c r="O25">
        <v>29.5</v>
      </c>
      <c r="P25">
        <v>29.3</v>
      </c>
      <c r="Q25">
        <v>29.3</v>
      </c>
      <c r="R25">
        <v>30.1</v>
      </c>
      <c r="S25">
        <v>29.3</v>
      </c>
      <c r="T25">
        <v>29.5</v>
      </c>
      <c r="U25">
        <v>29.7</v>
      </c>
      <c r="V25">
        <v>29.3</v>
      </c>
      <c r="W25">
        <v>29.3</v>
      </c>
      <c r="X25">
        <v>29.3</v>
      </c>
      <c r="Y25">
        <v>29.7</v>
      </c>
      <c r="Z25">
        <v>29.4</v>
      </c>
      <c r="AA25">
        <v>29.6</v>
      </c>
      <c r="AB25">
        <v>29.9</v>
      </c>
      <c r="AC25">
        <v>30.2</v>
      </c>
      <c r="AD25">
        <v>29.7</v>
      </c>
      <c r="AE25">
        <v>30</v>
      </c>
    </row>
    <row r="26" spans="1:31" x14ac:dyDescent="0.45">
      <c r="A26" t="s">
        <v>338</v>
      </c>
      <c r="B26">
        <v>0.52807999999999988</v>
      </c>
      <c r="C26">
        <v>0.36523000000000005</v>
      </c>
      <c r="D26">
        <v>0.45972000000000002</v>
      </c>
      <c r="E26">
        <v>0.35779000000000005</v>
      </c>
      <c r="F26">
        <v>0.24755000000000002</v>
      </c>
      <c r="G26">
        <v>0.33849000000000001</v>
      </c>
      <c r="H26">
        <v>0.36963000000000001</v>
      </c>
      <c r="I26">
        <v>0.47997999999999996</v>
      </c>
      <c r="J26">
        <v>0.48816000000000004</v>
      </c>
      <c r="K26">
        <v>8.9969999999999994E-2</v>
      </c>
      <c r="L26">
        <v>0.43847000000000003</v>
      </c>
      <c r="M26">
        <v>0.26659999999999995</v>
      </c>
      <c r="N26">
        <v>0.50768999999999997</v>
      </c>
      <c r="O26">
        <v>0.49084000000000005</v>
      </c>
      <c r="P26">
        <v>0.41808999999999996</v>
      </c>
      <c r="Q26">
        <v>0.34558</v>
      </c>
      <c r="R26">
        <v>0.27209</v>
      </c>
      <c r="S26">
        <v>0.27466000000000002</v>
      </c>
      <c r="T26">
        <v>0.45057000000000003</v>
      </c>
      <c r="U26">
        <v>0.37706999999999996</v>
      </c>
      <c r="V26">
        <v>0.51819000000000004</v>
      </c>
      <c r="W26">
        <v>0.42932999999999999</v>
      </c>
      <c r="X26">
        <v>0.47802</v>
      </c>
      <c r="Y26">
        <v>0.4486</v>
      </c>
      <c r="Z26">
        <v>0.27685999999999999</v>
      </c>
      <c r="AA26">
        <v>0.49268000000000001</v>
      </c>
      <c r="AB26">
        <v>0.30688000000000004</v>
      </c>
      <c r="AC26">
        <v>0.40258999999999995</v>
      </c>
      <c r="AD26">
        <v>0.40745999999999993</v>
      </c>
      <c r="AE26">
        <v>0.37963999999999998</v>
      </c>
    </row>
    <row r="28" spans="1:31" x14ac:dyDescent="0.45">
      <c r="A28" t="s">
        <v>0</v>
      </c>
      <c r="B28" s="31" t="s">
        <v>73</v>
      </c>
      <c r="C28" s="31" t="s">
        <v>73</v>
      </c>
      <c r="D28" s="31" t="s">
        <v>73</v>
      </c>
      <c r="E28" s="31" t="s">
        <v>73</v>
      </c>
      <c r="F28" s="31" t="s">
        <v>73</v>
      </c>
      <c r="G28" s="31" t="s">
        <v>73</v>
      </c>
      <c r="H28" s="31" t="s">
        <v>73</v>
      </c>
      <c r="I28" s="31" t="s">
        <v>73</v>
      </c>
      <c r="J28" s="31" t="s">
        <v>73</v>
      </c>
      <c r="K28" s="31" t="s">
        <v>73</v>
      </c>
      <c r="L28" s="31" t="s">
        <v>73</v>
      </c>
      <c r="M28" s="31" t="s">
        <v>73</v>
      </c>
      <c r="N28" s="31" t="s">
        <v>73</v>
      </c>
      <c r="O28" s="31" t="s">
        <v>73</v>
      </c>
      <c r="P28" s="31" t="s">
        <v>73</v>
      </c>
      <c r="Q28" s="31" t="s">
        <v>73</v>
      </c>
      <c r="R28" s="31" t="s">
        <v>73</v>
      </c>
      <c r="S28" s="31" t="s">
        <v>73</v>
      </c>
      <c r="T28" s="31" t="s">
        <v>73</v>
      </c>
      <c r="U28" s="31" t="s">
        <v>73</v>
      </c>
      <c r="V28" s="31" t="s">
        <v>73</v>
      </c>
      <c r="W28" s="31" t="s">
        <v>73</v>
      </c>
      <c r="X28" s="31" t="s">
        <v>73</v>
      </c>
      <c r="Y28" s="31" t="s">
        <v>73</v>
      </c>
      <c r="Z28" s="31" t="s">
        <v>73</v>
      </c>
      <c r="AA28" s="31" t="s">
        <v>73</v>
      </c>
      <c r="AB28" s="31" t="s">
        <v>73</v>
      </c>
      <c r="AC28" s="31" t="s">
        <v>73</v>
      </c>
      <c r="AD28" s="31" t="s">
        <v>73</v>
      </c>
      <c r="AE28" s="31" t="s">
        <v>73</v>
      </c>
    </row>
    <row r="29" spans="1:31" x14ac:dyDescent="0.45">
      <c r="A29" t="s">
        <v>337</v>
      </c>
      <c r="B29">
        <v>60</v>
      </c>
      <c r="C29">
        <v>70</v>
      </c>
      <c r="D29">
        <v>68</v>
      </c>
      <c r="E29">
        <v>75</v>
      </c>
      <c r="F29">
        <v>70</v>
      </c>
      <c r="G29">
        <v>51</v>
      </c>
      <c r="H29">
        <v>85</v>
      </c>
      <c r="I29">
        <v>73</v>
      </c>
      <c r="J29">
        <v>78</v>
      </c>
      <c r="K29">
        <v>56</v>
      </c>
      <c r="L29">
        <v>56</v>
      </c>
      <c r="M29">
        <v>75</v>
      </c>
      <c r="N29">
        <v>57</v>
      </c>
      <c r="O29">
        <v>49</v>
      </c>
      <c r="P29">
        <v>49</v>
      </c>
      <c r="Q29">
        <v>56</v>
      </c>
      <c r="R29">
        <v>75</v>
      </c>
      <c r="S29">
        <v>69</v>
      </c>
      <c r="T29">
        <v>77</v>
      </c>
      <c r="U29">
        <v>76</v>
      </c>
      <c r="V29">
        <v>61</v>
      </c>
      <c r="W29">
        <v>51</v>
      </c>
      <c r="X29">
        <v>55</v>
      </c>
      <c r="Y29">
        <v>84</v>
      </c>
      <c r="Z29">
        <v>77</v>
      </c>
      <c r="AA29">
        <v>76</v>
      </c>
      <c r="AB29">
        <v>77</v>
      </c>
      <c r="AC29">
        <v>73</v>
      </c>
      <c r="AD29">
        <v>73</v>
      </c>
      <c r="AE29">
        <v>71</v>
      </c>
    </row>
    <row r="30" spans="1:31" x14ac:dyDescent="0.45">
      <c r="A30" t="s">
        <v>339</v>
      </c>
      <c r="B30">
        <v>32</v>
      </c>
      <c r="C30">
        <v>32</v>
      </c>
      <c r="D30">
        <v>32</v>
      </c>
      <c r="E30">
        <v>43</v>
      </c>
      <c r="F30">
        <v>42</v>
      </c>
      <c r="G30">
        <v>43</v>
      </c>
      <c r="H30">
        <v>37</v>
      </c>
      <c r="I30">
        <v>37</v>
      </c>
      <c r="J30">
        <v>37</v>
      </c>
      <c r="K30">
        <v>48</v>
      </c>
      <c r="L30">
        <v>48</v>
      </c>
      <c r="M30">
        <v>48</v>
      </c>
      <c r="N30">
        <v>37</v>
      </c>
      <c r="O30">
        <v>37</v>
      </c>
      <c r="P30">
        <v>37</v>
      </c>
      <c r="Q30">
        <v>47</v>
      </c>
      <c r="R30">
        <v>48</v>
      </c>
      <c r="S30">
        <v>48</v>
      </c>
      <c r="T30">
        <v>37</v>
      </c>
      <c r="U30">
        <v>37</v>
      </c>
      <c r="V30">
        <v>37</v>
      </c>
      <c r="W30">
        <v>48</v>
      </c>
      <c r="X30">
        <v>48</v>
      </c>
      <c r="Y30">
        <v>49</v>
      </c>
      <c r="Z30">
        <v>37</v>
      </c>
      <c r="AA30">
        <v>37</v>
      </c>
      <c r="AB30">
        <v>37</v>
      </c>
      <c r="AC30">
        <v>47</v>
      </c>
      <c r="AD30">
        <v>48</v>
      </c>
      <c r="AE30">
        <v>47</v>
      </c>
    </row>
    <row r="31" spans="1:31" x14ac:dyDescent="0.45">
      <c r="A31" t="s">
        <v>340</v>
      </c>
      <c r="B31">
        <v>26.2</v>
      </c>
      <c r="C31">
        <v>25.8</v>
      </c>
      <c r="D31">
        <v>26.7</v>
      </c>
      <c r="E31">
        <v>26.2</v>
      </c>
      <c r="F31">
        <v>26.5</v>
      </c>
      <c r="G31">
        <v>26.2</v>
      </c>
      <c r="H31">
        <v>26</v>
      </c>
      <c r="I31">
        <v>26.5</v>
      </c>
      <c r="J31">
        <v>27.4</v>
      </c>
      <c r="K31">
        <v>26.9</v>
      </c>
      <c r="L31">
        <v>26.9</v>
      </c>
      <c r="M31">
        <v>27.1</v>
      </c>
      <c r="N31">
        <v>26.5</v>
      </c>
      <c r="O31">
        <v>26.1</v>
      </c>
      <c r="P31">
        <v>26.2</v>
      </c>
      <c r="Q31">
        <v>26</v>
      </c>
      <c r="R31">
        <v>26.2</v>
      </c>
      <c r="S31">
        <v>26.1</v>
      </c>
      <c r="T31">
        <v>26.2</v>
      </c>
      <c r="U31">
        <v>26.8</v>
      </c>
      <c r="V31">
        <v>27.2</v>
      </c>
      <c r="W31">
        <v>27</v>
      </c>
      <c r="X31">
        <v>26.7</v>
      </c>
      <c r="Y31">
        <v>26.2</v>
      </c>
      <c r="Z31">
        <v>26.2</v>
      </c>
      <c r="AA31">
        <v>26</v>
      </c>
      <c r="AB31">
        <v>26.4</v>
      </c>
      <c r="AC31">
        <v>26.4</v>
      </c>
      <c r="AD31">
        <v>26.2</v>
      </c>
      <c r="AE31">
        <v>26.6</v>
      </c>
    </row>
    <row r="32" spans="1:31" x14ac:dyDescent="0.45">
      <c r="A32" t="s">
        <v>338</v>
      </c>
      <c r="B32">
        <v>0.62988</v>
      </c>
      <c r="C32">
        <v>0.69873999999999992</v>
      </c>
      <c r="D32">
        <v>0.63488</v>
      </c>
      <c r="E32">
        <v>0.63574000000000008</v>
      </c>
      <c r="F32">
        <v>0.61828000000000005</v>
      </c>
      <c r="G32">
        <v>0.42480999999999997</v>
      </c>
      <c r="H32">
        <v>0.70373999999999992</v>
      </c>
      <c r="I32">
        <v>0.67186999999999997</v>
      </c>
      <c r="J32">
        <v>0.75379000000000007</v>
      </c>
      <c r="K32">
        <v>0.6666200000000001</v>
      </c>
      <c r="L32">
        <v>0.60388000000000008</v>
      </c>
      <c r="M32">
        <v>0.67662999999999995</v>
      </c>
      <c r="N32">
        <v>0.6164599999999999</v>
      </c>
      <c r="O32">
        <v>0.62097000000000002</v>
      </c>
      <c r="P32">
        <v>0.6196299999999999</v>
      </c>
      <c r="Q32">
        <v>0.57495000000000007</v>
      </c>
      <c r="R32">
        <v>0.58960000000000001</v>
      </c>
      <c r="S32">
        <v>0.53808999999999996</v>
      </c>
      <c r="T32">
        <v>0.70909999999999995</v>
      </c>
      <c r="U32">
        <v>0.71545000000000003</v>
      </c>
      <c r="V32">
        <v>0.68847000000000014</v>
      </c>
      <c r="W32">
        <v>0.46582999999999997</v>
      </c>
      <c r="X32">
        <v>0.53125999999999995</v>
      </c>
      <c r="Y32">
        <v>0.70263999999999993</v>
      </c>
      <c r="Z32">
        <v>0.73962000000000006</v>
      </c>
      <c r="AA32">
        <v>0.70727000000000007</v>
      </c>
      <c r="AB32">
        <v>0.72277000000000002</v>
      </c>
      <c r="AC32">
        <v>0.61389000000000005</v>
      </c>
      <c r="AD32">
        <v>0.65587999999999991</v>
      </c>
      <c r="AE32">
        <v>0.72364000000000006</v>
      </c>
    </row>
    <row r="34" spans="1:31" x14ac:dyDescent="0.45">
      <c r="A34" t="s">
        <v>0</v>
      </c>
      <c r="B34" s="31" t="s">
        <v>293</v>
      </c>
      <c r="C34" s="31" t="s">
        <v>293</v>
      </c>
      <c r="D34" s="31" t="s">
        <v>293</v>
      </c>
      <c r="E34" s="31" t="s">
        <v>293</v>
      </c>
      <c r="F34" s="31" t="s">
        <v>293</v>
      </c>
      <c r="G34" s="31" t="s">
        <v>293</v>
      </c>
      <c r="H34" s="31" t="s">
        <v>293</v>
      </c>
      <c r="I34" s="31" t="s">
        <v>293</v>
      </c>
      <c r="J34" s="31" t="s">
        <v>293</v>
      </c>
      <c r="K34" s="31" t="s">
        <v>293</v>
      </c>
      <c r="L34" s="31" t="s">
        <v>293</v>
      </c>
      <c r="M34" s="31" t="s">
        <v>293</v>
      </c>
      <c r="N34" s="31" t="s">
        <v>293</v>
      </c>
      <c r="O34" s="31" t="s">
        <v>293</v>
      </c>
      <c r="P34" s="31" t="s">
        <v>293</v>
      </c>
      <c r="Q34" s="31" t="s">
        <v>293</v>
      </c>
      <c r="R34" s="31" t="s">
        <v>293</v>
      </c>
      <c r="S34" s="31" t="s">
        <v>293</v>
      </c>
      <c r="T34" s="31" t="s">
        <v>293</v>
      </c>
      <c r="U34" s="31" t="s">
        <v>293</v>
      </c>
      <c r="V34" s="31" t="s">
        <v>293</v>
      </c>
      <c r="W34" s="31" t="s">
        <v>293</v>
      </c>
      <c r="X34" s="31" t="s">
        <v>293</v>
      </c>
      <c r="Y34" s="31" t="s">
        <v>293</v>
      </c>
      <c r="Z34" s="31" t="s">
        <v>293</v>
      </c>
      <c r="AA34" s="31" t="s">
        <v>293</v>
      </c>
      <c r="AB34" s="31" t="s">
        <v>293</v>
      </c>
      <c r="AC34" s="31" t="s">
        <v>293</v>
      </c>
      <c r="AD34" s="31" t="s">
        <v>293</v>
      </c>
      <c r="AE34" s="31" t="s">
        <v>293</v>
      </c>
    </row>
    <row r="35" spans="1:31" x14ac:dyDescent="0.45">
      <c r="A35" t="s">
        <v>337</v>
      </c>
      <c r="B35">
        <v>79</v>
      </c>
      <c r="C35">
        <v>76</v>
      </c>
      <c r="D35">
        <v>44</v>
      </c>
      <c r="E35">
        <v>55</v>
      </c>
      <c r="F35">
        <v>54</v>
      </c>
      <c r="G35">
        <v>58</v>
      </c>
      <c r="H35">
        <v>70</v>
      </c>
      <c r="I35">
        <v>77</v>
      </c>
      <c r="J35">
        <v>73</v>
      </c>
      <c r="K35">
        <v>51</v>
      </c>
      <c r="L35">
        <v>51</v>
      </c>
      <c r="M35">
        <v>74</v>
      </c>
      <c r="N35">
        <v>67</v>
      </c>
      <c r="O35">
        <v>83</v>
      </c>
      <c r="P35">
        <v>55</v>
      </c>
      <c r="Q35">
        <v>51</v>
      </c>
      <c r="R35">
        <v>54</v>
      </c>
      <c r="S35">
        <v>75</v>
      </c>
      <c r="T35">
        <v>77</v>
      </c>
      <c r="U35">
        <v>70</v>
      </c>
      <c r="V35">
        <v>77</v>
      </c>
      <c r="W35">
        <v>50</v>
      </c>
      <c r="X35">
        <v>75</v>
      </c>
      <c r="Y35">
        <v>67</v>
      </c>
      <c r="Z35">
        <v>79</v>
      </c>
      <c r="AA35">
        <v>82</v>
      </c>
      <c r="AB35">
        <v>43</v>
      </c>
      <c r="AC35">
        <v>57</v>
      </c>
      <c r="AD35">
        <v>73</v>
      </c>
      <c r="AE35">
        <v>75</v>
      </c>
    </row>
    <row r="36" spans="1:31" x14ac:dyDescent="0.45">
      <c r="A36" t="s">
        <v>339</v>
      </c>
      <c r="B36">
        <v>32</v>
      </c>
      <c r="C36">
        <v>32</v>
      </c>
      <c r="D36">
        <v>32</v>
      </c>
      <c r="E36">
        <v>43</v>
      </c>
      <c r="F36">
        <v>43</v>
      </c>
      <c r="G36">
        <v>43</v>
      </c>
      <c r="H36">
        <v>37</v>
      </c>
      <c r="I36">
        <v>37</v>
      </c>
      <c r="J36">
        <v>37</v>
      </c>
      <c r="K36">
        <v>48</v>
      </c>
      <c r="L36">
        <v>48</v>
      </c>
      <c r="M36">
        <v>48</v>
      </c>
      <c r="N36">
        <v>37</v>
      </c>
      <c r="O36">
        <v>37</v>
      </c>
      <c r="P36">
        <v>37</v>
      </c>
      <c r="Q36">
        <v>48</v>
      </c>
      <c r="R36">
        <v>48</v>
      </c>
      <c r="S36">
        <v>48</v>
      </c>
      <c r="T36">
        <v>37</v>
      </c>
      <c r="U36">
        <v>37</v>
      </c>
      <c r="V36">
        <v>37</v>
      </c>
      <c r="W36">
        <v>48</v>
      </c>
      <c r="X36">
        <v>48</v>
      </c>
      <c r="Y36">
        <v>48</v>
      </c>
      <c r="Z36">
        <v>37</v>
      </c>
      <c r="AA36">
        <v>37</v>
      </c>
      <c r="AB36">
        <v>37</v>
      </c>
      <c r="AC36">
        <v>48</v>
      </c>
      <c r="AD36">
        <v>47</v>
      </c>
      <c r="AE36">
        <v>48</v>
      </c>
    </row>
    <row r="37" spans="1:31" x14ac:dyDescent="0.45">
      <c r="A37" t="s">
        <v>340</v>
      </c>
      <c r="B37">
        <v>24.7</v>
      </c>
      <c r="C37">
        <v>24.9</v>
      </c>
      <c r="D37">
        <v>24.6</v>
      </c>
      <c r="E37">
        <v>24.6</v>
      </c>
      <c r="F37">
        <v>24.7</v>
      </c>
      <c r="G37">
        <v>24.4</v>
      </c>
      <c r="H37">
        <v>24.5</v>
      </c>
      <c r="I37">
        <v>24.7</v>
      </c>
      <c r="J37">
        <v>24.3</v>
      </c>
      <c r="K37">
        <v>24.3</v>
      </c>
      <c r="L37">
        <v>24.6</v>
      </c>
      <c r="M37">
        <v>24.7</v>
      </c>
      <c r="N37">
        <v>24.7</v>
      </c>
      <c r="O37">
        <v>24.3</v>
      </c>
      <c r="P37">
        <v>24.6</v>
      </c>
      <c r="Q37">
        <v>24.5</v>
      </c>
      <c r="R37">
        <v>24.4</v>
      </c>
      <c r="S37">
        <v>24.6</v>
      </c>
      <c r="T37">
        <v>24.5</v>
      </c>
      <c r="U37">
        <v>24.8</v>
      </c>
      <c r="V37">
        <v>24.5</v>
      </c>
      <c r="W37">
        <v>24.7</v>
      </c>
      <c r="X37">
        <v>24.3</v>
      </c>
      <c r="Y37">
        <v>24.4</v>
      </c>
      <c r="Z37">
        <v>24.5</v>
      </c>
      <c r="AA37">
        <v>24.6</v>
      </c>
      <c r="AB37">
        <v>24.5</v>
      </c>
      <c r="AC37">
        <v>24.4</v>
      </c>
      <c r="AD37">
        <v>24.6</v>
      </c>
      <c r="AE37">
        <v>24.9</v>
      </c>
    </row>
    <row r="38" spans="1:31" x14ac:dyDescent="0.45">
      <c r="A38" t="s">
        <v>338</v>
      </c>
      <c r="B38">
        <v>0.62146000000000001</v>
      </c>
      <c r="C38">
        <v>0.66332999999999998</v>
      </c>
      <c r="D38">
        <v>0.52661000000000002</v>
      </c>
      <c r="E38">
        <v>0.50341999999999998</v>
      </c>
      <c r="F38">
        <v>0.46521000000000001</v>
      </c>
      <c r="G38">
        <v>0.44519000000000003</v>
      </c>
      <c r="H38">
        <v>0.64563000000000004</v>
      </c>
      <c r="I38">
        <v>0.66406999999999994</v>
      </c>
      <c r="J38">
        <v>0.66150000000000009</v>
      </c>
      <c r="K38">
        <v>0.5103700000000001</v>
      </c>
      <c r="L38">
        <v>0.53198999999999996</v>
      </c>
      <c r="M38">
        <v>0.66540999999999995</v>
      </c>
      <c r="N38">
        <v>0.55139000000000005</v>
      </c>
      <c r="O38">
        <v>0.67968999999999991</v>
      </c>
      <c r="P38">
        <v>0.59900999999999993</v>
      </c>
      <c r="Q38">
        <v>0.47558</v>
      </c>
      <c r="R38">
        <v>0.47606999999999999</v>
      </c>
      <c r="S38">
        <v>0.58545000000000003</v>
      </c>
      <c r="T38">
        <v>0.61182000000000003</v>
      </c>
      <c r="U38">
        <v>0.61487000000000003</v>
      </c>
      <c r="V38">
        <v>0.63</v>
      </c>
      <c r="W38">
        <v>0.48536000000000001</v>
      </c>
      <c r="X38">
        <v>0.59704999999999997</v>
      </c>
      <c r="Y38">
        <v>0.51270000000000004</v>
      </c>
      <c r="Z38">
        <v>0.66126000000000007</v>
      </c>
      <c r="AA38">
        <v>0.65759000000000001</v>
      </c>
      <c r="AB38">
        <v>0.51085999999999998</v>
      </c>
      <c r="AC38">
        <v>0.51136000000000004</v>
      </c>
      <c r="AD38">
        <v>0.60350999999999999</v>
      </c>
      <c r="AE38">
        <v>0.58118000000000003</v>
      </c>
    </row>
    <row r="40" spans="1:31" x14ac:dyDescent="0.45">
      <c r="A40" t="s">
        <v>0</v>
      </c>
      <c r="B40" s="31" t="s">
        <v>213</v>
      </c>
      <c r="C40" s="31" t="s">
        <v>213</v>
      </c>
      <c r="D40" s="31" t="s">
        <v>213</v>
      </c>
      <c r="E40" s="31" t="s">
        <v>213</v>
      </c>
      <c r="F40" s="31" t="s">
        <v>213</v>
      </c>
      <c r="G40" s="31" t="s">
        <v>213</v>
      </c>
      <c r="H40" s="31" t="s">
        <v>213</v>
      </c>
      <c r="I40" s="31" t="s">
        <v>213</v>
      </c>
      <c r="J40" s="31" t="s">
        <v>213</v>
      </c>
      <c r="K40" s="31" t="s">
        <v>213</v>
      </c>
      <c r="L40" s="31" t="s">
        <v>213</v>
      </c>
      <c r="M40" s="31" t="s">
        <v>213</v>
      </c>
      <c r="N40" s="31" t="s">
        <v>213</v>
      </c>
      <c r="O40" s="31" t="s">
        <v>213</v>
      </c>
      <c r="P40" s="31" t="s">
        <v>213</v>
      </c>
      <c r="Q40" s="31" t="s">
        <v>213</v>
      </c>
      <c r="R40" s="31" t="s">
        <v>213</v>
      </c>
      <c r="S40" s="31" t="s">
        <v>213</v>
      </c>
      <c r="T40" s="31" t="s">
        <v>213</v>
      </c>
      <c r="U40" s="31" t="s">
        <v>213</v>
      </c>
      <c r="V40" s="31" t="s">
        <v>213</v>
      </c>
      <c r="W40" s="31" t="s">
        <v>213</v>
      </c>
      <c r="X40" s="31" t="s">
        <v>213</v>
      </c>
      <c r="Y40" s="31" t="s">
        <v>213</v>
      </c>
      <c r="Z40" s="31" t="s">
        <v>213</v>
      </c>
      <c r="AA40" s="31" t="s">
        <v>213</v>
      </c>
      <c r="AB40" s="31" t="s">
        <v>213</v>
      </c>
      <c r="AC40" s="31" t="s">
        <v>213</v>
      </c>
      <c r="AD40" s="31" t="s">
        <v>213</v>
      </c>
      <c r="AE40" s="31" t="s">
        <v>213</v>
      </c>
    </row>
    <row r="41" spans="1:31" x14ac:dyDescent="0.45">
      <c r="A41" t="s">
        <v>337</v>
      </c>
      <c r="B41">
        <v>61</v>
      </c>
      <c r="C41">
        <v>70</v>
      </c>
      <c r="D41">
        <v>77</v>
      </c>
      <c r="E41">
        <v>53</v>
      </c>
      <c r="F41">
        <v>79</v>
      </c>
      <c r="G41">
        <v>66</v>
      </c>
      <c r="H41">
        <v>78</v>
      </c>
      <c r="I41">
        <v>57</v>
      </c>
      <c r="J41">
        <v>76</v>
      </c>
      <c r="K41">
        <v>73</v>
      </c>
      <c r="L41">
        <v>56</v>
      </c>
      <c r="M41">
        <v>65</v>
      </c>
      <c r="N41">
        <v>70</v>
      </c>
      <c r="O41">
        <v>57</v>
      </c>
      <c r="P41">
        <v>70</v>
      </c>
      <c r="Q41">
        <v>75</v>
      </c>
      <c r="R41">
        <v>73</v>
      </c>
      <c r="S41">
        <v>66</v>
      </c>
      <c r="T41">
        <v>79</v>
      </c>
      <c r="U41">
        <v>55</v>
      </c>
      <c r="V41">
        <v>84</v>
      </c>
      <c r="W41">
        <v>59</v>
      </c>
      <c r="X41">
        <v>54</v>
      </c>
      <c r="Y41">
        <v>73</v>
      </c>
      <c r="Z41">
        <v>76</v>
      </c>
      <c r="AA41">
        <v>57</v>
      </c>
      <c r="AB41">
        <v>55</v>
      </c>
      <c r="AC41">
        <v>72</v>
      </c>
      <c r="AD41">
        <v>56</v>
      </c>
      <c r="AE41">
        <v>74</v>
      </c>
    </row>
    <row r="42" spans="1:31" x14ac:dyDescent="0.45">
      <c r="A42" t="s">
        <v>339</v>
      </c>
      <c r="B42">
        <v>32</v>
      </c>
      <c r="C42">
        <v>32</v>
      </c>
      <c r="D42">
        <v>32</v>
      </c>
      <c r="E42">
        <v>44</v>
      </c>
      <c r="F42">
        <v>44</v>
      </c>
      <c r="G42">
        <v>42</v>
      </c>
      <c r="H42">
        <v>37</v>
      </c>
      <c r="I42">
        <v>37</v>
      </c>
      <c r="J42">
        <v>37</v>
      </c>
      <c r="K42">
        <v>47</v>
      </c>
      <c r="L42">
        <v>48</v>
      </c>
      <c r="M42">
        <v>47</v>
      </c>
      <c r="N42">
        <v>37</v>
      </c>
      <c r="O42">
        <v>37</v>
      </c>
      <c r="P42">
        <v>37</v>
      </c>
      <c r="Q42">
        <v>48</v>
      </c>
      <c r="R42">
        <v>47</v>
      </c>
      <c r="S42">
        <v>47</v>
      </c>
      <c r="T42">
        <v>37</v>
      </c>
      <c r="U42">
        <v>37</v>
      </c>
      <c r="V42">
        <v>37</v>
      </c>
      <c r="W42">
        <v>47</v>
      </c>
      <c r="X42">
        <v>48</v>
      </c>
      <c r="Y42">
        <v>48</v>
      </c>
      <c r="Z42">
        <v>37</v>
      </c>
      <c r="AA42">
        <v>37</v>
      </c>
      <c r="AB42">
        <v>37</v>
      </c>
      <c r="AC42">
        <v>48</v>
      </c>
      <c r="AD42">
        <v>48</v>
      </c>
      <c r="AE42">
        <v>47</v>
      </c>
    </row>
    <row r="43" spans="1:31" x14ac:dyDescent="0.45">
      <c r="A43" t="s">
        <v>340</v>
      </c>
      <c r="B43">
        <v>27</v>
      </c>
      <c r="C43">
        <v>27</v>
      </c>
      <c r="D43">
        <v>27.5</v>
      </c>
      <c r="E43">
        <v>27.7</v>
      </c>
      <c r="F43">
        <v>28.9</v>
      </c>
      <c r="G43">
        <v>29.1</v>
      </c>
      <c r="H43">
        <v>28.8</v>
      </c>
      <c r="I43">
        <v>29.1</v>
      </c>
      <c r="J43">
        <v>26.8</v>
      </c>
      <c r="K43">
        <v>26.8</v>
      </c>
      <c r="L43">
        <v>27.5</v>
      </c>
      <c r="M43">
        <v>27.9</v>
      </c>
      <c r="N43">
        <v>29.9</v>
      </c>
      <c r="O43">
        <v>26.7</v>
      </c>
      <c r="P43">
        <v>25.8</v>
      </c>
      <c r="Q43">
        <v>26</v>
      </c>
      <c r="R43">
        <v>26.1</v>
      </c>
      <c r="S43">
        <v>27.6</v>
      </c>
      <c r="T43">
        <v>27.9</v>
      </c>
      <c r="U43">
        <v>29.2</v>
      </c>
      <c r="V43">
        <v>26.2</v>
      </c>
      <c r="W43">
        <v>26.3</v>
      </c>
      <c r="X43">
        <v>26.8</v>
      </c>
      <c r="Y43">
        <v>27.2</v>
      </c>
      <c r="Z43">
        <v>27.4</v>
      </c>
      <c r="AA43">
        <v>26</v>
      </c>
      <c r="AB43">
        <v>29.5</v>
      </c>
      <c r="AC43">
        <v>28.8</v>
      </c>
      <c r="AD43">
        <v>28.5</v>
      </c>
      <c r="AE43">
        <v>26</v>
      </c>
    </row>
    <row r="44" spans="1:31" x14ac:dyDescent="0.45">
      <c r="A44" t="s">
        <v>338</v>
      </c>
      <c r="B44">
        <v>0.63611000000000006</v>
      </c>
      <c r="C44">
        <v>0.61572000000000005</v>
      </c>
      <c r="D44">
        <v>0.69323000000000012</v>
      </c>
      <c r="E44">
        <v>0.49804999999999999</v>
      </c>
      <c r="F44">
        <v>0.64807000000000003</v>
      </c>
      <c r="G44">
        <v>0.61621000000000004</v>
      </c>
      <c r="H44">
        <v>0.65844999999999998</v>
      </c>
      <c r="I44">
        <v>0.71862999999999999</v>
      </c>
      <c r="J44">
        <v>0.67787000000000008</v>
      </c>
      <c r="K44">
        <v>0.66564999999999996</v>
      </c>
      <c r="L44">
        <v>0.62451000000000012</v>
      </c>
      <c r="M44">
        <v>0.71521000000000001</v>
      </c>
      <c r="N44">
        <v>0.60021999999999998</v>
      </c>
      <c r="O44">
        <v>0.61547000000000007</v>
      </c>
      <c r="P44">
        <v>0.60949000000000009</v>
      </c>
      <c r="Q44">
        <v>0.58582000000000012</v>
      </c>
      <c r="R44">
        <v>0.59495999999999993</v>
      </c>
      <c r="S44">
        <v>0.57995000000000008</v>
      </c>
      <c r="T44">
        <v>0.64734999999999998</v>
      </c>
      <c r="U44">
        <v>0.6458799999999999</v>
      </c>
      <c r="V44">
        <v>0.52673000000000003</v>
      </c>
      <c r="W44">
        <v>0.50977000000000006</v>
      </c>
      <c r="X44">
        <v>0.50977000000000006</v>
      </c>
      <c r="Y44">
        <v>0.63977000000000006</v>
      </c>
      <c r="Z44">
        <v>0.65465999999999991</v>
      </c>
      <c r="AA44">
        <v>0.58776000000000006</v>
      </c>
      <c r="AB44">
        <v>0.58055999999999996</v>
      </c>
      <c r="AC44">
        <v>0.61485999999999996</v>
      </c>
      <c r="AD44">
        <v>0.46703000000000006</v>
      </c>
      <c r="AE44">
        <v>0.68432000000000004</v>
      </c>
    </row>
    <row r="46" spans="1:31" x14ac:dyDescent="0.45">
      <c r="A46" t="s">
        <v>0</v>
      </c>
      <c r="B46" s="31" t="s">
        <v>245</v>
      </c>
      <c r="C46" s="31" t="s">
        <v>245</v>
      </c>
      <c r="D46" s="31" t="s">
        <v>245</v>
      </c>
      <c r="E46" s="31" t="s">
        <v>245</v>
      </c>
      <c r="F46" s="31" t="s">
        <v>245</v>
      </c>
      <c r="G46" s="31" t="s">
        <v>245</v>
      </c>
      <c r="H46" s="31" t="s">
        <v>245</v>
      </c>
      <c r="I46" s="31" t="s">
        <v>245</v>
      </c>
      <c r="J46" s="31" t="s">
        <v>245</v>
      </c>
      <c r="K46" s="31" t="s">
        <v>245</v>
      </c>
      <c r="L46" s="31" t="s">
        <v>245</v>
      </c>
      <c r="M46" s="31" t="s">
        <v>245</v>
      </c>
      <c r="N46" s="31" t="s">
        <v>245</v>
      </c>
      <c r="O46" s="31" t="s">
        <v>245</v>
      </c>
      <c r="P46" s="31" t="s">
        <v>245</v>
      </c>
      <c r="Q46" s="31" t="s">
        <v>245</v>
      </c>
      <c r="R46" s="31" t="s">
        <v>245</v>
      </c>
      <c r="S46" s="31" t="s">
        <v>245</v>
      </c>
      <c r="T46" s="31" t="s">
        <v>245</v>
      </c>
      <c r="U46" s="31" t="s">
        <v>245</v>
      </c>
      <c r="V46" s="31" t="s">
        <v>245</v>
      </c>
      <c r="W46" s="31" t="s">
        <v>245</v>
      </c>
      <c r="X46" s="31" t="s">
        <v>245</v>
      </c>
      <c r="Y46" s="31" t="s">
        <v>245</v>
      </c>
      <c r="Z46" s="31" t="s">
        <v>245</v>
      </c>
      <c r="AA46" s="31" t="s">
        <v>245</v>
      </c>
      <c r="AB46" s="31" t="s">
        <v>245</v>
      </c>
      <c r="AC46" s="31" t="s">
        <v>245</v>
      </c>
      <c r="AD46" s="31" t="s">
        <v>245</v>
      </c>
      <c r="AE46" s="31" t="s">
        <v>245</v>
      </c>
    </row>
    <row r="47" spans="1:31" x14ac:dyDescent="0.45">
      <c r="A47" t="s">
        <v>337</v>
      </c>
      <c r="B47">
        <v>70</v>
      </c>
      <c r="C47">
        <v>70</v>
      </c>
      <c r="D47">
        <v>75</v>
      </c>
      <c r="E47">
        <v>54</v>
      </c>
      <c r="F47">
        <v>76</v>
      </c>
      <c r="G47">
        <v>74</v>
      </c>
      <c r="H47">
        <v>76</v>
      </c>
      <c r="I47">
        <v>58</v>
      </c>
      <c r="J47">
        <v>76</v>
      </c>
      <c r="K47">
        <v>54</v>
      </c>
      <c r="L47">
        <v>75</v>
      </c>
      <c r="M47">
        <v>84</v>
      </c>
      <c r="N47">
        <v>55</v>
      </c>
      <c r="O47">
        <v>76</v>
      </c>
      <c r="P47">
        <v>61</v>
      </c>
      <c r="Q47">
        <v>70</v>
      </c>
      <c r="R47">
        <v>74</v>
      </c>
      <c r="S47">
        <v>56</v>
      </c>
      <c r="T47">
        <v>79</v>
      </c>
      <c r="U47">
        <v>76</v>
      </c>
      <c r="V47">
        <v>67</v>
      </c>
      <c r="W47">
        <v>66</v>
      </c>
      <c r="X47">
        <v>74</v>
      </c>
      <c r="Y47">
        <v>74</v>
      </c>
      <c r="Z47">
        <v>61</v>
      </c>
      <c r="AA47">
        <v>63</v>
      </c>
      <c r="AB47">
        <v>63</v>
      </c>
      <c r="AC47">
        <v>71</v>
      </c>
      <c r="AD47">
        <v>84</v>
      </c>
      <c r="AE47">
        <v>61</v>
      </c>
    </row>
    <row r="48" spans="1:31" x14ac:dyDescent="0.45">
      <c r="A48" t="s">
        <v>339</v>
      </c>
      <c r="B48">
        <v>32</v>
      </c>
      <c r="C48">
        <v>32</v>
      </c>
      <c r="D48">
        <v>32</v>
      </c>
      <c r="E48">
        <v>43</v>
      </c>
      <c r="F48">
        <v>43</v>
      </c>
      <c r="G48">
        <v>43</v>
      </c>
      <c r="H48">
        <v>37</v>
      </c>
      <c r="I48">
        <v>37</v>
      </c>
      <c r="J48">
        <v>37</v>
      </c>
      <c r="K48">
        <v>48</v>
      </c>
      <c r="L48">
        <v>48</v>
      </c>
      <c r="M48">
        <v>49</v>
      </c>
      <c r="N48">
        <v>37</v>
      </c>
      <c r="O48">
        <v>37</v>
      </c>
      <c r="P48">
        <v>37</v>
      </c>
      <c r="Q48">
        <v>47</v>
      </c>
      <c r="R48">
        <v>48</v>
      </c>
      <c r="S48">
        <v>48</v>
      </c>
      <c r="T48">
        <v>37</v>
      </c>
      <c r="U48">
        <v>37</v>
      </c>
      <c r="V48">
        <v>37</v>
      </c>
      <c r="W48">
        <v>47</v>
      </c>
      <c r="X48">
        <v>48</v>
      </c>
      <c r="Y48">
        <v>48</v>
      </c>
      <c r="Z48">
        <v>37</v>
      </c>
      <c r="AA48">
        <v>37</v>
      </c>
      <c r="AB48">
        <v>37</v>
      </c>
      <c r="AC48">
        <v>47</v>
      </c>
      <c r="AD48">
        <v>49</v>
      </c>
      <c r="AE48">
        <v>48</v>
      </c>
    </row>
    <row r="49" spans="1:31" x14ac:dyDescent="0.45">
      <c r="A49" t="s">
        <v>340</v>
      </c>
      <c r="B49">
        <v>26.5</v>
      </c>
      <c r="C49">
        <v>26.6</v>
      </c>
      <c r="D49">
        <v>26.4</v>
      </c>
      <c r="E49">
        <v>26.6</v>
      </c>
      <c r="F49">
        <v>26.7</v>
      </c>
      <c r="G49">
        <v>26.4</v>
      </c>
      <c r="H49">
        <v>28</v>
      </c>
      <c r="I49">
        <v>27.3</v>
      </c>
      <c r="J49">
        <v>27.6</v>
      </c>
      <c r="K49">
        <v>27.5</v>
      </c>
      <c r="L49">
        <v>27.6</v>
      </c>
      <c r="M49">
        <v>27.7</v>
      </c>
      <c r="N49">
        <v>27.3</v>
      </c>
      <c r="O49">
        <v>27.4</v>
      </c>
      <c r="P49">
        <v>28.1</v>
      </c>
      <c r="Q49">
        <v>26.5</v>
      </c>
      <c r="R49">
        <v>26.8</v>
      </c>
      <c r="S49">
        <v>27</v>
      </c>
      <c r="T49">
        <v>27.3</v>
      </c>
      <c r="U49">
        <v>27.6</v>
      </c>
      <c r="V49">
        <v>27.5</v>
      </c>
      <c r="W49">
        <v>27.7</v>
      </c>
      <c r="X49">
        <v>27.1</v>
      </c>
      <c r="Y49">
        <v>27.3</v>
      </c>
      <c r="Z49">
        <v>26.8</v>
      </c>
      <c r="AA49">
        <v>26.6</v>
      </c>
      <c r="AB49">
        <v>26.2</v>
      </c>
      <c r="AC49">
        <v>28.5</v>
      </c>
      <c r="AD49">
        <v>28.5</v>
      </c>
      <c r="AE49">
        <v>28.5</v>
      </c>
    </row>
    <row r="50" spans="1:31" x14ac:dyDescent="0.45">
      <c r="A50" t="s">
        <v>338</v>
      </c>
      <c r="B50">
        <v>0.67883000000000004</v>
      </c>
      <c r="C50">
        <v>0.70667000000000002</v>
      </c>
      <c r="D50">
        <v>0.70787999999999995</v>
      </c>
      <c r="E50">
        <v>0.67150999999999994</v>
      </c>
      <c r="F50">
        <v>0.68897000000000008</v>
      </c>
      <c r="G50">
        <v>0.68115000000000014</v>
      </c>
      <c r="H50">
        <v>0.72790999999999995</v>
      </c>
      <c r="I50">
        <v>0.71289000000000002</v>
      </c>
      <c r="J50">
        <v>0.77649000000000001</v>
      </c>
      <c r="K50">
        <v>0.66919000000000006</v>
      </c>
      <c r="L50">
        <v>0.72448999999999997</v>
      </c>
      <c r="M50">
        <v>0.74365999999999999</v>
      </c>
      <c r="N50">
        <v>0.73253999999999986</v>
      </c>
      <c r="O50">
        <v>0.7434099999999999</v>
      </c>
      <c r="P50">
        <v>0.71935999999999989</v>
      </c>
      <c r="Q50">
        <v>0.71997</v>
      </c>
      <c r="R50">
        <v>0.67956000000000005</v>
      </c>
      <c r="S50">
        <v>0.64013999999999993</v>
      </c>
      <c r="T50">
        <v>0.72620000000000007</v>
      </c>
      <c r="U50">
        <v>0.73790999999999995</v>
      </c>
      <c r="V50">
        <v>0.59753000000000012</v>
      </c>
      <c r="W50">
        <v>0.65490999999999999</v>
      </c>
      <c r="X50">
        <v>0.67774000000000001</v>
      </c>
      <c r="Y50">
        <v>0.68225000000000013</v>
      </c>
      <c r="Z50">
        <v>0.71728999999999998</v>
      </c>
      <c r="AA50">
        <v>0.6916500000000001</v>
      </c>
      <c r="AB50">
        <v>0.6855500000000001</v>
      </c>
      <c r="AC50">
        <v>0.71105999999999991</v>
      </c>
      <c r="AD50">
        <v>0.69677999999999995</v>
      </c>
      <c r="AE50">
        <v>0.69542999999999988</v>
      </c>
    </row>
    <row r="53" spans="1:31" ht="27.75" customHeight="1" x14ac:dyDescent="0.45"/>
  </sheetData>
  <phoneticPr fontId="9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EA4C-B519-44AA-BBB5-EB4098DFF7C7}">
  <dimension ref="A1:AE25"/>
  <sheetViews>
    <sheetView topLeftCell="P1" workbookViewId="0">
      <selection activeCell="B24" sqref="B24:AE24"/>
    </sheetView>
  </sheetViews>
  <sheetFormatPr defaultRowHeight="14.25" x14ac:dyDescent="0.45"/>
  <sheetData>
    <row r="1" spans="1:31" x14ac:dyDescent="0.45">
      <c r="A1" s="2" t="s">
        <v>311</v>
      </c>
    </row>
    <row r="3" spans="1:31" x14ac:dyDescent="0.45">
      <c r="A3" t="s">
        <v>7</v>
      </c>
      <c r="B3" s="19">
        <f>'5qubits'!C8</f>
        <v>32</v>
      </c>
      <c r="C3" s="19">
        <f>'5qubits'!D8</f>
        <v>32</v>
      </c>
      <c r="D3" s="19">
        <f>'5qubits'!E8</f>
        <v>32</v>
      </c>
      <c r="E3" s="19">
        <f>'5qubits'!F8</f>
        <v>42</v>
      </c>
      <c r="F3" s="19">
        <f>'5qubits'!G8</f>
        <v>42</v>
      </c>
      <c r="G3" s="19">
        <f>'5qubits'!H8</f>
        <v>42</v>
      </c>
      <c r="H3" s="19">
        <f>'5qubits'!I8</f>
        <v>37</v>
      </c>
      <c r="I3" s="19">
        <f>'5qubits'!J8</f>
        <v>37</v>
      </c>
      <c r="J3" s="19">
        <f>'5qubits'!K8</f>
        <v>37</v>
      </c>
      <c r="K3" s="19">
        <f>'5qubits'!L8</f>
        <v>47</v>
      </c>
      <c r="L3" s="19">
        <f>'5qubits'!M8</f>
        <v>47</v>
      </c>
      <c r="M3" s="19">
        <f>'5qubits'!N8</f>
        <v>47</v>
      </c>
      <c r="N3" s="19">
        <f>'5qubits'!O8</f>
        <v>37</v>
      </c>
      <c r="O3" s="19">
        <f>'5qubits'!P8</f>
        <v>37</v>
      </c>
      <c r="P3" s="19">
        <f>'5qubits'!Q8</f>
        <v>37</v>
      </c>
      <c r="Q3" s="19">
        <f>'5qubits'!R8</f>
        <v>47</v>
      </c>
      <c r="R3" s="19">
        <f>'5qubits'!S8</f>
        <v>47</v>
      </c>
      <c r="S3" s="19">
        <f>'5qubits'!T8</f>
        <v>47</v>
      </c>
      <c r="T3" s="19">
        <f>'5qubits'!U8</f>
        <v>37</v>
      </c>
      <c r="U3" s="19">
        <f>'5qubits'!V8</f>
        <v>37</v>
      </c>
      <c r="V3" s="19">
        <f>'5qubits'!W8</f>
        <v>37</v>
      </c>
      <c r="W3" s="19">
        <f>'5qubits'!X8</f>
        <v>47</v>
      </c>
      <c r="X3" s="19">
        <f>'5qubits'!Y8</f>
        <v>47</v>
      </c>
      <c r="Y3" s="19">
        <f>'5qubits'!Z8</f>
        <v>47</v>
      </c>
      <c r="Z3" s="19">
        <f>'5qubits'!AA8</f>
        <v>37</v>
      </c>
      <c r="AA3" s="19">
        <f>'5qubits'!AB8</f>
        <v>37</v>
      </c>
      <c r="AB3" s="19">
        <f>'5qubits'!AC8</f>
        <v>37</v>
      </c>
      <c r="AC3" s="19">
        <f>'5qubits'!AD8</f>
        <v>47</v>
      </c>
      <c r="AD3" s="19">
        <f>'5qubits'!AE8</f>
        <v>47</v>
      </c>
      <c r="AE3" s="19">
        <f>'5qubits'!AF8</f>
        <v>47</v>
      </c>
    </row>
    <row r="4" spans="1:31" x14ac:dyDescent="0.45">
      <c r="B4">
        <v>0.53661999999999999</v>
      </c>
      <c r="C4">
        <v>0.52954000000000001</v>
      </c>
      <c r="D4">
        <v>0.53674000000000011</v>
      </c>
      <c r="E4">
        <v>0.46460000000000001</v>
      </c>
      <c r="F4">
        <v>0.44483000000000006</v>
      </c>
      <c r="G4">
        <v>0.45740000000000003</v>
      </c>
      <c r="H4">
        <v>0.57886000000000004</v>
      </c>
      <c r="I4">
        <v>0.59143000000000001</v>
      </c>
      <c r="J4">
        <v>0.59948999999999997</v>
      </c>
      <c r="K4">
        <v>0.56969999999999998</v>
      </c>
      <c r="L4">
        <v>0.57239000000000007</v>
      </c>
      <c r="M4">
        <v>0.57702000000000009</v>
      </c>
      <c r="N4">
        <v>0.57189999999999996</v>
      </c>
      <c r="O4">
        <v>0.55212000000000006</v>
      </c>
      <c r="P4">
        <v>0.59118000000000004</v>
      </c>
      <c r="Q4">
        <v>0.55138999999999994</v>
      </c>
      <c r="R4">
        <v>0.53491</v>
      </c>
      <c r="S4">
        <v>0.57091999999999998</v>
      </c>
      <c r="T4">
        <v>0.56031000000000009</v>
      </c>
      <c r="U4">
        <v>0.56469999999999998</v>
      </c>
      <c r="V4">
        <v>0.58617999999999992</v>
      </c>
      <c r="W4">
        <v>0.5577399999999999</v>
      </c>
      <c r="X4">
        <v>0.55127999999999999</v>
      </c>
      <c r="Y4">
        <v>0.55248999999999993</v>
      </c>
      <c r="Z4">
        <v>0.51978000000000002</v>
      </c>
      <c r="AA4">
        <v>0.50670999999999999</v>
      </c>
      <c r="AB4">
        <v>0.53271000000000002</v>
      </c>
      <c r="AC4">
        <v>0.45362000000000002</v>
      </c>
      <c r="AD4">
        <v>0.44666000000000006</v>
      </c>
      <c r="AE4">
        <v>0.44994999999999996</v>
      </c>
    </row>
    <row r="6" spans="1:31" s="19" customFormat="1" x14ac:dyDescent="0.45">
      <c r="A6" s="19" t="s">
        <v>58</v>
      </c>
      <c r="B6" s="19">
        <f>'5qubits'!C28</f>
        <v>32</v>
      </c>
      <c r="C6" s="19">
        <f>'5qubits'!D28</f>
        <v>32</v>
      </c>
      <c r="D6" s="19">
        <f>'5qubits'!E28</f>
        <v>32</v>
      </c>
      <c r="E6" s="19">
        <f>'5qubits'!F28</f>
        <v>43</v>
      </c>
      <c r="F6" s="19">
        <f>'5qubits'!G28</f>
        <v>43</v>
      </c>
      <c r="G6" s="19">
        <f>'5qubits'!H28</f>
        <v>43</v>
      </c>
      <c r="H6" s="19">
        <f>'5qubits'!I28</f>
        <v>37</v>
      </c>
      <c r="I6" s="19">
        <f>'5qubits'!J28</f>
        <v>37</v>
      </c>
      <c r="J6" s="19">
        <f>'5qubits'!K28</f>
        <v>37</v>
      </c>
      <c r="K6" s="19">
        <f>'5qubits'!L28</f>
        <v>47</v>
      </c>
      <c r="L6" s="19">
        <f>'5qubits'!M28</f>
        <v>47</v>
      </c>
      <c r="M6" s="19">
        <f>'5qubits'!N28</f>
        <v>48</v>
      </c>
      <c r="N6" s="19">
        <f>'5qubits'!O28</f>
        <v>37</v>
      </c>
      <c r="O6" s="19">
        <f>'5qubits'!P28</f>
        <v>37</v>
      </c>
      <c r="P6" s="19">
        <f>'5qubits'!Q28</f>
        <v>37</v>
      </c>
      <c r="Q6" s="19">
        <f>'5qubits'!R28</f>
        <v>47</v>
      </c>
      <c r="R6" s="19">
        <f>'5qubits'!S28</f>
        <v>48</v>
      </c>
      <c r="S6" s="19">
        <f>'5qubits'!T28</f>
        <v>47</v>
      </c>
      <c r="T6" s="19">
        <f>'5qubits'!U28</f>
        <v>37</v>
      </c>
      <c r="U6" s="19">
        <f>'5qubits'!V28</f>
        <v>37</v>
      </c>
      <c r="V6" s="19">
        <f>'5qubits'!W28</f>
        <v>37</v>
      </c>
      <c r="W6" s="19">
        <f>'5qubits'!X28</f>
        <v>48</v>
      </c>
      <c r="X6" s="19">
        <f>'5qubits'!Y28</f>
        <v>48</v>
      </c>
      <c r="Y6" s="19">
        <f>'5qubits'!Z28</f>
        <v>48</v>
      </c>
      <c r="Z6" s="19">
        <f>'5qubits'!AA28</f>
        <v>37</v>
      </c>
      <c r="AA6" s="19">
        <f>'5qubits'!AB28</f>
        <v>37</v>
      </c>
      <c r="AB6" s="19">
        <f>'5qubits'!AC28</f>
        <v>37</v>
      </c>
      <c r="AC6" s="19">
        <f>'5qubits'!AD28</f>
        <v>48</v>
      </c>
      <c r="AD6" s="19">
        <f>'5qubits'!AE28</f>
        <v>48</v>
      </c>
      <c r="AE6" s="19">
        <f>'5qubits'!AF28</f>
        <v>48</v>
      </c>
    </row>
    <row r="7" spans="1:31" s="19" customFormat="1" x14ac:dyDescent="0.45">
      <c r="B7" s="19">
        <v>0.71852000000000005</v>
      </c>
      <c r="C7" s="19">
        <v>0.69811999999999996</v>
      </c>
      <c r="D7" s="19">
        <v>0.63647000000000009</v>
      </c>
      <c r="E7" s="19">
        <v>0.61817000000000011</v>
      </c>
      <c r="F7" s="19">
        <v>0.65393000000000001</v>
      </c>
      <c r="G7" s="19">
        <v>0.59411000000000003</v>
      </c>
      <c r="H7" s="19">
        <v>0.65563000000000005</v>
      </c>
      <c r="I7" s="19">
        <v>0.71263999999999994</v>
      </c>
      <c r="J7" s="19">
        <v>0.68066000000000004</v>
      </c>
      <c r="K7" s="19">
        <v>0.68579000000000012</v>
      </c>
      <c r="L7" s="19">
        <v>0.71861999999999993</v>
      </c>
      <c r="M7" s="19">
        <v>0.67162999999999995</v>
      </c>
      <c r="N7" s="19">
        <v>0.71972999999999998</v>
      </c>
      <c r="O7" s="19">
        <v>0.66198000000000012</v>
      </c>
      <c r="P7" s="19">
        <v>0.62390000000000001</v>
      </c>
      <c r="Q7" s="19">
        <v>0.65856999999999999</v>
      </c>
      <c r="R7" s="19">
        <v>0.67016000000000009</v>
      </c>
      <c r="S7" s="19">
        <v>0.64087000000000005</v>
      </c>
      <c r="T7" s="19">
        <v>0.63781999999999994</v>
      </c>
      <c r="U7" s="19">
        <v>0.70861999999999992</v>
      </c>
      <c r="V7" s="19">
        <v>0.70641999999999994</v>
      </c>
      <c r="W7" s="19">
        <v>0.5895999999999999</v>
      </c>
      <c r="X7" s="19">
        <v>0.67944999999999989</v>
      </c>
      <c r="Y7" s="19">
        <v>0.63573999999999997</v>
      </c>
      <c r="Z7" s="19">
        <v>0.69225999999999999</v>
      </c>
      <c r="AA7" s="19">
        <v>0.72840000000000005</v>
      </c>
      <c r="AB7" s="19">
        <v>0.72742000000000007</v>
      </c>
      <c r="AC7" s="19">
        <v>0.62060999999999999</v>
      </c>
      <c r="AD7" s="19">
        <v>0.65942999999999996</v>
      </c>
      <c r="AE7" s="19">
        <v>0.67688000000000004</v>
      </c>
    </row>
    <row r="9" spans="1:31" x14ac:dyDescent="0.45">
      <c r="A9" t="s">
        <v>59</v>
      </c>
      <c r="B9" s="19">
        <f>'5qubits'!C48</f>
        <v>32</v>
      </c>
      <c r="C9" s="19">
        <f>'5qubits'!D48</f>
        <v>32</v>
      </c>
      <c r="D9" s="19">
        <f>'5qubits'!E48</f>
        <v>32</v>
      </c>
      <c r="E9" s="19">
        <f>'5qubits'!F48</f>
        <v>43</v>
      </c>
      <c r="F9" s="19">
        <f>'5qubits'!G48</f>
        <v>43</v>
      </c>
      <c r="G9" s="19">
        <f>'5qubits'!H48</f>
        <v>43</v>
      </c>
      <c r="H9" s="19">
        <f>'5qubits'!I48</f>
        <v>37</v>
      </c>
      <c r="I9" s="19">
        <f>'5qubits'!J48</f>
        <v>37</v>
      </c>
      <c r="J9" s="19">
        <f>'5qubits'!K48</f>
        <v>37</v>
      </c>
      <c r="K9" s="19">
        <f>'5qubits'!L48</f>
        <v>48</v>
      </c>
      <c r="L9" s="19">
        <f>'5qubits'!M48</f>
        <v>48</v>
      </c>
      <c r="M9" s="19">
        <f>'5qubits'!N48</f>
        <v>48</v>
      </c>
      <c r="N9" s="19">
        <f>'5qubits'!O48</f>
        <v>37</v>
      </c>
      <c r="O9" s="19">
        <f>'5qubits'!P48</f>
        <v>37</v>
      </c>
      <c r="P9" s="19">
        <f>'5qubits'!Q48</f>
        <v>37</v>
      </c>
      <c r="Q9" s="19">
        <f>'5qubits'!R48</f>
        <v>47</v>
      </c>
      <c r="R9" s="19">
        <f>'5qubits'!S48</f>
        <v>47</v>
      </c>
      <c r="S9" s="19">
        <f>'5qubits'!T48</f>
        <v>48</v>
      </c>
      <c r="T9" s="19">
        <f>'5qubits'!U48</f>
        <v>37</v>
      </c>
      <c r="U9" s="19">
        <f>'5qubits'!V48</f>
        <v>37</v>
      </c>
      <c r="V9" s="19">
        <f>'5qubits'!W48</f>
        <v>37</v>
      </c>
      <c r="W9" s="19">
        <f>'5qubits'!X48</f>
        <v>48</v>
      </c>
      <c r="X9" s="19">
        <f>'5qubits'!Y48</f>
        <v>47</v>
      </c>
      <c r="Y9" s="19">
        <f>'5qubits'!Z48</f>
        <v>48</v>
      </c>
      <c r="Z9" s="19">
        <f>'5qubits'!AA48</f>
        <v>37</v>
      </c>
      <c r="AA9" s="19">
        <f>'5qubits'!AB48</f>
        <v>37</v>
      </c>
      <c r="AB9" s="19">
        <f>'5qubits'!AC48</f>
        <v>37</v>
      </c>
      <c r="AC9" s="19">
        <f>'5qubits'!AD48</f>
        <v>48</v>
      </c>
      <c r="AD9" s="19">
        <f>'5qubits'!AE48</f>
        <v>48</v>
      </c>
      <c r="AE9" s="19">
        <f>'5qubits'!AF48</f>
        <v>47</v>
      </c>
    </row>
    <row r="10" spans="1:31" x14ac:dyDescent="0.45">
      <c r="B10">
        <v>0.62121000000000004</v>
      </c>
      <c r="C10">
        <v>0.61817000000000011</v>
      </c>
      <c r="D10">
        <v>0.60865000000000002</v>
      </c>
      <c r="E10">
        <v>0.55610000000000004</v>
      </c>
      <c r="F10">
        <v>0.48778999999999995</v>
      </c>
      <c r="G10">
        <v>0.50719999999999998</v>
      </c>
      <c r="H10">
        <v>0.46509</v>
      </c>
      <c r="I10">
        <v>0.64087000000000005</v>
      </c>
      <c r="J10">
        <v>0.64539000000000002</v>
      </c>
      <c r="K10">
        <v>0.55688999999999989</v>
      </c>
      <c r="L10">
        <v>0.67784999999999995</v>
      </c>
      <c r="M10">
        <v>0.55737000000000003</v>
      </c>
      <c r="N10">
        <v>0.54565999999999992</v>
      </c>
      <c r="O10">
        <v>0.6551499999999999</v>
      </c>
      <c r="P10">
        <v>0.56810999999999989</v>
      </c>
      <c r="Q10">
        <v>0.55394999999999994</v>
      </c>
      <c r="R10">
        <v>0.57727000000000006</v>
      </c>
      <c r="S10">
        <v>0.54015999999999997</v>
      </c>
      <c r="T10">
        <v>0.60192999999999997</v>
      </c>
      <c r="U10">
        <v>0.62414000000000003</v>
      </c>
      <c r="V10">
        <v>0.57018000000000002</v>
      </c>
      <c r="W10">
        <v>0.50683</v>
      </c>
      <c r="X10">
        <v>0.44652999999999998</v>
      </c>
      <c r="Y10">
        <v>0.56420000000000003</v>
      </c>
      <c r="Z10">
        <v>0.59423000000000004</v>
      </c>
      <c r="AA10">
        <v>0.63269000000000009</v>
      </c>
      <c r="AB10">
        <v>0.62792999999999988</v>
      </c>
      <c r="AC10">
        <v>0.56652999999999998</v>
      </c>
      <c r="AD10">
        <v>0.48951000000000006</v>
      </c>
      <c r="AE10">
        <v>0.59655999999999998</v>
      </c>
    </row>
    <row r="12" spans="1:31" x14ac:dyDescent="0.45">
      <c r="A12" t="s">
        <v>60</v>
      </c>
      <c r="B12">
        <f>'5qubits'!C68</f>
        <v>32</v>
      </c>
      <c r="C12">
        <f>'5qubits'!D68</f>
        <v>32</v>
      </c>
      <c r="D12">
        <f>'5qubits'!E68</f>
        <v>32</v>
      </c>
      <c r="E12">
        <f>'5qubits'!F68</f>
        <v>42</v>
      </c>
      <c r="F12">
        <f>'5qubits'!G68</f>
        <v>42</v>
      </c>
      <c r="G12">
        <f>'5qubits'!H68</f>
        <v>44</v>
      </c>
      <c r="H12">
        <f>'5qubits'!I68</f>
        <v>37</v>
      </c>
      <c r="I12">
        <f>'5qubits'!J68</f>
        <v>37</v>
      </c>
      <c r="J12">
        <f>'5qubits'!K68</f>
        <v>37</v>
      </c>
      <c r="K12">
        <f>'5qubits'!L68</f>
        <v>48</v>
      </c>
      <c r="L12">
        <f>'5qubits'!M68</f>
        <v>49</v>
      </c>
      <c r="M12">
        <f>'5qubits'!N68</f>
        <v>47</v>
      </c>
      <c r="N12">
        <f>'5qubits'!O68</f>
        <v>37</v>
      </c>
      <c r="O12">
        <f>'5qubits'!P68</f>
        <v>37</v>
      </c>
      <c r="P12">
        <f>'5qubits'!Q68</f>
        <v>37</v>
      </c>
      <c r="Q12">
        <f>'5qubits'!R68</f>
        <v>47</v>
      </c>
      <c r="R12">
        <f>'5qubits'!S68</f>
        <v>47</v>
      </c>
      <c r="S12">
        <f>'5qubits'!T68</f>
        <v>47</v>
      </c>
      <c r="T12">
        <f>'5qubits'!U68</f>
        <v>37</v>
      </c>
      <c r="U12">
        <f>'5qubits'!V68</f>
        <v>37</v>
      </c>
      <c r="V12">
        <f>'5qubits'!W68</f>
        <v>37</v>
      </c>
      <c r="W12">
        <f>'5qubits'!X68</f>
        <v>49</v>
      </c>
      <c r="X12">
        <f>'5qubits'!Y68</f>
        <v>49</v>
      </c>
      <c r="Y12">
        <f>'5qubits'!Z68</f>
        <v>49</v>
      </c>
      <c r="Z12">
        <f>'5qubits'!AA68</f>
        <v>37</v>
      </c>
      <c r="AA12">
        <f>'5qubits'!AB68</f>
        <v>37</v>
      </c>
      <c r="AB12">
        <f>'5qubits'!AC68</f>
        <v>37</v>
      </c>
      <c r="AC12">
        <v>47</v>
      </c>
      <c r="AD12">
        <v>48</v>
      </c>
      <c r="AE12">
        <v>47</v>
      </c>
    </row>
    <row r="13" spans="1:31" x14ac:dyDescent="0.45">
      <c r="B13">
        <v>0.52807999999999988</v>
      </c>
      <c r="C13">
        <v>0.36523000000000005</v>
      </c>
      <c r="D13">
        <v>0.45972000000000002</v>
      </c>
      <c r="E13">
        <v>0.35779000000000005</v>
      </c>
      <c r="F13">
        <v>0.24755000000000002</v>
      </c>
      <c r="G13">
        <v>0.33849000000000001</v>
      </c>
      <c r="H13">
        <v>0.36963000000000001</v>
      </c>
      <c r="I13">
        <v>0.47997999999999996</v>
      </c>
      <c r="J13">
        <v>0.48816000000000004</v>
      </c>
      <c r="K13">
        <v>8.9969999999999994E-2</v>
      </c>
      <c r="L13">
        <v>0.43847000000000003</v>
      </c>
      <c r="M13">
        <v>0.26659999999999995</v>
      </c>
      <c r="N13">
        <v>0.50768999999999997</v>
      </c>
      <c r="O13">
        <v>0.49084000000000005</v>
      </c>
      <c r="P13">
        <v>0.41808999999999996</v>
      </c>
      <c r="Q13">
        <v>0.34558</v>
      </c>
      <c r="R13">
        <v>0.27209</v>
      </c>
      <c r="S13">
        <v>0.27466000000000002</v>
      </c>
      <c r="T13">
        <v>0.45057000000000003</v>
      </c>
      <c r="U13">
        <v>0.37706999999999996</v>
      </c>
      <c r="V13">
        <v>0.51819000000000004</v>
      </c>
      <c r="W13">
        <v>0.42932999999999999</v>
      </c>
      <c r="X13">
        <v>0.47802</v>
      </c>
      <c r="Y13">
        <v>0.4486</v>
      </c>
      <c r="Z13">
        <v>0.27685999999999999</v>
      </c>
      <c r="AA13">
        <v>0.49268000000000001</v>
      </c>
      <c r="AB13">
        <v>0.30688000000000004</v>
      </c>
      <c r="AC13">
        <v>0.40258999999999995</v>
      </c>
      <c r="AD13">
        <v>0.40745999999999993</v>
      </c>
      <c r="AE13">
        <v>0.37963999999999998</v>
      </c>
    </row>
    <row r="15" spans="1:31" x14ac:dyDescent="0.45">
      <c r="A15" t="s">
        <v>73</v>
      </c>
      <c r="B15">
        <f>'5qubits'!C88</f>
        <v>32</v>
      </c>
      <c r="C15">
        <f>'5qubits'!D88</f>
        <v>32</v>
      </c>
      <c r="D15">
        <f>'5qubits'!E88</f>
        <v>32</v>
      </c>
      <c r="E15">
        <f>'5qubits'!F88</f>
        <v>43</v>
      </c>
      <c r="F15">
        <f>'5qubits'!G88</f>
        <v>42</v>
      </c>
      <c r="G15">
        <f>'5qubits'!H88</f>
        <v>43</v>
      </c>
      <c r="H15">
        <f>'5qubits'!I88</f>
        <v>37</v>
      </c>
      <c r="I15">
        <f>'5qubits'!J88</f>
        <v>37</v>
      </c>
      <c r="J15">
        <f>'5qubits'!K88</f>
        <v>37</v>
      </c>
      <c r="K15">
        <f>'5qubits'!L88</f>
        <v>48</v>
      </c>
      <c r="L15">
        <f>'5qubits'!M88</f>
        <v>48</v>
      </c>
      <c r="M15">
        <f>'5qubits'!N88</f>
        <v>48</v>
      </c>
      <c r="N15">
        <f>'5qubits'!O88</f>
        <v>37</v>
      </c>
      <c r="O15">
        <f>'5qubits'!P88</f>
        <v>37</v>
      </c>
      <c r="P15">
        <f>'5qubits'!Q88</f>
        <v>37</v>
      </c>
      <c r="Q15">
        <f>'5qubits'!R88</f>
        <v>47</v>
      </c>
      <c r="R15">
        <f>'5qubits'!S88</f>
        <v>48</v>
      </c>
      <c r="S15">
        <f>'5qubits'!T88</f>
        <v>48</v>
      </c>
      <c r="T15">
        <f>'5qubits'!U88</f>
        <v>37</v>
      </c>
      <c r="U15">
        <f>'5qubits'!V88</f>
        <v>37</v>
      </c>
      <c r="V15">
        <f>'5qubits'!W88</f>
        <v>37</v>
      </c>
      <c r="W15">
        <f>'5qubits'!X88</f>
        <v>48</v>
      </c>
      <c r="X15">
        <f>'5qubits'!Y88</f>
        <v>48</v>
      </c>
      <c r="Y15">
        <f>'5qubits'!Z88</f>
        <v>49</v>
      </c>
      <c r="Z15">
        <f>'5qubits'!AA88</f>
        <v>37</v>
      </c>
      <c r="AA15">
        <f>'5qubits'!AB88</f>
        <v>37</v>
      </c>
      <c r="AB15">
        <f>'5qubits'!AC88</f>
        <v>37</v>
      </c>
      <c r="AC15">
        <f>'5qubits'!AD88</f>
        <v>47</v>
      </c>
      <c r="AD15">
        <f>'5qubits'!AE88</f>
        <v>48</v>
      </c>
      <c r="AE15">
        <f>'5qubits'!AF88</f>
        <v>47</v>
      </c>
    </row>
    <row r="16" spans="1:31" x14ac:dyDescent="0.45">
      <c r="B16">
        <v>0.62988</v>
      </c>
      <c r="C16">
        <v>0.69873999999999992</v>
      </c>
      <c r="D16">
        <v>0.63488</v>
      </c>
      <c r="E16">
        <v>0.63574000000000008</v>
      </c>
      <c r="F16">
        <v>0.61828000000000005</v>
      </c>
      <c r="G16">
        <v>0.42480999999999997</v>
      </c>
      <c r="H16">
        <v>0.70373999999999992</v>
      </c>
      <c r="I16">
        <v>0.67186999999999997</v>
      </c>
      <c r="J16">
        <v>0.75379000000000007</v>
      </c>
      <c r="K16">
        <v>0.6666200000000001</v>
      </c>
      <c r="L16">
        <v>0.60388000000000008</v>
      </c>
      <c r="M16">
        <v>0.67662999999999995</v>
      </c>
      <c r="N16">
        <v>0.6164599999999999</v>
      </c>
      <c r="O16">
        <v>0.62097000000000002</v>
      </c>
      <c r="P16">
        <v>0.6196299999999999</v>
      </c>
      <c r="Q16">
        <v>0.57495000000000007</v>
      </c>
      <c r="R16">
        <v>0.58960000000000001</v>
      </c>
      <c r="S16">
        <v>0.53808999999999996</v>
      </c>
      <c r="T16">
        <v>0.70909999999999995</v>
      </c>
      <c r="U16">
        <v>0.71545000000000003</v>
      </c>
      <c r="V16">
        <v>0.68847000000000014</v>
      </c>
      <c r="W16">
        <v>0.46582999999999997</v>
      </c>
      <c r="X16">
        <v>0.53125999999999995</v>
      </c>
      <c r="Y16">
        <v>0.70263999999999993</v>
      </c>
      <c r="Z16">
        <v>0.73962000000000006</v>
      </c>
      <c r="AA16">
        <v>0.70727000000000007</v>
      </c>
      <c r="AB16">
        <v>0.72277000000000002</v>
      </c>
      <c r="AC16">
        <v>0.61389000000000005</v>
      </c>
      <c r="AD16">
        <v>0.65587999999999991</v>
      </c>
      <c r="AE16">
        <v>0.72364000000000006</v>
      </c>
    </row>
    <row r="18" spans="1:31" x14ac:dyDescent="0.45">
      <c r="A18" t="s">
        <v>293</v>
      </c>
      <c r="B18">
        <f>'5qubits'!C108</f>
        <v>32</v>
      </c>
      <c r="C18">
        <f>'5qubits'!D108</f>
        <v>32</v>
      </c>
      <c r="D18">
        <f>'5qubits'!E108</f>
        <v>32</v>
      </c>
      <c r="E18">
        <f>'5qubits'!F108</f>
        <v>43</v>
      </c>
      <c r="F18">
        <f>'5qubits'!G108</f>
        <v>43</v>
      </c>
      <c r="G18">
        <f>'5qubits'!H108</f>
        <v>43</v>
      </c>
      <c r="H18">
        <f>'5qubits'!I108</f>
        <v>37</v>
      </c>
      <c r="I18">
        <f>'5qubits'!J108</f>
        <v>37</v>
      </c>
      <c r="J18">
        <f>'5qubits'!K108</f>
        <v>37</v>
      </c>
      <c r="K18">
        <f>'5qubits'!L108</f>
        <v>48</v>
      </c>
      <c r="L18">
        <f>'5qubits'!M108</f>
        <v>48</v>
      </c>
      <c r="M18">
        <f>'5qubits'!N108</f>
        <v>48</v>
      </c>
      <c r="N18">
        <f>'5qubits'!O108</f>
        <v>37</v>
      </c>
      <c r="O18">
        <f>'5qubits'!P108</f>
        <v>37</v>
      </c>
      <c r="P18">
        <f>'5qubits'!Q108</f>
        <v>37</v>
      </c>
      <c r="Q18">
        <f>'5qubits'!R108</f>
        <v>48</v>
      </c>
      <c r="R18">
        <f>'5qubits'!S108</f>
        <v>48</v>
      </c>
      <c r="S18">
        <f>'5qubits'!T108</f>
        <v>48</v>
      </c>
      <c r="T18">
        <f>'5qubits'!U108</f>
        <v>37</v>
      </c>
      <c r="U18">
        <f>'5qubits'!V108</f>
        <v>37</v>
      </c>
      <c r="V18">
        <f>'5qubits'!W108</f>
        <v>37</v>
      </c>
      <c r="W18">
        <f>'5qubits'!X108</f>
        <v>48</v>
      </c>
      <c r="X18">
        <f>'5qubits'!Y108</f>
        <v>48</v>
      </c>
      <c r="Y18">
        <f>'5qubits'!Z108</f>
        <v>48</v>
      </c>
      <c r="Z18">
        <f>'5qubits'!AA108</f>
        <v>37</v>
      </c>
      <c r="AA18">
        <f>'5qubits'!AB108</f>
        <v>37</v>
      </c>
      <c r="AB18">
        <f>'5qubits'!AC108</f>
        <v>37</v>
      </c>
      <c r="AC18">
        <f>'5qubits'!AD108</f>
        <v>48</v>
      </c>
      <c r="AD18">
        <f>'5qubits'!AE108</f>
        <v>47</v>
      </c>
      <c r="AE18">
        <f>'5qubits'!AF108</f>
        <v>48</v>
      </c>
    </row>
    <row r="19" spans="1:31" x14ac:dyDescent="0.45">
      <c r="B19">
        <v>0.62146000000000001</v>
      </c>
      <c r="C19">
        <v>0.66332999999999998</v>
      </c>
      <c r="D19">
        <v>0.52661000000000002</v>
      </c>
      <c r="E19">
        <v>0.50341999999999998</v>
      </c>
      <c r="F19">
        <v>0.46521000000000001</v>
      </c>
      <c r="G19">
        <v>0.44519000000000003</v>
      </c>
      <c r="H19">
        <v>0.64563000000000004</v>
      </c>
      <c r="I19">
        <v>0.66406999999999994</v>
      </c>
      <c r="J19">
        <v>0.66150000000000009</v>
      </c>
      <c r="K19">
        <v>0.5103700000000001</v>
      </c>
      <c r="L19">
        <v>0.53198999999999996</v>
      </c>
      <c r="M19">
        <v>0.66540999999999995</v>
      </c>
      <c r="N19">
        <v>0.55139000000000005</v>
      </c>
      <c r="O19">
        <v>0.67968999999999991</v>
      </c>
      <c r="P19">
        <v>0.59900999999999993</v>
      </c>
      <c r="Q19">
        <v>0.47558</v>
      </c>
      <c r="R19">
        <v>0.47606999999999999</v>
      </c>
      <c r="S19">
        <v>0.58545000000000003</v>
      </c>
      <c r="T19">
        <v>0.61182000000000003</v>
      </c>
      <c r="U19">
        <v>0.61487000000000003</v>
      </c>
      <c r="V19">
        <v>0.63</v>
      </c>
      <c r="W19">
        <v>0.48536000000000001</v>
      </c>
      <c r="X19">
        <v>0.59704999999999997</v>
      </c>
      <c r="Y19">
        <v>0.51270000000000004</v>
      </c>
      <c r="Z19">
        <v>0.66126000000000007</v>
      </c>
      <c r="AA19">
        <v>0.65759000000000001</v>
      </c>
      <c r="AB19">
        <v>0.51085999999999998</v>
      </c>
      <c r="AC19">
        <v>0.51136000000000004</v>
      </c>
      <c r="AD19">
        <v>0.60350999999999999</v>
      </c>
      <c r="AE19">
        <v>0.58118000000000003</v>
      </c>
    </row>
    <row r="21" spans="1:31" x14ac:dyDescent="0.45">
      <c r="A21" t="s">
        <v>213</v>
      </c>
      <c r="B21">
        <f>'5qubits'!C128</f>
        <v>32</v>
      </c>
      <c r="C21">
        <f>'5qubits'!D128</f>
        <v>32</v>
      </c>
      <c r="D21">
        <f>'5qubits'!E128</f>
        <v>32</v>
      </c>
      <c r="E21">
        <f>'5qubits'!F128</f>
        <v>44</v>
      </c>
      <c r="F21">
        <f>'5qubits'!G128</f>
        <v>44</v>
      </c>
      <c r="G21">
        <f>'5qubits'!H128</f>
        <v>42</v>
      </c>
      <c r="H21">
        <f>'5qubits'!I128</f>
        <v>37</v>
      </c>
      <c r="I21">
        <f>'5qubits'!J128</f>
        <v>37</v>
      </c>
      <c r="J21">
        <f>'5qubits'!K128</f>
        <v>37</v>
      </c>
      <c r="K21">
        <f>'5qubits'!L128</f>
        <v>47</v>
      </c>
      <c r="L21">
        <f>'5qubits'!M128</f>
        <v>48</v>
      </c>
      <c r="M21">
        <f>'5qubits'!N128</f>
        <v>47</v>
      </c>
      <c r="N21">
        <f>'5qubits'!O128</f>
        <v>37</v>
      </c>
      <c r="O21">
        <f>'5qubits'!P128</f>
        <v>37</v>
      </c>
      <c r="P21">
        <f>'5qubits'!Q128</f>
        <v>37</v>
      </c>
      <c r="Q21">
        <f>'5qubits'!R128</f>
        <v>48</v>
      </c>
      <c r="R21">
        <f>'5qubits'!S128</f>
        <v>47</v>
      </c>
      <c r="S21">
        <f>'5qubits'!T128</f>
        <v>47</v>
      </c>
      <c r="T21">
        <f>'5qubits'!U128</f>
        <v>37</v>
      </c>
      <c r="U21">
        <f>'5qubits'!V128</f>
        <v>37</v>
      </c>
      <c r="V21">
        <f>'5qubits'!W128</f>
        <v>37</v>
      </c>
      <c r="W21">
        <f>'5qubits'!X128</f>
        <v>47</v>
      </c>
      <c r="X21">
        <f>'5qubits'!Y128</f>
        <v>48</v>
      </c>
      <c r="Y21">
        <f>'5qubits'!Z128</f>
        <v>48</v>
      </c>
      <c r="Z21">
        <f>'5qubits'!AA128</f>
        <v>37</v>
      </c>
      <c r="AA21">
        <f>'5qubits'!AB128</f>
        <v>37</v>
      </c>
      <c r="AB21">
        <f>'5qubits'!AC128</f>
        <v>37</v>
      </c>
      <c r="AC21">
        <f>'5qubits'!AD128</f>
        <v>48</v>
      </c>
      <c r="AD21">
        <f>'5qubits'!AE128</f>
        <v>48</v>
      </c>
      <c r="AE21">
        <f>'5qubits'!AF128</f>
        <v>47</v>
      </c>
    </row>
    <row r="22" spans="1:31" x14ac:dyDescent="0.45">
      <c r="B22">
        <v>0.63611000000000006</v>
      </c>
      <c r="C22">
        <v>0.61572000000000005</v>
      </c>
      <c r="D22">
        <v>0.69323000000000012</v>
      </c>
      <c r="E22">
        <v>0.49804999999999999</v>
      </c>
      <c r="F22">
        <v>0.64807000000000003</v>
      </c>
      <c r="G22">
        <v>0.61621000000000004</v>
      </c>
      <c r="H22">
        <v>0.65844999999999998</v>
      </c>
      <c r="I22">
        <v>0.71862999999999999</v>
      </c>
      <c r="J22">
        <v>0.67787000000000008</v>
      </c>
      <c r="K22">
        <v>0.66564999999999996</v>
      </c>
      <c r="L22">
        <v>0.62451000000000012</v>
      </c>
      <c r="M22">
        <v>0.71521000000000001</v>
      </c>
      <c r="N22">
        <v>0.60021999999999998</v>
      </c>
      <c r="O22">
        <v>0.61547000000000007</v>
      </c>
      <c r="P22">
        <v>0.60949000000000009</v>
      </c>
      <c r="Q22">
        <v>0.58582000000000012</v>
      </c>
      <c r="R22">
        <v>0.59495999999999993</v>
      </c>
      <c r="S22">
        <v>0.57995000000000008</v>
      </c>
      <c r="T22">
        <v>0.64734999999999998</v>
      </c>
      <c r="U22">
        <v>0.6458799999999999</v>
      </c>
      <c r="V22">
        <v>0.52673000000000003</v>
      </c>
      <c r="W22">
        <v>0.50977000000000006</v>
      </c>
      <c r="X22">
        <v>0.50977000000000006</v>
      </c>
      <c r="Y22">
        <v>0.63977000000000006</v>
      </c>
      <c r="Z22">
        <v>0.65465999999999991</v>
      </c>
      <c r="AA22">
        <v>0.58776000000000006</v>
      </c>
      <c r="AB22">
        <v>0.58055999999999996</v>
      </c>
      <c r="AC22">
        <v>0.61485999999999996</v>
      </c>
      <c r="AD22">
        <v>0.46703000000000006</v>
      </c>
      <c r="AE22">
        <v>0.68432000000000004</v>
      </c>
    </row>
    <row r="24" spans="1:31" x14ac:dyDescent="0.45">
      <c r="A24" t="s">
        <v>245</v>
      </c>
      <c r="B24">
        <f>'5qubits'!C148</f>
        <v>32</v>
      </c>
      <c r="C24">
        <f>'5qubits'!D148</f>
        <v>32</v>
      </c>
      <c r="D24">
        <f>'5qubits'!E148</f>
        <v>32</v>
      </c>
      <c r="E24">
        <f>'5qubits'!F148</f>
        <v>43</v>
      </c>
      <c r="F24">
        <f>'5qubits'!G148</f>
        <v>43</v>
      </c>
      <c r="G24">
        <f>'5qubits'!H148</f>
        <v>43</v>
      </c>
      <c r="H24">
        <f>'5qubits'!I148</f>
        <v>37</v>
      </c>
      <c r="I24">
        <f>'5qubits'!J148</f>
        <v>37</v>
      </c>
      <c r="J24">
        <f>'5qubits'!K148</f>
        <v>37</v>
      </c>
      <c r="K24">
        <f>'5qubits'!L148</f>
        <v>48</v>
      </c>
      <c r="L24">
        <f>'5qubits'!M148</f>
        <v>48</v>
      </c>
      <c r="M24">
        <f>'5qubits'!N148</f>
        <v>49</v>
      </c>
      <c r="N24">
        <f>'5qubits'!O148</f>
        <v>37</v>
      </c>
      <c r="O24">
        <f>'5qubits'!P148</f>
        <v>37</v>
      </c>
      <c r="P24">
        <f>'5qubits'!Q148</f>
        <v>37</v>
      </c>
      <c r="Q24">
        <f>'5qubits'!R148</f>
        <v>47</v>
      </c>
      <c r="R24">
        <f>'5qubits'!S148</f>
        <v>48</v>
      </c>
      <c r="S24">
        <f>'5qubits'!T148</f>
        <v>48</v>
      </c>
      <c r="T24">
        <f>'5qubits'!U148</f>
        <v>37</v>
      </c>
      <c r="U24">
        <f>'5qubits'!V148</f>
        <v>37</v>
      </c>
      <c r="V24">
        <f>'5qubits'!W148</f>
        <v>37</v>
      </c>
      <c r="W24">
        <f>'5qubits'!X148</f>
        <v>47</v>
      </c>
      <c r="X24">
        <f>'5qubits'!Y148</f>
        <v>48</v>
      </c>
      <c r="Y24">
        <f>'5qubits'!Z148</f>
        <v>48</v>
      </c>
      <c r="Z24">
        <f>'5qubits'!AA148</f>
        <v>37</v>
      </c>
      <c r="AA24">
        <f>'5qubits'!AB148</f>
        <v>37</v>
      </c>
      <c r="AB24">
        <f>'5qubits'!AC148</f>
        <v>37</v>
      </c>
      <c r="AC24">
        <f>'5qubits'!AD148</f>
        <v>47</v>
      </c>
      <c r="AD24">
        <f>'5qubits'!AE148</f>
        <v>49</v>
      </c>
      <c r="AE24">
        <f>'5qubits'!AF148</f>
        <v>48</v>
      </c>
    </row>
    <row r="25" spans="1:31" x14ac:dyDescent="0.45">
      <c r="B25">
        <v>0.67883000000000004</v>
      </c>
      <c r="C25">
        <v>0.70667000000000002</v>
      </c>
      <c r="D25">
        <v>0.70787999999999995</v>
      </c>
      <c r="E25">
        <v>0.67150999999999994</v>
      </c>
      <c r="F25">
        <v>0.68897000000000008</v>
      </c>
      <c r="G25">
        <v>0.68115000000000014</v>
      </c>
      <c r="H25">
        <v>0.72790999999999995</v>
      </c>
      <c r="I25">
        <v>0.71289000000000002</v>
      </c>
      <c r="J25">
        <v>0.77649000000000001</v>
      </c>
      <c r="K25">
        <v>0.66919000000000006</v>
      </c>
      <c r="L25">
        <v>0.72448999999999997</v>
      </c>
      <c r="M25">
        <v>0.74365999999999999</v>
      </c>
      <c r="N25">
        <v>0.73253999999999986</v>
      </c>
      <c r="O25">
        <v>0.7434099999999999</v>
      </c>
      <c r="P25">
        <v>0.71935999999999989</v>
      </c>
      <c r="Q25">
        <v>0.71997</v>
      </c>
      <c r="R25">
        <v>0.67956000000000005</v>
      </c>
      <c r="S25">
        <v>0.64013999999999993</v>
      </c>
      <c r="T25">
        <v>0.72620000000000007</v>
      </c>
      <c r="U25">
        <v>0.73790999999999995</v>
      </c>
      <c r="V25">
        <v>0.59753000000000012</v>
      </c>
      <c r="W25">
        <v>0.65490999999999999</v>
      </c>
      <c r="X25">
        <v>0.67774000000000001</v>
      </c>
      <c r="Y25">
        <v>0.68225000000000013</v>
      </c>
      <c r="Z25">
        <v>0.71728999999999998</v>
      </c>
      <c r="AA25">
        <v>0.6916500000000001</v>
      </c>
      <c r="AB25">
        <v>0.6855500000000001</v>
      </c>
      <c r="AC25">
        <v>0.71105999999999991</v>
      </c>
      <c r="AD25">
        <v>0.69677999999999995</v>
      </c>
      <c r="AE25">
        <v>0.69542999999999988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7A47-11DF-43F2-9548-D047BB46D6DD}">
  <dimension ref="A1:AE25"/>
  <sheetViews>
    <sheetView topLeftCell="V1" workbookViewId="0">
      <selection activeCell="B24" sqref="B24:AE24"/>
    </sheetView>
  </sheetViews>
  <sheetFormatPr defaultRowHeight="14.25" x14ac:dyDescent="0.45"/>
  <sheetData>
    <row r="1" spans="1:31" x14ac:dyDescent="0.45">
      <c r="A1" s="2" t="s">
        <v>312</v>
      </c>
    </row>
    <row r="3" spans="1:31" x14ac:dyDescent="0.45">
      <c r="A3" t="s">
        <v>7</v>
      </c>
      <c r="B3" s="19">
        <f>'5qubits'!C12</f>
        <v>23.6</v>
      </c>
      <c r="C3" s="19">
        <f>'5qubits'!D12</f>
        <v>23.6</v>
      </c>
      <c r="D3" s="19">
        <f>'5qubits'!E12</f>
        <v>23.4</v>
      </c>
      <c r="E3" s="19">
        <f>'5qubits'!F12</f>
        <v>23.6</v>
      </c>
      <c r="F3" s="19">
        <f>'5qubits'!G12</f>
        <v>23.4</v>
      </c>
      <c r="G3" s="19">
        <f>'5qubits'!H12</f>
        <v>23.5</v>
      </c>
      <c r="H3" s="19">
        <f>'5qubits'!I12</f>
        <v>23.5</v>
      </c>
      <c r="I3" s="19">
        <f>'5qubits'!J12</f>
        <v>23.6</v>
      </c>
      <c r="J3" s="19">
        <f>'5qubits'!K12</f>
        <v>23.4</v>
      </c>
      <c r="K3" s="19">
        <f>'5qubits'!L12</f>
        <v>23.7</v>
      </c>
      <c r="L3" s="19">
        <f>'5qubits'!M12</f>
        <v>23.7</v>
      </c>
      <c r="M3" s="19">
        <f>'5qubits'!N12</f>
        <v>23.5</v>
      </c>
      <c r="N3" s="19">
        <f>'5qubits'!O12</f>
        <v>23.7</v>
      </c>
      <c r="O3" s="19">
        <f>'5qubits'!P12</f>
        <v>23.7</v>
      </c>
      <c r="P3" s="19">
        <f>'5qubits'!Q12</f>
        <v>23.5</v>
      </c>
      <c r="Q3" s="19">
        <f>'5qubits'!R12</f>
        <v>23.6</v>
      </c>
      <c r="R3" s="19">
        <f>'5qubits'!S12</f>
        <v>23.6</v>
      </c>
      <c r="S3" s="19">
        <f>'5qubits'!T12</f>
        <v>23.6</v>
      </c>
      <c r="T3" s="19">
        <f>'5qubits'!U12</f>
        <v>23.8</v>
      </c>
      <c r="U3" s="19">
        <f>'5qubits'!V12</f>
        <v>23.3</v>
      </c>
      <c r="V3" s="19">
        <f>'5qubits'!W12</f>
        <v>23.5</v>
      </c>
      <c r="W3" s="19">
        <f>'5qubits'!X12</f>
        <v>23.5</v>
      </c>
      <c r="X3" s="19">
        <f>'5qubits'!Y12</f>
        <v>23.7</v>
      </c>
      <c r="Y3" s="19">
        <f>'5qubits'!Z12</f>
        <v>23.7</v>
      </c>
      <c r="Z3" s="19">
        <f>'5qubits'!AA12</f>
        <v>23.6</v>
      </c>
      <c r="AA3" s="19">
        <f>'5qubits'!AB12</f>
        <v>23.7</v>
      </c>
      <c r="AB3" s="19">
        <f>'5qubits'!AC12</f>
        <v>23.6</v>
      </c>
      <c r="AC3" s="19">
        <f>'5qubits'!AD12</f>
        <v>23.8</v>
      </c>
      <c r="AD3" s="19">
        <f>'5qubits'!AE12</f>
        <v>23.4</v>
      </c>
      <c r="AE3" s="19">
        <f>'5qubits'!AF12</f>
        <v>23.5</v>
      </c>
    </row>
    <row r="4" spans="1:31" x14ac:dyDescent="0.45">
      <c r="B4">
        <v>0.53661999999999999</v>
      </c>
      <c r="C4">
        <v>0.52954000000000001</v>
      </c>
      <c r="D4">
        <v>0.53674000000000011</v>
      </c>
      <c r="E4">
        <v>0.46460000000000001</v>
      </c>
      <c r="F4">
        <v>0.44483000000000006</v>
      </c>
      <c r="G4">
        <v>0.45740000000000003</v>
      </c>
      <c r="H4">
        <v>0.57886000000000004</v>
      </c>
      <c r="I4">
        <v>0.59143000000000001</v>
      </c>
      <c r="J4">
        <v>0.59948999999999997</v>
      </c>
      <c r="K4">
        <v>0.56969999999999998</v>
      </c>
      <c r="L4">
        <v>0.57239000000000007</v>
      </c>
      <c r="M4">
        <v>0.57702000000000009</v>
      </c>
      <c r="N4">
        <v>0.57189999999999996</v>
      </c>
      <c r="O4">
        <v>0.55212000000000006</v>
      </c>
      <c r="P4">
        <v>0.59118000000000004</v>
      </c>
      <c r="Q4">
        <v>0.55138999999999994</v>
      </c>
      <c r="R4">
        <v>0.53491</v>
      </c>
      <c r="S4">
        <v>0.57091999999999998</v>
      </c>
      <c r="T4">
        <v>0.56031000000000009</v>
      </c>
      <c r="U4">
        <v>0.56469999999999998</v>
      </c>
      <c r="V4">
        <v>0.58617999999999992</v>
      </c>
      <c r="W4">
        <v>0.5577399999999999</v>
      </c>
      <c r="X4">
        <v>0.55127999999999999</v>
      </c>
      <c r="Y4">
        <v>0.55248999999999993</v>
      </c>
      <c r="Z4">
        <v>0.51978000000000002</v>
      </c>
      <c r="AA4">
        <v>0.50670999999999999</v>
      </c>
      <c r="AB4">
        <v>0.53271000000000002</v>
      </c>
      <c r="AC4">
        <v>0.45362000000000002</v>
      </c>
      <c r="AD4">
        <v>0.44666000000000006</v>
      </c>
      <c r="AE4">
        <v>0.44994999999999996</v>
      </c>
    </row>
    <row r="6" spans="1:31" x14ac:dyDescent="0.45">
      <c r="A6" s="19" t="s">
        <v>58</v>
      </c>
      <c r="B6" s="19">
        <f>'5qubits'!C32</f>
        <v>24.4</v>
      </c>
      <c r="C6" s="19">
        <f>'5qubits'!D32</f>
        <v>24.3</v>
      </c>
      <c r="D6" s="19">
        <f>'5qubits'!E32</f>
        <v>24.7</v>
      </c>
      <c r="E6" s="19">
        <f>'5qubits'!F32</f>
        <v>24.7</v>
      </c>
      <c r="F6" s="19">
        <f>'5qubits'!G32</f>
        <v>24.3</v>
      </c>
      <c r="G6" s="19">
        <f>'5qubits'!H32</f>
        <v>24.2</v>
      </c>
      <c r="H6" s="19">
        <f>'5qubits'!I32</f>
        <v>24.8</v>
      </c>
      <c r="I6" s="19">
        <f>'5qubits'!J32</f>
        <v>24.7</v>
      </c>
      <c r="J6" s="19">
        <f>'5qubits'!K32</f>
        <v>24.7</v>
      </c>
      <c r="K6" s="19">
        <f>'5qubits'!L32</f>
        <v>24.4</v>
      </c>
      <c r="L6" s="19">
        <f>'5qubits'!M32</f>
        <v>24.6</v>
      </c>
      <c r="M6" s="19">
        <f>'5qubits'!N32</f>
        <v>24.4</v>
      </c>
      <c r="N6" s="19">
        <f>'5qubits'!O32</f>
        <v>24.4</v>
      </c>
      <c r="O6" s="19">
        <f>'5qubits'!P32</f>
        <v>24.6</v>
      </c>
      <c r="P6" s="19">
        <f>'5qubits'!Q32</f>
        <v>24.7</v>
      </c>
      <c r="Q6" s="19">
        <f>'5qubits'!R32</f>
        <v>24.6</v>
      </c>
      <c r="R6" s="19">
        <f>'5qubits'!S32</f>
        <v>24.7</v>
      </c>
      <c r="S6" s="19">
        <f>'5qubits'!T32</f>
        <v>25</v>
      </c>
      <c r="T6" s="19">
        <f>'5qubits'!U32</f>
        <v>24.5</v>
      </c>
      <c r="U6" s="19">
        <f>'5qubits'!V32</f>
        <v>24.4</v>
      </c>
      <c r="V6" s="19">
        <f>'5qubits'!W32</f>
        <v>24.5</v>
      </c>
      <c r="W6" s="19">
        <f>'5qubits'!X32</f>
        <v>24.4</v>
      </c>
      <c r="X6" s="19">
        <f>'5qubits'!Y32</f>
        <v>24.2</v>
      </c>
      <c r="Y6" s="19">
        <f>'5qubits'!Z32</f>
        <v>24.7</v>
      </c>
      <c r="Z6" s="19">
        <f>'5qubits'!AA32</f>
        <v>24.4</v>
      </c>
      <c r="AA6" s="19">
        <f>'5qubits'!AB32</f>
        <v>24.6</v>
      </c>
      <c r="AB6" s="19">
        <f>'5qubits'!AC32</f>
        <v>24.2</v>
      </c>
      <c r="AC6" s="19">
        <f>'5qubits'!AD32</f>
        <v>24.3</v>
      </c>
      <c r="AD6" s="19">
        <f>'5qubits'!AE32</f>
        <v>24.5</v>
      </c>
      <c r="AE6" s="19">
        <f>'5qubits'!AF32</f>
        <v>24.2</v>
      </c>
    </row>
    <row r="7" spans="1:31" x14ac:dyDescent="0.45">
      <c r="A7" s="19"/>
      <c r="B7" s="19">
        <v>0.71852000000000005</v>
      </c>
      <c r="C7" s="19">
        <v>0.69811999999999996</v>
      </c>
      <c r="D7" s="19">
        <v>0.63647000000000009</v>
      </c>
      <c r="E7" s="19">
        <v>0.61817000000000011</v>
      </c>
      <c r="F7" s="19">
        <v>0.65393000000000001</v>
      </c>
      <c r="G7" s="19">
        <v>0.59411000000000003</v>
      </c>
      <c r="H7" s="19">
        <v>0.65563000000000005</v>
      </c>
      <c r="I7" s="19">
        <v>0.71263999999999994</v>
      </c>
      <c r="J7" s="19">
        <v>0.68066000000000004</v>
      </c>
      <c r="K7" s="19">
        <v>0.68579000000000012</v>
      </c>
      <c r="L7" s="19">
        <v>0.71861999999999993</v>
      </c>
      <c r="M7" s="19">
        <v>0.67162999999999995</v>
      </c>
      <c r="N7" s="19">
        <v>0.71972999999999998</v>
      </c>
      <c r="O7" s="19">
        <v>0.66198000000000012</v>
      </c>
      <c r="P7" s="19">
        <v>0.62390000000000001</v>
      </c>
      <c r="Q7" s="19">
        <v>0.65856999999999999</v>
      </c>
      <c r="R7" s="19">
        <v>0.67016000000000009</v>
      </c>
      <c r="S7" s="19">
        <v>0.64087000000000005</v>
      </c>
      <c r="T7" s="19">
        <v>0.63781999999999994</v>
      </c>
      <c r="U7" s="19">
        <v>0.70861999999999992</v>
      </c>
      <c r="V7" s="19">
        <v>0.70641999999999994</v>
      </c>
      <c r="W7" s="19">
        <v>0.5895999999999999</v>
      </c>
      <c r="X7" s="19">
        <v>0.67944999999999989</v>
      </c>
      <c r="Y7" s="19">
        <v>0.63573999999999997</v>
      </c>
      <c r="Z7" s="19">
        <v>0.69225999999999999</v>
      </c>
      <c r="AA7" s="19">
        <v>0.72840000000000005</v>
      </c>
      <c r="AB7" s="19">
        <v>0.72742000000000007</v>
      </c>
      <c r="AC7" s="19">
        <v>0.62060999999999999</v>
      </c>
      <c r="AD7" s="19">
        <v>0.65942999999999996</v>
      </c>
      <c r="AE7" s="19">
        <v>0.67688000000000004</v>
      </c>
    </row>
    <row r="9" spans="1:31" x14ac:dyDescent="0.45">
      <c r="A9" t="s">
        <v>59</v>
      </c>
      <c r="B9" s="19">
        <f>'5qubits'!C52</f>
        <v>26.2</v>
      </c>
      <c r="C9" s="19">
        <f>'5qubits'!D52</f>
        <v>25.8</v>
      </c>
      <c r="D9" s="19">
        <f>'5qubits'!E52</f>
        <v>26.3</v>
      </c>
      <c r="E9" s="19">
        <f>'5qubits'!F52</f>
        <v>26.3</v>
      </c>
      <c r="F9" s="19">
        <f>'5qubits'!G52</f>
        <v>26.2</v>
      </c>
      <c r="G9" s="19">
        <f>'5qubits'!H52</f>
        <v>26.2</v>
      </c>
      <c r="H9" s="19">
        <f>'5qubits'!I52</f>
        <v>26.1</v>
      </c>
      <c r="I9" s="19">
        <f>'5qubits'!J52</f>
        <v>25.6</v>
      </c>
      <c r="J9" s="19">
        <f>'5qubits'!K52</f>
        <v>26.4</v>
      </c>
      <c r="K9" s="19">
        <f>'5qubits'!L52</f>
        <v>28.3</v>
      </c>
      <c r="L9" s="19">
        <f>'5qubits'!M52</f>
        <v>26.7</v>
      </c>
      <c r="M9" s="19">
        <f>'5qubits'!N52</f>
        <v>26.2</v>
      </c>
      <c r="N9" s="19">
        <f>'5qubits'!O52</f>
        <v>26.4</v>
      </c>
      <c r="O9" s="19">
        <f>'5qubits'!P52</f>
        <v>26.4</v>
      </c>
      <c r="P9" s="19">
        <f>'5qubits'!Q52</f>
        <v>26.5</v>
      </c>
      <c r="Q9" s="19">
        <f>'5qubits'!R52</f>
        <v>27.2</v>
      </c>
      <c r="R9" s="19">
        <f>'5qubits'!S52</f>
        <v>27</v>
      </c>
      <c r="S9" s="19">
        <f>'5qubits'!T52</f>
        <v>26.7</v>
      </c>
      <c r="T9" s="19">
        <f>'5qubits'!U52</f>
        <v>26.6</v>
      </c>
      <c r="U9" s="19">
        <f>'5qubits'!V52</f>
        <v>26.9</v>
      </c>
      <c r="V9" s="19">
        <f>'5qubits'!W52</f>
        <v>26.6</v>
      </c>
      <c r="W9" s="19">
        <f>'5qubits'!X52</f>
        <v>26.3</v>
      </c>
      <c r="X9" s="19">
        <f>'5qubits'!Y52</f>
        <v>26.2</v>
      </c>
      <c r="Y9" s="19">
        <f>'5qubits'!Z52</f>
        <v>26.2</v>
      </c>
      <c r="Z9" s="19">
        <f>'5qubits'!AA52</f>
        <v>25.7</v>
      </c>
      <c r="AA9" s="19">
        <f>'5qubits'!AB52</f>
        <v>26.7</v>
      </c>
      <c r="AB9" s="19">
        <f>'5qubits'!AC52</f>
        <v>28.8</v>
      </c>
      <c r="AC9" s="19">
        <f>'5qubits'!AD52</f>
        <v>26.5</v>
      </c>
      <c r="AD9" s="19">
        <f>'5qubits'!AE52</f>
        <v>26.4</v>
      </c>
      <c r="AE9" s="19">
        <f>'5qubits'!AF52</f>
        <v>26.5</v>
      </c>
    </row>
    <row r="10" spans="1:31" x14ac:dyDescent="0.45">
      <c r="B10">
        <v>0.62121000000000004</v>
      </c>
      <c r="C10">
        <v>0.61817000000000011</v>
      </c>
      <c r="D10">
        <v>0.60865000000000002</v>
      </c>
      <c r="E10">
        <v>0.55610000000000004</v>
      </c>
      <c r="F10">
        <v>0.48778999999999995</v>
      </c>
      <c r="G10">
        <v>0.50719999999999998</v>
      </c>
      <c r="H10">
        <v>0.46509</v>
      </c>
      <c r="I10">
        <v>0.64087000000000005</v>
      </c>
      <c r="J10">
        <v>0.64539000000000002</v>
      </c>
      <c r="K10">
        <v>0.55688999999999989</v>
      </c>
      <c r="L10">
        <v>0.67784999999999995</v>
      </c>
      <c r="M10">
        <v>0.55737000000000003</v>
      </c>
      <c r="N10">
        <v>0.54565999999999992</v>
      </c>
      <c r="O10">
        <v>0.6551499999999999</v>
      </c>
      <c r="P10">
        <v>0.56810999999999989</v>
      </c>
      <c r="Q10">
        <v>0.55394999999999994</v>
      </c>
      <c r="R10">
        <v>0.57727000000000006</v>
      </c>
      <c r="S10">
        <v>0.54015999999999997</v>
      </c>
      <c r="T10">
        <v>0.60192999999999997</v>
      </c>
      <c r="U10">
        <v>0.62414000000000003</v>
      </c>
      <c r="V10">
        <v>0.57018000000000002</v>
      </c>
      <c r="W10">
        <v>0.50683</v>
      </c>
      <c r="X10">
        <v>0.44652999999999998</v>
      </c>
      <c r="Y10">
        <v>0.56420000000000003</v>
      </c>
      <c r="Z10">
        <v>0.59423000000000004</v>
      </c>
      <c r="AA10">
        <v>0.63269000000000009</v>
      </c>
      <c r="AB10">
        <v>0.62792999999999988</v>
      </c>
      <c r="AC10">
        <v>0.56652999999999998</v>
      </c>
      <c r="AD10">
        <v>0.48951000000000006</v>
      </c>
      <c r="AE10">
        <v>0.59655999999999998</v>
      </c>
    </row>
    <row r="12" spans="1:31" x14ac:dyDescent="0.45">
      <c r="A12" t="s">
        <v>60</v>
      </c>
      <c r="B12">
        <f>'5qubits'!C72</f>
        <v>29.3</v>
      </c>
      <c r="C12">
        <f>'5qubits'!D72</f>
        <v>29.6</v>
      </c>
      <c r="D12">
        <f>'5qubits'!E72</f>
        <v>29.2</v>
      </c>
      <c r="E12">
        <f>'5qubits'!F72</f>
        <v>29.3</v>
      </c>
      <c r="F12">
        <f>'5qubits'!G72</f>
        <v>29.2</v>
      </c>
      <c r="G12">
        <f>'5qubits'!H72</f>
        <v>29.9</v>
      </c>
      <c r="H12">
        <f>'5qubits'!I72</f>
        <v>30</v>
      </c>
      <c r="I12">
        <f>'5qubits'!J72</f>
        <v>29.2</v>
      </c>
      <c r="J12">
        <f>'5qubits'!K72</f>
        <v>29.4</v>
      </c>
      <c r="K12">
        <f>'5qubits'!L72</f>
        <v>29.4</v>
      </c>
      <c r="L12">
        <f>'5qubits'!M72</f>
        <v>29.5</v>
      </c>
      <c r="M12">
        <f>'5qubits'!N72</f>
        <v>29.3</v>
      </c>
      <c r="N12">
        <f>'5qubits'!O72</f>
        <v>29.7</v>
      </c>
      <c r="O12">
        <f>'5qubits'!P72</f>
        <v>29.5</v>
      </c>
      <c r="P12">
        <f>'5qubits'!Q72</f>
        <v>29.3</v>
      </c>
      <c r="Q12">
        <f>'5qubits'!R72</f>
        <v>29.3</v>
      </c>
      <c r="R12">
        <f>'5qubits'!S72</f>
        <v>30.1</v>
      </c>
      <c r="S12">
        <f>'5qubits'!T72</f>
        <v>29.3</v>
      </c>
      <c r="T12">
        <f>'5qubits'!U72</f>
        <v>29.5</v>
      </c>
      <c r="U12">
        <f>'5qubits'!V72</f>
        <v>29.7</v>
      </c>
      <c r="V12">
        <f>'5qubits'!W72</f>
        <v>29.3</v>
      </c>
      <c r="W12">
        <f>'5qubits'!X72</f>
        <v>29.3</v>
      </c>
      <c r="X12">
        <f>'5qubits'!Y72</f>
        <v>29.3</v>
      </c>
      <c r="Y12">
        <f>'5qubits'!Z72</f>
        <v>29.7</v>
      </c>
      <c r="Z12">
        <f>'5qubits'!AA72</f>
        <v>29.4</v>
      </c>
      <c r="AA12">
        <f>'5qubits'!AB72</f>
        <v>29.6</v>
      </c>
      <c r="AB12">
        <f>'5qubits'!AC72</f>
        <v>29.9</v>
      </c>
      <c r="AC12">
        <f>'5qubits'!AD72</f>
        <v>30.2</v>
      </c>
      <c r="AD12">
        <f>'5qubits'!AE72</f>
        <v>29.7</v>
      </c>
      <c r="AE12">
        <f>'5qubits'!AF72</f>
        <v>30</v>
      </c>
    </row>
    <row r="13" spans="1:31" x14ac:dyDescent="0.45">
      <c r="B13">
        <v>0.52807999999999988</v>
      </c>
      <c r="C13">
        <v>0.36523000000000005</v>
      </c>
      <c r="D13">
        <v>0.45972000000000002</v>
      </c>
      <c r="E13">
        <v>0.35779000000000005</v>
      </c>
      <c r="F13">
        <v>0.24755000000000002</v>
      </c>
      <c r="G13">
        <v>0.33849000000000001</v>
      </c>
      <c r="H13">
        <v>0.36963000000000001</v>
      </c>
      <c r="I13">
        <v>0.47997999999999996</v>
      </c>
      <c r="J13">
        <v>0.48816000000000004</v>
      </c>
      <c r="K13">
        <v>8.9969999999999994E-2</v>
      </c>
      <c r="L13">
        <v>0.43847000000000003</v>
      </c>
      <c r="M13">
        <v>0.26659999999999995</v>
      </c>
      <c r="N13">
        <v>0.50768999999999997</v>
      </c>
      <c r="O13">
        <v>0.49084000000000005</v>
      </c>
      <c r="P13">
        <v>0.41808999999999996</v>
      </c>
      <c r="Q13">
        <v>0.34558</v>
      </c>
      <c r="R13">
        <v>0.27209</v>
      </c>
      <c r="S13">
        <v>0.27466000000000002</v>
      </c>
      <c r="T13">
        <v>0.45057000000000003</v>
      </c>
      <c r="U13">
        <v>0.37706999999999996</v>
      </c>
      <c r="V13">
        <v>0.51819000000000004</v>
      </c>
      <c r="W13">
        <v>0.42932999999999999</v>
      </c>
      <c r="X13">
        <v>0.47802</v>
      </c>
      <c r="Y13">
        <v>0.4486</v>
      </c>
      <c r="Z13">
        <v>0.27685999999999999</v>
      </c>
      <c r="AA13">
        <v>0.49268000000000001</v>
      </c>
      <c r="AB13">
        <v>0.30688000000000004</v>
      </c>
      <c r="AC13">
        <v>0.40258999999999995</v>
      </c>
      <c r="AD13">
        <v>0.40745999999999993</v>
      </c>
      <c r="AE13">
        <v>0.37963999999999998</v>
      </c>
    </row>
    <row r="15" spans="1:31" x14ac:dyDescent="0.45">
      <c r="A15" t="s">
        <v>73</v>
      </c>
      <c r="B15">
        <f>'5qubits'!C92</f>
        <v>26.2</v>
      </c>
      <c r="C15">
        <f>'5qubits'!D92</f>
        <v>25.8</v>
      </c>
      <c r="D15">
        <f>'5qubits'!E92</f>
        <v>26.7</v>
      </c>
      <c r="E15">
        <f>'5qubits'!F92</f>
        <v>26.2</v>
      </c>
      <c r="F15">
        <f>'5qubits'!G92</f>
        <v>26.5</v>
      </c>
      <c r="G15">
        <f>'5qubits'!H92</f>
        <v>26.2</v>
      </c>
      <c r="H15">
        <f>'5qubits'!I92</f>
        <v>26</v>
      </c>
      <c r="I15">
        <f>'5qubits'!J92</f>
        <v>26.5</v>
      </c>
      <c r="J15">
        <f>'5qubits'!K92</f>
        <v>27.4</v>
      </c>
      <c r="K15">
        <f>'5qubits'!L92</f>
        <v>26.9</v>
      </c>
      <c r="L15">
        <f>'5qubits'!M92</f>
        <v>26.9</v>
      </c>
      <c r="M15">
        <f>'5qubits'!N92</f>
        <v>27.1</v>
      </c>
      <c r="N15">
        <f>'5qubits'!O92</f>
        <v>26.5</v>
      </c>
      <c r="O15">
        <f>'5qubits'!P92</f>
        <v>26.1</v>
      </c>
      <c r="P15">
        <f>'5qubits'!Q92</f>
        <v>26.2</v>
      </c>
      <c r="Q15">
        <f>'5qubits'!R92</f>
        <v>26</v>
      </c>
      <c r="R15">
        <f>'5qubits'!S92</f>
        <v>26.2</v>
      </c>
      <c r="S15">
        <f>'5qubits'!T92</f>
        <v>26.1</v>
      </c>
      <c r="T15">
        <f>'5qubits'!U92</f>
        <v>26.2</v>
      </c>
      <c r="U15">
        <f>'5qubits'!V92</f>
        <v>26.8</v>
      </c>
      <c r="V15">
        <f>'5qubits'!W92</f>
        <v>27.2</v>
      </c>
      <c r="W15">
        <f>'5qubits'!X92</f>
        <v>27</v>
      </c>
      <c r="X15">
        <f>'5qubits'!Y92</f>
        <v>26.7</v>
      </c>
      <c r="Y15">
        <f>'5qubits'!Z92</f>
        <v>26.2</v>
      </c>
      <c r="Z15">
        <f>'5qubits'!AA92</f>
        <v>26.2</v>
      </c>
      <c r="AA15">
        <f>'5qubits'!AB92</f>
        <v>26</v>
      </c>
      <c r="AB15">
        <f>'5qubits'!AC92</f>
        <v>26.4</v>
      </c>
      <c r="AC15">
        <f>'5qubits'!AD92</f>
        <v>26.4</v>
      </c>
      <c r="AD15">
        <f>'5qubits'!AE92</f>
        <v>26.2</v>
      </c>
      <c r="AE15">
        <f>'5qubits'!AF92</f>
        <v>26.6</v>
      </c>
    </row>
    <row r="16" spans="1:31" x14ac:dyDescent="0.45">
      <c r="B16">
        <v>0.62988</v>
      </c>
      <c r="C16">
        <v>0.69873999999999992</v>
      </c>
      <c r="D16">
        <v>0.63488</v>
      </c>
      <c r="E16">
        <v>0.63574000000000008</v>
      </c>
      <c r="F16">
        <v>0.61828000000000005</v>
      </c>
      <c r="G16">
        <v>0.42480999999999997</v>
      </c>
      <c r="H16">
        <v>0.70373999999999992</v>
      </c>
      <c r="I16">
        <v>0.67186999999999997</v>
      </c>
      <c r="J16">
        <v>0.75379000000000007</v>
      </c>
      <c r="K16">
        <v>0.6666200000000001</v>
      </c>
      <c r="L16">
        <v>0.60388000000000008</v>
      </c>
      <c r="M16">
        <v>0.67662999999999995</v>
      </c>
      <c r="N16">
        <v>0.6164599999999999</v>
      </c>
      <c r="O16">
        <v>0.62097000000000002</v>
      </c>
      <c r="P16">
        <v>0.6196299999999999</v>
      </c>
      <c r="Q16">
        <v>0.57495000000000007</v>
      </c>
      <c r="R16">
        <v>0.58960000000000001</v>
      </c>
      <c r="S16">
        <v>0.53808999999999996</v>
      </c>
      <c r="T16">
        <v>0.70909999999999995</v>
      </c>
      <c r="U16">
        <v>0.71545000000000003</v>
      </c>
      <c r="V16">
        <v>0.68847000000000014</v>
      </c>
      <c r="W16">
        <v>0.46582999999999997</v>
      </c>
      <c r="X16">
        <v>0.53125999999999995</v>
      </c>
      <c r="Y16">
        <v>0.70263999999999993</v>
      </c>
      <c r="Z16">
        <v>0.73962000000000006</v>
      </c>
      <c r="AA16">
        <v>0.70727000000000007</v>
      </c>
      <c r="AB16">
        <v>0.72277000000000002</v>
      </c>
      <c r="AC16">
        <v>0.61389000000000005</v>
      </c>
      <c r="AD16">
        <v>0.65587999999999991</v>
      </c>
      <c r="AE16">
        <v>0.72364000000000006</v>
      </c>
    </row>
    <row r="18" spans="1:31" x14ac:dyDescent="0.45">
      <c r="A18" t="s">
        <v>293</v>
      </c>
      <c r="B18">
        <f>'5qubits'!C112</f>
        <v>24.7</v>
      </c>
      <c r="C18">
        <f>'5qubits'!D112</f>
        <v>24.9</v>
      </c>
      <c r="D18">
        <f>'5qubits'!E112</f>
        <v>24.6</v>
      </c>
      <c r="E18">
        <f>'5qubits'!F112</f>
        <v>24.6</v>
      </c>
      <c r="F18">
        <f>'5qubits'!G112</f>
        <v>24.7</v>
      </c>
      <c r="G18">
        <f>'5qubits'!H112</f>
        <v>24.4</v>
      </c>
      <c r="H18">
        <f>'5qubits'!I112</f>
        <v>24.5</v>
      </c>
      <c r="I18">
        <f>'5qubits'!J112</f>
        <v>24.7</v>
      </c>
      <c r="J18">
        <f>'5qubits'!K112</f>
        <v>24.3</v>
      </c>
      <c r="K18">
        <f>'5qubits'!L112</f>
        <v>24.3</v>
      </c>
      <c r="L18">
        <f>'5qubits'!M112</f>
        <v>24.6</v>
      </c>
      <c r="M18">
        <f>'5qubits'!N112</f>
        <v>24.7</v>
      </c>
      <c r="N18">
        <f>'5qubits'!O112</f>
        <v>24.7</v>
      </c>
      <c r="O18">
        <f>'5qubits'!P112</f>
        <v>24.3</v>
      </c>
      <c r="P18">
        <f>'5qubits'!Q112</f>
        <v>24.6</v>
      </c>
      <c r="Q18">
        <f>'5qubits'!R112</f>
        <v>24.5</v>
      </c>
      <c r="R18">
        <f>'5qubits'!S112</f>
        <v>24.4</v>
      </c>
      <c r="S18">
        <f>'5qubits'!T112</f>
        <v>24.6</v>
      </c>
      <c r="T18">
        <f>'5qubits'!U112</f>
        <v>24.5</v>
      </c>
      <c r="U18">
        <f>'5qubits'!V112</f>
        <v>24.8</v>
      </c>
      <c r="V18">
        <f>'5qubits'!W112</f>
        <v>24.5</v>
      </c>
      <c r="W18">
        <f>'5qubits'!X112</f>
        <v>24.7</v>
      </c>
      <c r="X18">
        <f>'5qubits'!Y112</f>
        <v>24.3</v>
      </c>
      <c r="Y18">
        <f>'5qubits'!Z112</f>
        <v>24.4</v>
      </c>
      <c r="Z18">
        <f>'5qubits'!AA112</f>
        <v>24.5</v>
      </c>
      <c r="AA18">
        <f>'5qubits'!AB112</f>
        <v>24.6</v>
      </c>
      <c r="AB18">
        <f>'5qubits'!AC112</f>
        <v>24.5</v>
      </c>
      <c r="AC18">
        <f>'5qubits'!AD112</f>
        <v>24.4</v>
      </c>
      <c r="AD18">
        <f>'5qubits'!AE112</f>
        <v>24.6</v>
      </c>
      <c r="AE18">
        <f>'5qubits'!AF112</f>
        <v>24.9</v>
      </c>
    </row>
    <row r="19" spans="1:31" x14ac:dyDescent="0.45">
      <c r="B19">
        <v>0.62146000000000001</v>
      </c>
      <c r="C19">
        <v>0.66332999999999998</v>
      </c>
      <c r="D19">
        <v>0.52661000000000002</v>
      </c>
      <c r="E19">
        <v>0.50341999999999998</v>
      </c>
      <c r="F19">
        <v>0.46521000000000001</v>
      </c>
      <c r="G19">
        <v>0.44519000000000003</v>
      </c>
      <c r="H19">
        <v>0.64563000000000004</v>
      </c>
      <c r="I19">
        <v>0.66406999999999994</v>
      </c>
      <c r="J19">
        <v>0.66150000000000009</v>
      </c>
      <c r="K19">
        <v>0.5103700000000001</v>
      </c>
      <c r="L19">
        <v>0.53198999999999996</v>
      </c>
      <c r="M19">
        <v>0.66540999999999995</v>
      </c>
      <c r="N19">
        <v>0.55139000000000005</v>
      </c>
      <c r="O19">
        <v>0.67968999999999991</v>
      </c>
      <c r="P19">
        <v>0.59900999999999993</v>
      </c>
      <c r="Q19">
        <v>0.47558</v>
      </c>
      <c r="R19">
        <v>0.47606999999999999</v>
      </c>
      <c r="S19">
        <v>0.58545000000000003</v>
      </c>
      <c r="T19">
        <v>0.61182000000000003</v>
      </c>
      <c r="U19">
        <v>0.61487000000000003</v>
      </c>
      <c r="V19">
        <v>0.63</v>
      </c>
      <c r="W19">
        <v>0.48536000000000001</v>
      </c>
      <c r="X19">
        <v>0.59704999999999997</v>
      </c>
      <c r="Y19">
        <v>0.51270000000000004</v>
      </c>
      <c r="Z19">
        <v>0.66126000000000007</v>
      </c>
      <c r="AA19">
        <v>0.65759000000000001</v>
      </c>
      <c r="AB19">
        <v>0.51085999999999998</v>
      </c>
      <c r="AC19">
        <v>0.51136000000000004</v>
      </c>
      <c r="AD19">
        <v>0.60350999999999999</v>
      </c>
      <c r="AE19">
        <v>0.58118000000000003</v>
      </c>
    </row>
    <row r="21" spans="1:31" x14ac:dyDescent="0.45">
      <c r="A21" t="s">
        <v>213</v>
      </c>
      <c r="B21">
        <f>'5qubits'!C132</f>
        <v>27</v>
      </c>
      <c r="C21">
        <f>'5qubits'!D132</f>
        <v>27</v>
      </c>
      <c r="D21">
        <f>'5qubits'!E132</f>
        <v>27.5</v>
      </c>
      <c r="E21">
        <f>'5qubits'!F132</f>
        <v>27.7</v>
      </c>
      <c r="F21">
        <f>'5qubits'!G132</f>
        <v>28.9</v>
      </c>
      <c r="G21">
        <f>'5qubits'!H132</f>
        <v>29.1</v>
      </c>
      <c r="H21">
        <f>'5qubits'!I132</f>
        <v>28.8</v>
      </c>
      <c r="I21">
        <f>'5qubits'!J132</f>
        <v>29.1</v>
      </c>
      <c r="J21">
        <f>'5qubits'!K132</f>
        <v>26.8</v>
      </c>
      <c r="K21">
        <f>'5qubits'!L132</f>
        <v>26.8</v>
      </c>
      <c r="L21">
        <f>'5qubits'!M132</f>
        <v>27.5</v>
      </c>
      <c r="M21">
        <f>'5qubits'!N132</f>
        <v>27.9</v>
      </c>
      <c r="N21">
        <f>'5qubits'!O132</f>
        <v>29.9</v>
      </c>
      <c r="O21">
        <f>'5qubits'!P132</f>
        <v>26.7</v>
      </c>
      <c r="P21">
        <f>'5qubits'!Q132</f>
        <v>25.8</v>
      </c>
      <c r="Q21">
        <f>'5qubits'!R132</f>
        <v>26</v>
      </c>
      <c r="R21">
        <f>'5qubits'!S132</f>
        <v>26.1</v>
      </c>
      <c r="S21">
        <f>'5qubits'!T132</f>
        <v>27.6</v>
      </c>
      <c r="T21">
        <f>'5qubits'!U132</f>
        <v>27.9</v>
      </c>
      <c r="U21">
        <f>'5qubits'!V132</f>
        <v>29.2</v>
      </c>
      <c r="V21">
        <f>'5qubits'!W132</f>
        <v>26.2</v>
      </c>
      <c r="W21">
        <f>'5qubits'!X132</f>
        <v>26.3</v>
      </c>
      <c r="X21">
        <f>'5qubits'!Y132</f>
        <v>26.8</v>
      </c>
      <c r="Y21">
        <f>'5qubits'!Z132</f>
        <v>27.2</v>
      </c>
      <c r="Z21">
        <f>'5qubits'!AA132</f>
        <v>27.4</v>
      </c>
      <c r="AA21">
        <f>'5qubits'!AB132</f>
        <v>26</v>
      </c>
      <c r="AB21">
        <f>'5qubits'!AC132</f>
        <v>29.5</v>
      </c>
      <c r="AC21">
        <f>'5qubits'!AD132</f>
        <v>28.8</v>
      </c>
      <c r="AD21">
        <f>'5qubits'!AE132</f>
        <v>28.5</v>
      </c>
      <c r="AE21">
        <f>'5qubits'!AF132</f>
        <v>26</v>
      </c>
    </row>
    <row r="22" spans="1:31" x14ac:dyDescent="0.45">
      <c r="B22">
        <v>0.63611000000000006</v>
      </c>
      <c r="C22">
        <v>0.61572000000000005</v>
      </c>
      <c r="D22">
        <v>0.69323000000000012</v>
      </c>
      <c r="E22">
        <v>0.49804999999999999</v>
      </c>
      <c r="F22">
        <v>0.64807000000000003</v>
      </c>
      <c r="G22">
        <v>0.61621000000000004</v>
      </c>
      <c r="H22">
        <v>0.65844999999999998</v>
      </c>
      <c r="I22">
        <v>0.71862999999999999</v>
      </c>
      <c r="J22">
        <v>0.67787000000000008</v>
      </c>
      <c r="K22">
        <v>0.66564999999999996</v>
      </c>
      <c r="L22">
        <v>0.62451000000000012</v>
      </c>
      <c r="M22">
        <v>0.71521000000000001</v>
      </c>
      <c r="N22">
        <v>0.60021999999999998</v>
      </c>
      <c r="O22">
        <v>0.61547000000000007</v>
      </c>
      <c r="P22">
        <v>0.60949000000000009</v>
      </c>
      <c r="Q22">
        <v>0.58582000000000012</v>
      </c>
      <c r="R22">
        <v>0.59495999999999993</v>
      </c>
      <c r="S22">
        <v>0.57995000000000008</v>
      </c>
      <c r="T22">
        <v>0.64734999999999998</v>
      </c>
      <c r="U22">
        <v>0.6458799999999999</v>
      </c>
      <c r="V22">
        <v>0.52673000000000003</v>
      </c>
      <c r="W22">
        <v>0.50977000000000006</v>
      </c>
      <c r="X22">
        <v>0.50977000000000006</v>
      </c>
      <c r="Y22">
        <v>0.63977000000000006</v>
      </c>
      <c r="Z22">
        <v>0.65465999999999991</v>
      </c>
      <c r="AA22">
        <v>0.58776000000000006</v>
      </c>
      <c r="AB22">
        <v>0.58055999999999996</v>
      </c>
      <c r="AC22">
        <v>0.61485999999999996</v>
      </c>
      <c r="AD22">
        <v>0.46703000000000006</v>
      </c>
      <c r="AE22">
        <v>0.68432000000000004</v>
      </c>
    </row>
    <row r="24" spans="1:31" x14ac:dyDescent="0.45">
      <c r="A24" t="s">
        <v>245</v>
      </c>
      <c r="B24">
        <f>'5qubits'!C152</f>
        <v>26.5</v>
      </c>
      <c r="C24">
        <f>'5qubits'!D152</f>
        <v>26.6</v>
      </c>
      <c r="D24">
        <f>'5qubits'!E152</f>
        <v>26.4</v>
      </c>
      <c r="E24">
        <f>'5qubits'!F152</f>
        <v>26.6</v>
      </c>
      <c r="F24">
        <f>'5qubits'!G152</f>
        <v>26.7</v>
      </c>
      <c r="G24">
        <f>'5qubits'!H152</f>
        <v>26.4</v>
      </c>
      <c r="H24">
        <f>'5qubits'!I152</f>
        <v>28</v>
      </c>
      <c r="I24">
        <f>'5qubits'!J152</f>
        <v>27.3</v>
      </c>
      <c r="J24">
        <f>'5qubits'!K152</f>
        <v>27.6</v>
      </c>
      <c r="K24">
        <f>'5qubits'!L152</f>
        <v>27.5</v>
      </c>
      <c r="L24">
        <f>'5qubits'!M152</f>
        <v>27.6</v>
      </c>
      <c r="M24">
        <f>'5qubits'!N152</f>
        <v>27.7</v>
      </c>
      <c r="N24">
        <f>'5qubits'!O152</f>
        <v>27.3</v>
      </c>
      <c r="O24">
        <f>'5qubits'!P152</f>
        <v>27.4</v>
      </c>
      <c r="P24">
        <f>'5qubits'!Q152</f>
        <v>28.1</v>
      </c>
      <c r="Q24">
        <f>'5qubits'!R152</f>
        <v>26.5</v>
      </c>
      <c r="R24">
        <f>'5qubits'!S152</f>
        <v>26.8</v>
      </c>
      <c r="S24">
        <f>'5qubits'!T152</f>
        <v>27</v>
      </c>
      <c r="T24">
        <f>'5qubits'!U152</f>
        <v>27.3</v>
      </c>
      <c r="U24">
        <f>'5qubits'!V152</f>
        <v>27.6</v>
      </c>
      <c r="V24">
        <f>'5qubits'!W152</f>
        <v>27.5</v>
      </c>
      <c r="W24">
        <f>'5qubits'!X152</f>
        <v>27.7</v>
      </c>
      <c r="X24">
        <f>'5qubits'!Y152</f>
        <v>27.1</v>
      </c>
      <c r="Y24">
        <f>'5qubits'!Z152</f>
        <v>27.3</v>
      </c>
      <c r="Z24">
        <f>'5qubits'!AA152</f>
        <v>26.8</v>
      </c>
      <c r="AA24">
        <f>'5qubits'!AB152</f>
        <v>26.6</v>
      </c>
      <c r="AB24">
        <f>'5qubits'!AC152</f>
        <v>26.2</v>
      </c>
      <c r="AC24">
        <f>'5qubits'!AD152</f>
        <v>28.5</v>
      </c>
      <c r="AD24">
        <f>'5qubits'!AE152</f>
        <v>28.5</v>
      </c>
      <c r="AE24">
        <f>'5qubits'!AF152</f>
        <v>28.5</v>
      </c>
    </row>
    <row r="25" spans="1:31" x14ac:dyDescent="0.45">
      <c r="B25">
        <v>0.67883000000000004</v>
      </c>
      <c r="C25">
        <v>0.70667000000000002</v>
      </c>
      <c r="D25">
        <v>0.70787999999999995</v>
      </c>
      <c r="E25">
        <v>0.67150999999999994</v>
      </c>
      <c r="F25">
        <v>0.68897000000000008</v>
      </c>
      <c r="G25">
        <v>0.68115000000000014</v>
      </c>
      <c r="H25">
        <v>0.72790999999999995</v>
      </c>
      <c r="I25">
        <v>0.71289000000000002</v>
      </c>
      <c r="J25">
        <v>0.77649000000000001</v>
      </c>
      <c r="K25">
        <v>0.66919000000000006</v>
      </c>
      <c r="L25">
        <v>0.72448999999999997</v>
      </c>
      <c r="M25">
        <v>0.74365999999999999</v>
      </c>
      <c r="N25">
        <v>0.73253999999999986</v>
      </c>
      <c r="O25">
        <v>0.7434099999999999</v>
      </c>
      <c r="P25">
        <v>0.71935999999999989</v>
      </c>
      <c r="Q25">
        <v>0.71997</v>
      </c>
      <c r="R25">
        <v>0.67956000000000005</v>
      </c>
      <c r="S25">
        <v>0.64013999999999993</v>
      </c>
      <c r="T25">
        <v>0.72620000000000007</v>
      </c>
      <c r="U25">
        <v>0.73790999999999995</v>
      </c>
      <c r="V25">
        <v>0.59753000000000012</v>
      </c>
      <c r="W25">
        <v>0.65490999999999999</v>
      </c>
      <c r="X25">
        <v>0.67774000000000001</v>
      </c>
      <c r="Y25">
        <v>0.68225000000000013</v>
      </c>
      <c r="Z25">
        <v>0.71728999999999998</v>
      </c>
      <c r="AA25">
        <v>0.6916500000000001</v>
      </c>
      <c r="AB25">
        <v>0.6855500000000001</v>
      </c>
      <c r="AC25">
        <v>0.71105999999999991</v>
      </c>
      <c r="AD25">
        <v>0.69677999999999995</v>
      </c>
      <c r="AE25">
        <v>0.69542999999999988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06B5A-74D7-4176-8A17-79A8195428BD}">
  <sheetPr>
    <pageSetUpPr fitToPage="1"/>
  </sheetPr>
  <dimension ref="A1:X64"/>
  <sheetViews>
    <sheetView zoomScaleNormal="100" workbookViewId="0">
      <selection activeCell="D5" sqref="D5"/>
    </sheetView>
  </sheetViews>
  <sheetFormatPr defaultRowHeight="14.25" x14ac:dyDescent="0.45"/>
  <cols>
    <col min="1" max="1" width="3.1328125" style="19" customWidth="1"/>
    <col min="2" max="2" width="8.9296875" style="19" customWidth="1"/>
    <col min="3" max="4" width="6.53125" style="19" customWidth="1"/>
    <col min="5" max="5" width="8.796875" style="19" customWidth="1"/>
    <col min="6" max="6" width="7.46484375" style="19" customWidth="1"/>
    <col min="7" max="7" width="3.796875" style="19" customWidth="1"/>
    <col min="8" max="8" width="12.73046875" style="19" customWidth="1"/>
    <col min="9" max="9" width="6.6640625" style="19" customWidth="1"/>
    <col min="10" max="10" width="6.1328125" style="19" customWidth="1"/>
    <col min="11" max="11" width="9.06640625" style="19"/>
    <col min="12" max="12" width="7.59765625" style="19" customWidth="1"/>
    <col min="13" max="13" width="4.06640625" style="19" customWidth="1"/>
    <col min="14" max="14" width="12.53125" style="19" customWidth="1"/>
    <col min="15" max="15" width="6.3984375" style="19" customWidth="1"/>
    <col min="16" max="16" width="6.53125" style="19" customWidth="1"/>
    <col min="17" max="17" width="8.9296875" style="19" customWidth="1"/>
    <col min="18" max="18" width="7.19921875" style="19" customWidth="1"/>
    <col min="19" max="19" width="3.796875" style="19" customWidth="1"/>
    <col min="20" max="20" width="13.59765625" style="19" customWidth="1"/>
    <col min="21" max="22" width="6.59765625" style="19" customWidth="1"/>
    <col min="23" max="23" width="8.796875" style="19" customWidth="1"/>
    <col min="24" max="24" width="7.3984375" style="19" customWidth="1"/>
    <col min="25" max="16384" width="9.06640625" style="19"/>
  </cols>
  <sheetData>
    <row r="1" spans="1:24" x14ac:dyDescent="0.45">
      <c r="A1" s="2" t="s">
        <v>343</v>
      </c>
    </row>
    <row r="2" spans="1:24" x14ac:dyDescent="0.45">
      <c r="A2" s="32" t="s">
        <v>341</v>
      </c>
    </row>
    <row r="3" spans="1:24" ht="14.65" thickBot="1" x14ac:dyDescent="0.5"/>
    <row r="4" spans="1:24" ht="28.5" x14ac:dyDescent="0.45">
      <c r="B4" s="38" t="s">
        <v>0</v>
      </c>
      <c r="C4" s="39" t="s">
        <v>337</v>
      </c>
      <c r="D4" s="39" t="s">
        <v>339</v>
      </c>
      <c r="E4" s="39" t="s">
        <v>342</v>
      </c>
      <c r="F4" s="39" t="s">
        <v>338</v>
      </c>
      <c r="H4" s="39" t="s">
        <v>0</v>
      </c>
      <c r="I4" s="39" t="s">
        <v>337</v>
      </c>
      <c r="J4" s="39" t="s">
        <v>339</v>
      </c>
      <c r="K4" s="39" t="s">
        <v>342</v>
      </c>
      <c r="L4" s="39" t="s">
        <v>338</v>
      </c>
      <c r="N4" s="39" t="s">
        <v>0</v>
      </c>
      <c r="O4" s="39" t="s">
        <v>337</v>
      </c>
      <c r="P4" s="39" t="s">
        <v>339</v>
      </c>
      <c r="Q4" s="39" t="s">
        <v>342</v>
      </c>
      <c r="R4" s="39" t="s">
        <v>338</v>
      </c>
      <c r="T4" s="39" t="s">
        <v>0</v>
      </c>
      <c r="U4" s="39" t="s">
        <v>337</v>
      </c>
      <c r="V4" s="39" t="s">
        <v>339</v>
      </c>
      <c r="W4" s="39" t="s">
        <v>342</v>
      </c>
      <c r="X4" s="40" t="s">
        <v>338</v>
      </c>
    </row>
    <row r="5" spans="1:24" x14ac:dyDescent="0.45">
      <c r="A5" s="46">
        <v>1</v>
      </c>
      <c r="B5" s="35" t="s">
        <v>7</v>
      </c>
      <c r="C5" s="33">
        <v>24</v>
      </c>
      <c r="D5" s="33">
        <v>32</v>
      </c>
      <c r="E5" s="33">
        <v>23.6</v>
      </c>
      <c r="F5" s="33">
        <v>0.53661999999999999</v>
      </c>
      <c r="G5" s="46">
        <v>1</v>
      </c>
      <c r="H5" s="42" t="s">
        <v>59</v>
      </c>
      <c r="I5" s="42">
        <v>77</v>
      </c>
      <c r="J5" s="42">
        <v>32</v>
      </c>
      <c r="K5" s="42">
        <v>26.2</v>
      </c>
      <c r="L5" s="42">
        <v>0.62121000000000004</v>
      </c>
      <c r="M5" s="46">
        <v>1</v>
      </c>
      <c r="N5" s="33" t="s">
        <v>73</v>
      </c>
      <c r="O5" s="33">
        <v>60</v>
      </c>
      <c r="P5" s="33">
        <v>32</v>
      </c>
      <c r="Q5" s="33">
        <v>26.2</v>
      </c>
      <c r="R5" s="33">
        <v>0.62988</v>
      </c>
      <c r="S5" s="46">
        <v>1</v>
      </c>
      <c r="T5" s="42" t="s">
        <v>213</v>
      </c>
      <c r="U5" s="42">
        <v>61</v>
      </c>
      <c r="V5" s="42">
        <v>32</v>
      </c>
      <c r="W5" s="42">
        <v>27</v>
      </c>
      <c r="X5" s="45">
        <v>0.63611000000000006</v>
      </c>
    </row>
    <row r="6" spans="1:24" x14ac:dyDescent="0.45">
      <c r="A6" s="46">
        <v>2</v>
      </c>
      <c r="B6" s="35" t="s">
        <v>7</v>
      </c>
      <c r="C6" s="33">
        <v>24</v>
      </c>
      <c r="D6" s="33">
        <v>32</v>
      </c>
      <c r="E6" s="33">
        <v>23.6</v>
      </c>
      <c r="F6" s="33">
        <v>0.52954000000000001</v>
      </c>
      <c r="G6" s="46">
        <v>2</v>
      </c>
      <c r="H6" s="42" t="s">
        <v>59</v>
      </c>
      <c r="I6" s="42">
        <v>57</v>
      </c>
      <c r="J6" s="42">
        <v>32</v>
      </c>
      <c r="K6" s="42">
        <v>25.8</v>
      </c>
      <c r="L6" s="42">
        <v>0.61817000000000011</v>
      </c>
      <c r="M6" s="46">
        <v>2</v>
      </c>
      <c r="N6" s="33" t="s">
        <v>73</v>
      </c>
      <c r="O6" s="33">
        <v>70</v>
      </c>
      <c r="P6" s="33">
        <v>32</v>
      </c>
      <c r="Q6" s="33">
        <v>25.8</v>
      </c>
      <c r="R6" s="33">
        <v>0.69873999999999992</v>
      </c>
      <c r="S6" s="46">
        <v>2</v>
      </c>
      <c r="T6" s="42" t="s">
        <v>213</v>
      </c>
      <c r="U6" s="42">
        <v>70</v>
      </c>
      <c r="V6" s="42">
        <v>32</v>
      </c>
      <c r="W6" s="42">
        <v>27</v>
      </c>
      <c r="X6" s="45">
        <v>0.61572000000000005</v>
      </c>
    </row>
    <row r="7" spans="1:24" x14ac:dyDescent="0.45">
      <c r="A7" s="46">
        <v>3</v>
      </c>
      <c r="B7" s="35" t="s">
        <v>7</v>
      </c>
      <c r="C7" s="33">
        <v>24</v>
      </c>
      <c r="D7" s="33">
        <v>32</v>
      </c>
      <c r="E7" s="33">
        <v>23.4</v>
      </c>
      <c r="F7" s="33">
        <v>0.53674000000000011</v>
      </c>
      <c r="G7" s="46">
        <v>3</v>
      </c>
      <c r="H7" s="42" t="s">
        <v>59</v>
      </c>
      <c r="I7" s="42">
        <v>48</v>
      </c>
      <c r="J7" s="42">
        <v>32</v>
      </c>
      <c r="K7" s="42">
        <v>26.3</v>
      </c>
      <c r="L7" s="42">
        <v>0.60865000000000002</v>
      </c>
      <c r="M7" s="46">
        <v>3</v>
      </c>
      <c r="N7" s="33" t="s">
        <v>73</v>
      </c>
      <c r="O7" s="33">
        <v>68</v>
      </c>
      <c r="P7" s="33">
        <v>32</v>
      </c>
      <c r="Q7" s="33">
        <v>26.7</v>
      </c>
      <c r="R7" s="33">
        <v>0.63488</v>
      </c>
      <c r="S7" s="46">
        <v>3</v>
      </c>
      <c r="T7" s="42" t="s">
        <v>213</v>
      </c>
      <c r="U7" s="42">
        <v>77</v>
      </c>
      <c r="V7" s="42">
        <v>32</v>
      </c>
      <c r="W7" s="42">
        <v>27.5</v>
      </c>
      <c r="X7" s="45">
        <v>0.69323000000000012</v>
      </c>
    </row>
    <row r="8" spans="1:24" x14ac:dyDescent="0.45">
      <c r="A8" s="46">
        <v>4</v>
      </c>
      <c r="B8" s="35" t="s">
        <v>7</v>
      </c>
      <c r="C8" s="33">
        <v>28</v>
      </c>
      <c r="D8" s="33">
        <v>42</v>
      </c>
      <c r="E8" s="33">
        <v>23.6</v>
      </c>
      <c r="F8" s="33">
        <v>0.46460000000000001</v>
      </c>
      <c r="G8" s="46">
        <v>4</v>
      </c>
      <c r="H8" s="42" t="s">
        <v>59</v>
      </c>
      <c r="I8" s="42">
        <v>73</v>
      </c>
      <c r="J8" s="42">
        <v>43</v>
      </c>
      <c r="K8" s="42">
        <v>26.3</v>
      </c>
      <c r="L8" s="42">
        <v>0.55610000000000004</v>
      </c>
      <c r="M8" s="46">
        <v>4</v>
      </c>
      <c r="N8" s="33" t="s">
        <v>73</v>
      </c>
      <c r="O8" s="33">
        <v>75</v>
      </c>
      <c r="P8" s="33">
        <v>43</v>
      </c>
      <c r="Q8" s="33">
        <v>26.2</v>
      </c>
      <c r="R8" s="33">
        <v>0.63574000000000008</v>
      </c>
      <c r="S8" s="46">
        <v>4</v>
      </c>
      <c r="T8" s="42" t="s">
        <v>213</v>
      </c>
      <c r="U8" s="42">
        <v>53</v>
      </c>
      <c r="V8" s="42">
        <v>44</v>
      </c>
      <c r="W8" s="42">
        <v>27.7</v>
      </c>
      <c r="X8" s="45">
        <v>0.49804999999999999</v>
      </c>
    </row>
    <row r="9" spans="1:24" x14ac:dyDescent="0.45">
      <c r="A9" s="46">
        <v>5</v>
      </c>
      <c r="B9" s="35" t="s">
        <v>7</v>
      </c>
      <c r="C9" s="33">
        <v>28</v>
      </c>
      <c r="D9" s="33">
        <v>42</v>
      </c>
      <c r="E9" s="33">
        <v>23.4</v>
      </c>
      <c r="F9" s="33">
        <v>0.44483000000000006</v>
      </c>
      <c r="G9" s="46">
        <v>5</v>
      </c>
      <c r="H9" s="42" t="s">
        <v>59</v>
      </c>
      <c r="I9" s="42">
        <v>61</v>
      </c>
      <c r="J9" s="42">
        <v>43</v>
      </c>
      <c r="K9" s="42">
        <v>26.2</v>
      </c>
      <c r="L9" s="42">
        <v>0.48778999999999995</v>
      </c>
      <c r="M9" s="46">
        <v>5</v>
      </c>
      <c r="N9" s="33" t="s">
        <v>73</v>
      </c>
      <c r="O9" s="33">
        <v>70</v>
      </c>
      <c r="P9" s="33">
        <v>42</v>
      </c>
      <c r="Q9" s="33">
        <v>26.5</v>
      </c>
      <c r="R9" s="33">
        <v>0.61828000000000005</v>
      </c>
      <c r="S9" s="46">
        <v>5</v>
      </c>
      <c r="T9" s="42" t="s">
        <v>213</v>
      </c>
      <c r="U9" s="42">
        <v>79</v>
      </c>
      <c r="V9" s="42">
        <v>44</v>
      </c>
      <c r="W9" s="42">
        <v>28.9</v>
      </c>
      <c r="X9" s="45">
        <v>0.64807000000000003</v>
      </c>
    </row>
    <row r="10" spans="1:24" x14ac:dyDescent="0.45">
      <c r="A10" s="46">
        <v>6</v>
      </c>
      <c r="B10" s="35" t="s">
        <v>7</v>
      </c>
      <c r="C10" s="33">
        <v>28</v>
      </c>
      <c r="D10" s="33">
        <v>42</v>
      </c>
      <c r="E10" s="33">
        <v>23.5</v>
      </c>
      <c r="F10" s="33">
        <v>0.45740000000000003</v>
      </c>
      <c r="G10" s="46">
        <v>6</v>
      </c>
      <c r="H10" s="42" t="s">
        <v>59</v>
      </c>
      <c r="I10" s="42">
        <v>51</v>
      </c>
      <c r="J10" s="42">
        <v>43</v>
      </c>
      <c r="K10" s="42">
        <v>26.2</v>
      </c>
      <c r="L10" s="42">
        <v>0.50719999999999998</v>
      </c>
      <c r="M10" s="46">
        <v>6</v>
      </c>
      <c r="N10" s="33" t="s">
        <v>73</v>
      </c>
      <c r="O10" s="33">
        <v>51</v>
      </c>
      <c r="P10" s="33">
        <v>43</v>
      </c>
      <c r="Q10" s="33">
        <v>26.2</v>
      </c>
      <c r="R10" s="33">
        <v>0.42480999999999997</v>
      </c>
      <c r="S10" s="46">
        <v>6</v>
      </c>
      <c r="T10" s="42" t="s">
        <v>213</v>
      </c>
      <c r="U10" s="42">
        <v>66</v>
      </c>
      <c r="V10" s="42">
        <v>42</v>
      </c>
      <c r="W10" s="42">
        <v>29.1</v>
      </c>
      <c r="X10" s="45">
        <v>0.61621000000000004</v>
      </c>
    </row>
    <row r="11" spans="1:24" x14ac:dyDescent="0.45">
      <c r="A11" s="46">
        <v>7</v>
      </c>
      <c r="B11" s="35" t="s">
        <v>7</v>
      </c>
      <c r="C11" s="33">
        <v>24</v>
      </c>
      <c r="D11" s="33">
        <v>37</v>
      </c>
      <c r="E11" s="33">
        <v>23.5</v>
      </c>
      <c r="F11" s="33">
        <v>0.57886000000000004</v>
      </c>
      <c r="G11" s="46">
        <v>7</v>
      </c>
      <c r="H11" s="42" t="s">
        <v>59</v>
      </c>
      <c r="I11" s="42">
        <v>76</v>
      </c>
      <c r="J11" s="42">
        <v>37</v>
      </c>
      <c r="K11" s="42">
        <v>26.1</v>
      </c>
      <c r="L11" s="42">
        <v>0.46509</v>
      </c>
      <c r="M11" s="46">
        <v>7</v>
      </c>
      <c r="N11" s="33" t="s">
        <v>73</v>
      </c>
      <c r="O11" s="33">
        <v>85</v>
      </c>
      <c r="P11" s="33">
        <v>37</v>
      </c>
      <c r="Q11" s="33">
        <v>26</v>
      </c>
      <c r="R11" s="33">
        <v>0.70373999999999992</v>
      </c>
      <c r="S11" s="46">
        <v>7</v>
      </c>
      <c r="T11" s="42" t="s">
        <v>213</v>
      </c>
      <c r="U11" s="42">
        <v>78</v>
      </c>
      <c r="V11" s="42">
        <v>37</v>
      </c>
      <c r="W11" s="42">
        <v>28.8</v>
      </c>
      <c r="X11" s="45">
        <v>0.65844999999999998</v>
      </c>
    </row>
    <row r="12" spans="1:24" x14ac:dyDescent="0.45">
      <c r="A12" s="46">
        <v>8</v>
      </c>
      <c r="B12" s="35" t="s">
        <v>7</v>
      </c>
      <c r="C12" s="33">
        <v>24</v>
      </c>
      <c r="D12" s="33">
        <v>37</v>
      </c>
      <c r="E12" s="33">
        <v>23.6</v>
      </c>
      <c r="F12" s="33">
        <v>0.59143000000000001</v>
      </c>
      <c r="G12" s="46">
        <v>8</v>
      </c>
      <c r="H12" s="42" t="s">
        <v>59</v>
      </c>
      <c r="I12" s="42">
        <v>76</v>
      </c>
      <c r="J12" s="42">
        <v>37</v>
      </c>
      <c r="K12" s="42">
        <v>25.6</v>
      </c>
      <c r="L12" s="42">
        <v>0.64087000000000005</v>
      </c>
      <c r="M12" s="46">
        <v>8</v>
      </c>
      <c r="N12" s="33" t="s">
        <v>73</v>
      </c>
      <c r="O12" s="33">
        <v>73</v>
      </c>
      <c r="P12" s="33">
        <v>37</v>
      </c>
      <c r="Q12" s="33">
        <v>26.5</v>
      </c>
      <c r="R12" s="33">
        <v>0.67186999999999997</v>
      </c>
      <c r="S12" s="46">
        <v>8</v>
      </c>
      <c r="T12" s="42" t="s">
        <v>213</v>
      </c>
      <c r="U12" s="42">
        <v>57</v>
      </c>
      <c r="V12" s="42">
        <v>37</v>
      </c>
      <c r="W12" s="42">
        <v>29.1</v>
      </c>
      <c r="X12" s="45">
        <v>0.71862999999999999</v>
      </c>
    </row>
    <row r="13" spans="1:24" x14ac:dyDescent="0.45">
      <c r="A13" s="46">
        <v>9</v>
      </c>
      <c r="B13" s="35" t="s">
        <v>7</v>
      </c>
      <c r="C13" s="33">
        <v>24</v>
      </c>
      <c r="D13" s="33">
        <v>37</v>
      </c>
      <c r="E13" s="33">
        <v>23.4</v>
      </c>
      <c r="F13" s="33">
        <v>0.59948999999999997</v>
      </c>
      <c r="G13" s="46">
        <v>9</v>
      </c>
      <c r="H13" s="42" t="s">
        <v>59</v>
      </c>
      <c r="I13" s="42">
        <v>52</v>
      </c>
      <c r="J13" s="42">
        <v>37</v>
      </c>
      <c r="K13" s="42">
        <v>26.4</v>
      </c>
      <c r="L13" s="42">
        <v>0.64539000000000002</v>
      </c>
      <c r="M13" s="46">
        <v>9</v>
      </c>
      <c r="N13" s="33" t="s">
        <v>73</v>
      </c>
      <c r="O13" s="33">
        <v>78</v>
      </c>
      <c r="P13" s="33">
        <v>37</v>
      </c>
      <c r="Q13" s="33">
        <v>27.4</v>
      </c>
      <c r="R13" s="33">
        <v>0.75379000000000007</v>
      </c>
      <c r="S13" s="46">
        <v>9</v>
      </c>
      <c r="T13" s="42" t="s">
        <v>213</v>
      </c>
      <c r="U13" s="42">
        <v>76</v>
      </c>
      <c r="V13" s="42">
        <v>37</v>
      </c>
      <c r="W13" s="42">
        <v>26.8</v>
      </c>
      <c r="X13" s="45">
        <v>0.67787000000000008</v>
      </c>
    </row>
    <row r="14" spans="1:24" x14ac:dyDescent="0.45">
      <c r="A14" s="46">
        <v>10</v>
      </c>
      <c r="B14" s="35" t="s">
        <v>7</v>
      </c>
      <c r="C14" s="33">
        <v>28</v>
      </c>
      <c r="D14" s="33">
        <v>47</v>
      </c>
      <c r="E14" s="33">
        <v>23.7</v>
      </c>
      <c r="F14" s="33">
        <v>0.56969999999999998</v>
      </c>
      <c r="G14" s="46">
        <v>10</v>
      </c>
      <c r="H14" s="42" t="s">
        <v>59</v>
      </c>
      <c r="I14" s="42">
        <v>50</v>
      </c>
      <c r="J14" s="42">
        <v>48</v>
      </c>
      <c r="K14" s="42">
        <v>28.3</v>
      </c>
      <c r="L14" s="42">
        <v>0.55688999999999989</v>
      </c>
      <c r="M14" s="46">
        <v>10</v>
      </c>
      <c r="N14" s="33" t="s">
        <v>73</v>
      </c>
      <c r="O14" s="33">
        <v>56</v>
      </c>
      <c r="P14" s="33">
        <v>48</v>
      </c>
      <c r="Q14" s="33">
        <v>26.9</v>
      </c>
      <c r="R14" s="33">
        <v>0.6666200000000001</v>
      </c>
      <c r="S14" s="46">
        <v>10</v>
      </c>
      <c r="T14" s="42" t="s">
        <v>213</v>
      </c>
      <c r="U14" s="42">
        <v>73</v>
      </c>
      <c r="V14" s="42">
        <v>47</v>
      </c>
      <c r="W14" s="42">
        <v>26.8</v>
      </c>
      <c r="X14" s="45">
        <v>0.66564999999999996</v>
      </c>
    </row>
    <row r="15" spans="1:24" x14ac:dyDescent="0.45">
      <c r="A15" s="46">
        <v>11</v>
      </c>
      <c r="B15" s="35" t="s">
        <v>7</v>
      </c>
      <c r="C15" s="33">
        <v>28</v>
      </c>
      <c r="D15" s="33">
        <v>47</v>
      </c>
      <c r="E15" s="33">
        <v>23.7</v>
      </c>
      <c r="F15" s="33">
        <v>0.57239000000000007</v>
      </c>
      <c r="G15" s="46">
        <v>11</v>
      </c>
      <c r="H15" s="42" t="s">
        <v>59</v>
      </c>
      <c r="I15" s="42">
        <v>75</v>
      </c>
      <c r="J15" s="42">
        <v>48</v>
      </c>
      <c r="K15" s="42">
        <v>26.7</v>
      </c>
      <c r="L15" s="42">
        <v>0.67784999999999995</v>
      </c>
      <c r="M15" s="46">
        <v>11</v>
      </c>
      <c r="N15" s="33" t="s">
        <v>73</v>
      </c>
      <c r="O15" s="33">
        <v>56</v>
      </c>
      <c r="P15" s="33">
        <v>48</v>
      </c>
      <c r="Q15" s="33">
        <v>26.9</v>
      </c>
      <c r="R15" s="33">
        <v>0.60388000000000008</v>
      </c>
      <c r="S15" s="46">
        <v>11</v>
      </c>
      <c r="T15" s="42" t="s">
        <v>213</v>
      </c>
      <c r="U15" s="42">
        <v>56</v>
      </c>
      <c r="V15" s="42">
        <v>48</v>
      </c>
      <c r="W15" s="42">
        <v>27.5</v>
      </c>
      <c r="X15" s="45">
        <v>0.62451000000000012</v>
      </c>
    </row>
    <row r="16" spans="1:24" x14ac:dyDescent="0.45">
      <c r="A16" s="46">
        <v>12</v>
      </c>
      <c r="B16" s="35" t="s">
        <v>7</v>
      </c>
      <c r="C16" s="33">
        <v>28</v>
      </c>
      <c r="D16" s="33">
        <v>47</v>
      </c>
      <c r="E16" s="33">
        <v>23.5</v>
      </c>
      <c r="F16" s="33">
        <v>0.57702000000000009</v>
      </c>
      <c r="G16" s="46">
        <v>12</v>
      </c>
      <c r="H16" s="42" t="s">
        <v>59</v>
      </c>
      <c r="I16" s="42">
        <v>61</v>
      </c>
      <c r="J16" s="42">
        <v>48</v>
      </c>
      <c r="K16" s="42">
        <v>26.2</v>
      </c>
      <c r="L16" s="42">
        <v>0.55737000000000003</v>
      </c>
      <c r="M16" s="46">
        <v>12</v>
      </c>
      <c r="N16" s="33" t="s">
        <v>73</v>
      </c>
      <c r="O16" s="33">
        <v>75</v>
      </c>
      <c r="P16" s="33">
        <v>48</v>
      </c>
      <c r="Q16" s="33">
        <v>27.1</v>
      </c>
      <c r="R16" s="33">
        <v>0.67662999999999995</v>
      </c>
      <c r="S16" s="46">
        <v>12</v>
      </c>
      <c r="T16" s="42" t="s">
        <v>213</v>
      </c>
      <c r="U16" s="42">
        <v>65</v>
      </c>
      <c r="V16" s="42">
        <v>47</v>
      </c>
      <c r="W16" s="42">
        <v>27.9</v>
      </c>
      <c r="X16" s="45">
        <v>0.71521000000000001</v>
      </c>
    </row>
    <row r="17" spans="1:24" x14ac:dyDescent="0.45">
      <c r="A17" s="46">
        <v>13</v>
      </c>
      <c r="B17" s="35" t="s">
        <v>7</v>
      </c>
      <c r="C17" s="33">
        <v>24</v>
      </c>
      <c r="D17" s="33">
        <v>37</v>
      </c>
      <c r="E17" s="33">
        <v>23.7</v>
      </c>
      <c r="F17" s="33">
        <v>0.57189999999999996</v>
      </c>
      <c r="G17" s="46">
        <v>13</v>
      </c>
      <c r="H17" s="42" t="s">
        <v>59</v>
      </c>
      <c r="I17" s="42">
        <v>57</v>
      </c>
      <c r="J17" s="42">
        <v>37</v>
      </c>
      <c r="K17" s="42">
        <v>26.4</v>
      </c>
      <c r="L17" s="42">
        <v>0.54565999999999992</v>
      </c>
      <c r="M17" s="46">
        <v>13</v>
      </c>
      <c r="N17" s="33" t="s">
        <v>73</v>
      </c>
      <c r="O17" s="33">
        <v>57</v>
      </c>
      <c r="P17" s="33">
        <v>37</v>
      </c>
      <c r="Q17" s="33">
        <v>26.5</v>
      </c>
      <c r="R17" s="33">
        <v>0.6164599999999999</v>
      </c>
      <c r="S17" s="46">
        <v>13</v>
      </c>
      <c r="T17" s="42" t="s">
        <v>213</v>
      </c>
      <c r="U17" s="42">
        <v>70</v>
      </c>
      <c r="V17" s="42">
        <v>37</v>
      </c>
      <c r="W17" s="42">
        <v>29.9</v>
      </c>
      <c r="X17" s="45">
        <v>0.60021999999999998</v>
      </c>
    </row>
    <row r="18" spans="1:24" x14ac:dyDescent="0.45">
      <c r="A18" s="46">
        <v>14</v>
      </c>
      <c r="B18" s="35" t="s">
        <v>7</v>
      </c>
      <c r="C18" s="33">
        <v>24</v>
      </c>
      <c r="D18" s="33">
        <v>37</v>
      </c>
      <c r="E18" s="33">
        <v>23.7</v>
      </c>
      <c r="F18" s="33">
        <v>0.55212000000000006</v>
      </c>
      <c r="G18" s="46">
        <v>14</v>
      </c>
      <c r="H18" s="42" t="s">
        <v>59</v>
      </c>
      <c r="I18" s="42">
        <v>76</v>
      </c>
      <c r="J18" s="42">
        <v>37</v>
      </c>
      <c r="K18" s="42">
        <v>26.4</v>
      </c>
      <c r="L18" s="42">
        <v>0.6551499999999999</v>
      </c>
      <c r="M18" s="46">
        <v>14</v>
      </c>
      <c r="N18" s="33" t="s">
        <v>73</v>
      </c>
      <c r="O18" s="33">
        <v>49</v>
      </c>
      <c r="P18" s="33">
        <v>37</v>
      </c>
      <c r="Q18" s="33">
        <v>26.1</v>
      </c>
      <c r="R18" s="33">
        <v>0.62097000000000002</v>
      </c>
      <c r="S18" s="46">
        <v>14</v>
      </c>
      <c r="T18" s="42" t="s">
        <v>213</v>
      </c>
      <c r="U18" s="42">
        <v>57</v>
      </c>
      <c r="V18" s="42">
        <v>37</v>
      </c>
      <c r="W18" s="42">
        <v>26.7</v>
      </c>
      <c r="X18" s="45">
        <v>0.61547000000000007</v>
      </c>
    </row>
    <row r="19" spans="1:24" x14ac:dyDescent="0.45">
      <c r="A19" s="46">
        <v>15</v>
      </c>
      <c r="B19" s="35" t="s">
        <v>7</v>
      </c>
      <c r="C19" s="33">
        <v>24</v>
      </c>
      <c r="D19" s="33">
        <v>37</v>
      </c>
      <c r="E19" s="33">
        <v>23.5</v>
      </c>
      <c r="F19" s="33">
        <v>0.59118000000000004</v>
      </c>
      <c r="G19" s="46">
        <v>15</v>
      </c>
      <c r="H19" s="42" t="s">
        <v>59</v>
      </c>
      <c r="I19" s="42">
        <v>58</v>
      </c>
      <c r="J19" s="42">
        <v>37</v>
      </c>
      <c r="K19" s="42">
        <v>26.5</v>
      </c>
      <c r="L19" s="42">
        <v>0.56810999999999989</v>
      </c>
      <c r="M19" s="46">
        <v>15</v>
      </c>
      <c r="N19" s="33" t="s">
        <v>73</v>
      </c>
      <c r="O19" s="33">
        <v>49</v>
      </c>
      <c r="P19" s="33">
        <v>37</v>
      </c>
      <c r="Q19" s="33">
        <v>26.2</v>
      </c>
      <c r="R19" s="33">
        <v>0.6196299999999999</v>
      </c>
      <c r="S19" s="46">
        <v>15</v>
      </c>
      <c r="T19" s="42" t="s">
        <v>213</v>
      </c>
      <c r="U19" s="42">
        <v>70</v>
      </c>
      <c r="V19" s="42">
        <v>37</v>
      </c>
      <c r="W19" s="42">
        <v>25.8</v>
      </c>
      <c r="X19" s="45">
        <v>0.60949000000000009</v>
      </c>
    </row>
    <row r="20" spans="1:24" x14ac:dyDescent="0.45">
      <c r="A20" s="46">
        <v>16</v>
      </c>
      <c r="B20" s="35" t="s">
        <v>7</v>
      </c>
      <c r="C20" s="33">
        <v>28</v>
      </c>
      <c r="D20" s="33">
        <v>47</v>
      </c>
      <c r="E20" s="33">
        <v>23.6</v>
      </c>
      <c r="F20" s="33">
        <v>0.55138999999999994</v>
      </c>
      <c r="G20" s="46">
        <v>16</v>
      </c>
      <c r="H20" s="42" t="s">
        <v>59</v>
      </c>
      <c r="I20" s="42">
        <v>61</v>
      </c>
      <c r="J20" s="42">
        <v>47</v>
      </c>
      <c r="K20" s="42">
        <v>27.2</v>
      </c>
      <c r="L20" s="42">
        <v>0.55394999999999994</v>
      </c>
      <c r="M20" s="46">
        <v>16</v>
      </c>
      <c r="N20" s="33" t="s">
        <v>73</v>
      </c>
      <c r="O20" s="33">
        <v>56</v>
      </c>
      <c r="P20" s="33">
        <v>47</v>
      </c>
      <c r="Q20" s="33">
        <v>26</v>
      </c>
      <c r="R20" s="33">
        <v>0.57495000000000007</v>
      </c>
      <c r="S20" s="46">
        <v>16</v>
      </c>
      <c r="T20" s="42" t="s">
        <v>213</v>
      </c>
      <c r="U20" s="42">
        <v>75</v>
      </c>
      <c r="V20" s="42">
        <v>48</v>
      </c>
      <c r="W20" s="42">
        <v>26</v>
      </c>
      <c r="X20" s="45">
        <v>0.58582000000000012</v>
      </c>
    </row>
    <row r="21" spans="1:24" x14ac:dyDescent="0.45">
      <c r="A21" s="46">
        <v>17</v>
      </c>
      <c r="B21" s="35" t="s">
        <v>7</v>
      </c>
      <c r="C21" s="33">
        <v>28</v>
      </c>
      <c r="D21" s="33">
        <v>47</v>
      </c>
      <c r="E21" s="33">
        <v>23.6</v>
      </c>
      <c r="F21" s="33">
        <v>0.53491</v>
      </c>
      <c r="G21" s="46">
        <v>17</v>
      </c>
      <c r="H21" s="42" t="s">
        <v>59</v>
      </c>
      <c r="I21" s="42">
        <v>65</v>
      </c>
      <c r="J21" s="42">
        <v>47</v>
      </c>
      <c r="K21" s="42">
        <v>27</v>
      </c>
      <c r="L21" s="42">
        <v>0.57727000000000006</v>
      </c>
      <c r="M21" s="46">
        <v>17</v>
      </c>
      <c r="N21" s="33" t="s">
        <v>73</v>
      </c>
      <c r="O21" s="33">
        <v>75</v>
      </c>
      <c r="P21" s="33">
        <v>48</v>
      </c>
      <c r="Q21" s="33">
        <v>26.2</v>
      </c>
      <c r="R21" s="33">
        <v>0.58960000000000001</v>
      </c>
      <c r="S21" s="46">
        <v>17</v>
      </c>
      <c r="T21" s="42" t="s">
        <v>213</v>
      </c>
      <c r="U21" s="42">
        <v>73</v>
      </c>
      <c r="V21" s="42">
        <v>47</v>
      </c>
      <c r="W21" s="42">
        <v>26.1</v>
      </c>
      <c r="X21" s="45">
        <v>0.59495999999999993</v>
      </c>
    </row>
    <row r="22" spans="1:24" x14ac:dyDescent="0.45">
      <c r="A22" s="46">
        <v>18</v>
      </c>
      <c r="B22" s="35" t="s">
        <v>7</v>
      </c>
      <c r="C22" s="33">
        <v>28</v>
      </c>
      <c r="D22" s="33">
        <v>47</v>
      </c>
      <c r="E22" s="33">
        <v>23.6</v>
      </c>
      <c r="F22" s="33">
        <v>0.57091999999999998</v>
      </c>
      <c r="G22" s="46">
        <v>18</v>
      </c>
      <c r="H22" s="42" t="s">
        <v>59</v>
      </c>
      <c r="I22" s="42">
        <v>69</v>
      </c>
      <c r="J22" s="42">
        <v>48</v>
      </c>
      <c r="K22" s="42">
        <v>26.7</v>
      </c>
      <c r="L22" s="42">
        <v>0.54015999999999997</v>
      </c>
      <c r="M22" s="46">
        <v>18</v>
      </c>
      <c r="N22" s="33" t="s">
        <v>73</v>
      </c>
      <c r="O22" s="33">
        <v>69</v>
      </c>
      <c r="P22" s="33">
        <v>48</v>
      </c>
      <c r="Q22" s="33">
        <v>26.1</v>
      </c>
      <c r="R22" s="33">
        <v>0.53808999999999996</v>
      </c>
      <c r="S22" s="46">
        <v>18</v>
      </c>
      <c r="T22" s="42" t="s">
        <v>213</v>
      </c>
      <c r="U22" s="42">
        <v>66</v>
      </c>
      <c r="V22" s="42">
        <v>47</v>
      </c>
      <c r="W22" s="42">
        <v>27.6</v>
      </c>
      <c r="X22" s="45">
        <v>0.57995000000000008</v>
      </c>
    </row>
    <row r="23" spans="1:24" x14ac:dyDescent="0.45">
      <c r="A23" s="46">
        <v>19</v>
      </c>
      <c r="B23" s="35" t="s">
        <v>7</v>
      </c>
      <c r="C23" s="33">
        <v>24</v>
      </c>
      <c r="D23" s="33">
        <v>37</v>
      </c>
      <c r="E23" s="33">
        <v>23.8</v>
      </c>
      <c r="F23" s="33">
        <v>0.56031000000000009</v>
      </c>
      <c r="G23" s="46">
        <v>19</v>
      </c>
      <c r="H23" s="42" t="s">
        <v>59</v>
      </c>
      <c r="I23" s="42">
        <v>79</v>
      </c>
      <c r="J23" s="42">
        <v>37</v>
      </c>
      <c r="K23" s="42">
        <v>26.6</v>
      </c>
      <c r="L23" s="42">
        <v>0.60192999999999997</v>
      </c>
      <c r="M23" s="46">
        <v>19</v>
      </c>
      <c r="N23" s="33" t="s">
        <v>73</v>
      </c>
      <c r="O23" s="33">
        <v>77</v>
      </c>
      <c r="P23" s="33">
        <v>37</v>
      </c>
      <c r="Q23" s="33">
        <v>26.2</v>
      </c>
      <c r="R23" s="33">
        <v>0.70909999999999995</v>
      </c>
      <c r="S23" s="46">
        <v>19</v>
      </c>
      <c r="T23" s="42" t="s">
        <v>213</v>
      </c>
      <c r="U23" s="42">
        <v>79</v>
      </c>
      <c r="V23" s="42">
        <v>37</v>
      </c>
      <c r="W23" s="42">
        <v>27.9</v>
      </c>
      <c r="X23" s="45">
        <v>0.64734999999999998</v>
      </c>
    </row>
    <row r="24" spans="1:24" x14ac:dyDescent="0.45">
      <c r="A24" s="46">
        <v>20</v>
      </c>
      <c r="B24" s="35" t="s">
        <v>7</v>
      </c>
      <c r="C24" s="33">
        <v>24</v>
      </c>
      <c r="D24" s="33">
        <v>37</v>
      </c>
      <c r="E24" s="33">
        <v>23.3</v>
      </c>
      <c r="F24" s="33">
        <v>0.56469999999999998</v>
      </c>
      <c r="G24" s="46">
        <v>20</v>
      </c>
      <c r="H24" s="42" t="s">
        <v>59</v>
      </c>
      <c r="I24" s="42">
        <v>82</v>
      </c>
      <c r="J24" s="42">
        <v>37</v>
      </c>
      <c r="K24" s="42">
        <v>26.9</v>
      </c>
      <c r="L24" s="42">
        <v>0.62414000000000003</v>
      </c>
      <c r="M24" s="46">
        <v>20</v>
      </c>
      <c r="N24" s="33" t="s">
        <v>73</v>
      </c>
      <c r="O24" s="33">
        <v>76</v>
      </c>
      <c r="P24" s="33">
        <v>37</v>
      </c>
      <c r="Q24" s="33">
        <v>26.8</v>
      </c>
      <c r="R24" s="33">
        <v>0.71545000000000003</v>
      </c>
      <c r="S24" s="46">
        <v>20</v>
      </c>
      <c r="T24" s="42" t="s">
        <v>213</v>
      </c>
      <c r="U24" s="42">
        <v>55</v>
      </c>
      <c r="V24" s="42">
        <v>37</v>
      </c>
      <c r="W24" s="42">
        <v>29.2</v>
      </c>
      <c r="X24" s="45">
        <v>0.6458799999999999</v>
      </c>
    </row>
    <row r="25" spans="1:24" x14ac:dyDescent="0.45">
      <c r="A25" s="46">
        <v>21</v>
      </c>
      <c r="B25" s="35" t="s">
        <v>7</v>
      </c>
      <c r="C25" s="33">
        <v>24</v>
      </c>
      <c r="D25" s="33">
        <v>37</v>
      </c>
      <c r="E25" s="33">
        <v>23.5</v>
      </c>
      <c r="F25" s="33">
        <v>0.58617999999999992</v>
      </c>
      <c r="G25" s="46">
        <v>21</v>
      </c>
      <c r="H25" s="42" t="s">
        <v>59</v>
      </c>
      <c r="I25" s="42">
        <v>55</v>
      </c>
      <c r="J25" s="42">
        <v>37</v>
      </c>
      <c r="K25" s="42">
        <v>26.6</v>
      </c>
      <c r="L25" s="42">
        <v>0.57018000000000002</v>
      </c>
      <c r="M25" s="46">
        <v>21</v>
      </c>
      <c r="N25" s="33" t="s">
        <v>73</v>
      </c>
      <c r="O25" s="33">
        <v>61</v>
      </c>
      <c r="P25" s="33">
        <v>37</v>
      </c>
      <c r="Q25" s="33">
        <v>27.2</v>
      </c>
      <c r="R25" s="33">
        <v>0.68847000000000014</v>
      </c>
      <c r="S25" s="46">
        <v>21</v>
      </c>
      <c r="T25" s="42" t="s">
        <v>213</v>
      </c>
      <c r="U25" s="42">
        <v>84</v>
      </c>
      <c r="V25" s="42">
        <v>37</v>
      </c>
      <c r="W25" s="42">
        <v>26.2</v>
      </c>
      <c r="X25" s="45">
        <v>0.52673000000000003</v>
      </c>
    </row>
    <row r="26" spans="1:24" x14ac:dyDescent="0.45">
      <c r="A26" s="46">
        <v>22</v>
      </c>
      <c r="B26" s="35" t="s">
        <v>7</v>
      </c>
      <c r="C26" s="33">
        <v>28</v>
      </c>
      <c r="D26" s="33">
        <v>47</v>
      </c>
      <c r="E26" s="33">
        <v>23.5</v>
      </c>
      <c r="F26" s="33">
        <v>0.5577399999999999</v>
      </c>
      <c r="G26" s="46">
        <v>22</v>
      </c>
      <c r="H26" s="42" t="s">
        <v>59</v>
      </c>
      <c r="I26" s="42">
        <v>52</v>
      </c>
      <c r="J26" s="42">
        <v>48</v>
      </c>
      <c r="K26" s="42">
        <v>26.3</v>
      </c>
      <c r="L26" s="42">
        <v>0.50683</v>
      </c>
      <c r="M26" s="46">
        <v>22</v>
      </c>
      <c r="N26" s="33" t="s">
        <v>73</v>
      </c>
      <c r="O26" s="33">
        <v>51</v>
      </c>
      <c r="P26" s="33">
        <v>48</v>
      </c>
      <c r="Q26" s="33">
        <v>27</v>
      </c>
      <c r="R26" s="33">
        <v>0.46582999999999997</v>
      </c>
      <c r="S26" s="46">
        <v>22</v>
      </c>
      <c r="T26" s="42" t="s">
        <v>213</v>
      </c>
      <c r="U26" s="42">
        <v>59</v>
      </c>
      <c r="V26" s="42">
        <v>47</v>
      </c>
      <c r="W26" s="42">
        <v>26.3</v>
      </c>
      <c r="X26" s="45">
        <v>0.50977000000000006</v>
      </c>
    </row>
    <row r="27" spans="1:24" x14ac:dyDescent="0.45">
      <c r="A27" s="46">
        <v>23</v>
      </c>
      <c r="B27" s="35" t="s">
        <v>7</v>
      </c>
      <c r="C27" s="33">
        <v>28</v>
      </c>
      <c r="D27" s="33">
        <v>47</v>
      </c>
      <c r="E27" s="33">
        <v>23.7</v>
      </c>
      <c r="F27" s="33">
        <v>0.55127999999999999</v>
      </c>
      <c r="G27" s="46">
        <v>23</v>
      </c>
      <c r="H27" s="42" t="s">
        <v>59</v>
      </c>
      <c r="I27" s="42">
        <v>54</v>
      </c>
      <c r="J27" s="42">
        <v>47</v>
      </c>
      <c r="K27" s="42">
        <v>26.2</v>
      </c>
      <c r="L27" s="42">
        <v>0.44652999999999998</v>
      </c>
      <c r="M27" s="46">
        <v>23</v>
      </c>
      <c r="N27" s="33" t="s">
        <v>73</v>
      </c>
      <c r="O27" s="33">
        <v>55</v>
      </c>
      <c r="P27" s="33">
        <v>48</v>
      </c>
      <c r="Q27" s="33">
        <v>26.7</v>
      </c>
      <c r="R27" s="33">
        <v>0.53125999999999995</v>
      </c>
      <c r="S27" s="46">
        <v>23</v>
      </c>
      <c r="T27" s="42" t="s">
        <v>213</v>
      </c>
      <c r="U27" s="42">
        <v>54</v>
      </c>
      <c r="V27" s="42">
        <v>48</v>
      </c>
      <c r="W27" s="42">
        <v>26.8</v>
      </c>
      <c r="X27" s="45">
        <v>0.50977000000000006</v>
      </c>
    </row>
    <row r="28" spans="1:24" x14ac:dyDescent="0.45">
      <c r="A28" s="46">
        <v>24</v>
      </c>
      <c r="B28" s="35" t="s">
        <v>7</v>
      </c>
      <c r="C28" s="33">
        <v>28</v>
      </c>
      <c r="D28" s="33">
        <v>47</v>
      </c>
      <c r="E28" s="33">
        <v>23.7</v>
      </c>
      <c r="F28" s="33">
        <v>0.55248999999999993</v>
      </c>
      <c r="G28" s="46">
        <v>24</v>
      </c>
      <c r="H28" s="42" t="s">
        <v>59</v>
      </c>
      <c r="I28" s="42">
        <v>75</v>
      </c>
      <c r="J28" s="42">
        <v>48</v>
      </c>
      <c r="K28" s="42">
        <v>26.2</v>
      </c>
      <c r="L28" s="42">
        <v>0.56420000000000003</v>
      </c>
      <c r="M28" s="46">
        <v>24</v>
      </c>
      <c r="N28" s="33" t="s">
        <v>73</v>
      </c>
      <c r="O28" s="33">
        <v>84</v>
      </c>
      <c r="P28" s="33">
        <v>49</v>
      </c>
      <c r="Q28" s="33">
        <v>26.2</v>
      </c>
      <c r="R28" s="33">
        <v>0.70263999999999993</v>
      </c>
      <c r="S28" s="46">
        <v>24</v>
      </c>
      <c r="T28" s="42" t="s">
        <v>213</v>
      </c>
      <c r="U28" s="42">
        <v>73</v>
      </c>
      <c r="V28" s="42">
        <v>48</v>
      </c>
      <c r="W28" s="42">
        <v>27.2</v>
      </c>
      <c r="X28" s="45">
        <v>0.63977000000000006</v>
      </c>
    </row>
    <row r="29" spans="1:24" x14ac:dyDescent="0.45">
      <c r="A29" s="46">
        <v>25</v>
      </c>
      <c r="B29" s="35" t="s">
        <v>7</v>
      </c>
      <c r="C29" s="33">
        <v>24</v>
      </c>
      <c r="D29" s="33">
        <v>37</v>
      </c>
      <c r="E29" s="33">
        <v>23.6</v>
      </c>
      <c r="F29" s="33">
        <v>0.51978000000000002</v>
      </c>
      <c r="G29" s="46">
        <v>25</v>
      </c>
      <c r="H29" s="42" t="s">
        <v>59</v>
      </c>
      <c r="I29" s="42">
        <v>57</v>
      </c>
      <c r="J29" s="42">
        <v>37</v>
      </c>
      <c r="K29" s="42">
        <v>25.7</v>
      </c>
      <c r="L29" s="42">
        <v>0.59423000000000004</v>
      </c>
      <c r="M29" s="46">
        <v>25</v>
      </c>
      <c r="N29" s="33" t="s">
        <v>73</v>
      </c>
      <c r="O29" s="33">
        <v>77</v>
      </c>
      <c r="P29" s="33">
        <v>37</v>
      </c>
      <c r="Q29" s="33">
        <v>26.2</v>
      </c>
      <c r="R29" s="33">
        <v>0.73962000000000006</v>
      </c>
      <c r="S29" s="46">
        <v>25</v>
      </c>
      <c r="T29" s="42" t="s">
        <v>213</v>
      </c>
      <c r="U29" s="42">
        <v>76</v>
      </c>
      <c r="V29" s="42">
        <v>37</v>
      </c>
      <c r="W29" s="42">
        <v>27.4</v>
      </c>
      <c r="X29" s="45">
        <v>0.65465999999999991</v>
      </c>
    </row>
    <row r="30" spans="1:24" x14ac:dyDescent="0.45">
      <c r="A30" s="46">
        <v>26</v>
      </c>
      <c r="B30" s="35" t="s">
        <v>7</v>
      </c>
      <c r="C30" s="33">
        <v>24</v>
      </c>
      <c r="D30" s="33">
        <v>37</v>
      </c>
      <c r="E30" s="33">
        <v>23.7</v>
      </c>
      <c r="F30" s="33">
        <v>0.50670999999999999</v>
      </c>
      <c r="G30" s="46">
        <v>26</v>
      </c>
      <c r="H30" s="42" t="s">
        <v>59</v>
      </c>
      <c r="I30" s="42">
        <v>78</v>
      </c>
      <c r="J30" s="42">
        <v>37</v>
      </c>
      <c r="K30" s="42">
        <v>26.7</v>
      </c>
      <c r="L30" s="42">
        <v>0.63269000000000009</v>
      </c>
      <c r="M30" s="46">
        <v>26</v>
      </c>
      <c r="N30" s="33" t="s">
        <v>73</v>
      </c>
      <c r="O30" s="33">
        <v>76</v>
      </c>
      <c r="P30" s="33">
        <v>37</v>
      </c>
      <c r="Q30" s="33">
        <v>26</v>
      </c>
      <c r="R30" s="33">
        <v>0.70727000000000007</v>
      </c>
      <c r="S30" s="46">
        <v>26</v>
      </c>
      <c r="T30" s="42" t="s">
        <v>213</v>
      </c>
      <c r="U30" s="42">
        <v>57</v>
      </c>
      <c r="V30" s="42">
        <v>37</v>
      </c>
      <c r="W30" s="42">
        <v>26</v>
      </c>
      <c r="X30" s="45">
        <v>0.58776000000000006</v>
      </c>
    </row>
    <row r="31" spans="1:24" x14ac:dyDescent="0.45">
      <c r="A31" s="46">
        <v>27</v>
      </c>
      <c r="B31" s="35" t="s">
        <v>7</v>
      </c>
      <c r="C31" s="33">
        <v>24</v>
      </c>
      <c r="D31" s="33">
        <v>37</v>
      </c>
      <c r="E31" s="33">
        <v>23.6</v>
      </c>
      <c r="F31" s="33">
        <v>0.53271000000000002</v>
      </c>
      <c r="G31" s="46">
        <v>27</v>
      </c>
      <c r="H31" s="42" t="s">
        <v>59</v>
      </c>
      <c r="I31" s="42">
        <v>79</v>
      </c>
      <c r="J31" s="42">
        <v>37</v>
      </c>
      <c r="K31" s="42">
        <v>28.8</v>
      </c>
      <c r="L31" s="42">
        <v>0.62792999999999988</v>
      </c>
      <c r="M31" s="46">
        <v>27</v>
      </c>
      <c r="N31" s="33" t="s">
        <v>73</v>
      </c>
      <c r="O31" s="33">
        <v>77</v>
      </c>
      <c r="P31" s="33">
        <v>37</v>
      </c>
      <c r="Q31" s="33">
        <v>26.4</v>
      </c>
      <c r="R31" s="33">
        <v>0.72277000000000002</v>
      </c>
      <c r="S31" s="46">
        <v>27</v>
      </c>
      <c r="T31" s="42" t="s">
        <v>213</v>
      </c>
      <c r="U31" s="42">
        <v>55</v>
      </c>
      <c r="V31" s="42">
        <v>37</v>
      </c>
      <c r="W31" s="42">
        <v>29.5</v>
      </c>
      <c r="X31" s="45">
        <v>0.58055999999999996</v>
      </c>
    </row>
    <row r="32" spans="1:24" x14ac:dyDescent="0.45">
      <c r="A32" s="46">
        <v>28</v>
      </c>
      <c r="B32" s="35" t="s">
        <v>7</v>
      </c>
      <c r="C32" s="33">
        <v>28</v>
      </c>
      <c r="D32" s="33">
        <v>47</v>
      </c>
      <c r="E32" s="33">
        <v>23.8</v>
      </c>
      <c r="F32" s="33">
        <v>0.45362000000000002</v>
      </c>
      <c r="G32" s="46">
        <v>28</v>
      </c>
      <c r="H32" s="42" t="s">
        <v>59</v>
      </c>
      <c r="I32" s="42">
        <v>73</v>
      </c>
      <c r="J32" s="42">
        <v>48</v>
      </c>
      <c r="K32" s="42">
        <v>26.5</v>
      </c>
      <c r="L32" s="42">
        <v>0.56652999999999998</v>
      </c>
      <c r="M32" s="46">
        <v>28</v>
      </c>
      <c r="N32" s="33" t="s">
        <v>73</v>
      </c>
      <c r="O32" s="33">
        <v>73</v>
      </c>
      <c r="P32" s="33">
        <v>47</v>
      </c>
      <c r="Q32" s="33">
        <v>26.4</v>
      </c>
      <c r="R32" s="33">
        <v>0.61389000000000005</v>
      </c>
      <c r="S32" s="46">
        <v>28</v>
      </c>
      <c r="T32" s="42" t="s">
        <v>213</v>
      </c>
      <c r="U32" s="42">
        <v>72</v>
      </c>
      <c r="V32" s="42">
        <v>48</v>
      </c>
      <c r="W32" s="42">
        <v>28.8</v>
      </c>
      <c r="X32" s="45">
        <v>0.61485999999999996</v>
      </c>
    </row>
    <row r="33" spans="1:24" x14ac:dyDescent="0.45">
      <c r="A33" s="46">
        <v>29</v>
      </c>
      <c r="B33" s="35" t="s">
        <v>7</v>
      </c>
      <c r="C33" s="33">
        <v>28</v>
      </c>
      <c r="D33" s="33">
        <v>47</v>
      </c>
      <c r="E33" s="33">
        <v>23.4</v>
      </c>
      <c r="F33" s="33">
        <v>0.44666000000000006</v>
      </c>
      <c r="G33" s="46">
        <v>29</v>
      </c>
      <c r="H33" s="42" t="s">
        <v>59</v>
      </c>
      <c r="I33" s="42">
        <v>58</v>
      </c>
      <c r="J33" s="42">
        <v>48</v>
      </c>
      <c r="K33" s="42">
        <v>26.4</v>
      </c>
      <c r="L33" s="42">
        <v>0.48951000000000006</v>
      </c>
      <c r="M33" s="46">
        <v>29</v>
      </c>
      <c r="N33" s="33" t="s">
        <v>73</v>
      </c>
      <c r="O33" s="33">
        <v>73</v>
      </c>
      <c r="P33" s="33">
        <v>48</v>
      </c>
      <c r="Q33" s="33">
        <v>26.2</v>
      </c>
      <c r="R33" s="33">
        <v>0.65587999999999991</v>
      </c>
      <c r="S33" s="46">
        <v>29</v>
      </c>
      <c r="T33" s="42" t="s">
        <v>213</v>
      </c>
      <c r="U33" s="42">
        <v>56</v>
      </c>
      <c r="V33" s="42">
        <v>48</v>
      </c>
      <c r="W33" s="42">
        <v>28.5</v>
      </c>
      <c r="X33" s="45">
        <v>0.46703000000000006</v>
      </c>
    </row>
    <row r="34" spans="1:24" x14ac:dyDescent="0.45">
      <c r="A34" s="46">
        <v>30</v>
      </c>
      <c r="B34" s="35" t="s">
        <v>7</v>
      </c>
      <c r="C34" s="33">
        <v>28</v>
      </c>
      <c r="D34" s="33">
        <v>47</v>
      </c>
      <c r="E34" s="33">
        <v>23.5</v>
      </c>
      <c r="F34" s="33">
        <v>0.44994999999999996</v>
      </c>
      <c r="G34" s="46">
        <v>30</v>
      </c>
      <c r="H34" s="42" t="s">
        <v>59</v>
      </c>
      <c r="I34" s="42">
        <v>67</v>
      </c>
      <c r="J34" s="42">
        <v>47</v>
      </c>
      <c r="K34" s="42">
        <v>26.5</v>
      </c>
      <c r="L34" s="42">
        <v>0.59655999999999998</v>
      </c>
      <c r="M34" s="46">
        <v>30</v>
      </c>
      <c r="N34" s="33" t="s">
        <v>73</v>
      </c>
      <c r="O34" s="33">
        <v>71</v>
      </c>
      <c r="P34" s="33">
        <v>47</v>
      </c>
      <c r="Q34" s="33">
        <v>26.6</v>
      </c>
      <c r="R34" s="33">
        <v>0.72364000000000006</v>
      </c>
      <c r="S34" s="46">
        <v>30</v>
      </c>
      <c r="T34" s="42" t="s">
        <v>213</v>
      </c>
      <c r="U34" s="42">
        <v>74</v>
      </c>
      <c r="V34" s="42">
        <v>47</v>
      </c>
      <c r="W34" s="42">
        <v>26</v>
      </c>
      <c r="X34" s="45">
        <v>0.68432000000000004</v>
      </c>
    </row>
    <row r="35" spans="1:24" x14ac:dyDescent="0.45">
      <c r="A35" s="46">
        <v>31</v>
      </c>
      <c r="B35" s="41" t="s">
        <v>58</v>
      </c>
      <c r="C35" s="42">
        <v>85</v>
      </c>
      <c r="D35" s="42">
        <v>32</v>
      </c>
      <c r="E35" s="42">
        <v>24.4</v>
      </c>
      <c r="F35" s="42">
        <v>0.71852000000000005</v>
      </c>
      <c r="G35" s="46">
        <v>31</v>
      </c>
      <c r="H35" s="33" t="s">
        <v>60</v>
      </c>
      <c r="I35" s="33">
        <v>46</v>
      </c>
      <c r="J35" s="33">
        <v>32</v>
      </c>
      <c r="K35" s="33">
        <v>29.3</v>
      </c>
      <c r="L35" s="33">
        <v>0.52807999999999988</v>
      </c>
      <c r="M35" s="46">
        <v>31</v>
      </c>
      <c r="N35" s="42" t="s">
        <v>293</v>
      </c>
      <c r="O35" s="42">
        <v>79</v>
      </c>
      <c r="P35" s="42">
        <v>32</v>
      </c>
      <c r="Q35" s="42">
        <v>24.7</v>
      </c>
      <c r="R35" s="42">
        <v>0.62146000000000001</v>
      </c>
      <c r="S35" s="46">
        <v>31</v>
      </c>
      <c r="T35" s="33" t="s">
        <v>245</v>
      </c>
      <c r="U35" s="33">
        <v>70</v>
      </c>
      <c r="V35" s="33">
        <v>32</v>
      </c>
      <c r="W35" s="33">
        <v>26.5</v>
      </c>
      <c r="X35" s="34">
        <v>0.67883000000000004</v>
      </c>
    </row>
    <row r="36" spans="1:24" x14ac:dyDescent="0.45">
      <c r="A36" s="46">
        <v>32</v>
      </c>
      <c r="B36" s="41" t="s">
        <v>58</v>
      </c>
      <c r="C36" s="42">
        <v>75</v>
      </c>
      <c r="D36" s="42">
        <v>32</v>
      </c>
      <c r="E36" s="42">
        <v>24.3</v>
      </c>
      <c r="F36" s="42">
        <v>0.69811999999999996</v>
      </c>
      <c r="G36" s="46">
        <v>32</v>
      </c>
      <c r="H36" s="33" t="s">
        <v>60</v>
      </c>
      <c r="I36" s="33">
        <v>39</v>
      </c>
      <c r="J36" s="33">
        <v>32</v>
      </c>
      <c r="K36" s="33">
        <v>29.6</v>
      </c>
      <c r="L36" s="33">
        <v>0.36523000000000005</v>
      </c>
      <c r="M36" s="46">
        <v>32</v>
      </c>
      <c r="N36" s="42" t="s">
        <v>293</v>
      </c>
      <c r="O36" s="42">
        <v>76</v>
      </c>
      <c r="P36" s="42">
        <v>32</v>
      </c>
      <c r="Q36" s="42">
        <v>24.9</v>
      </c>
      <c r="R36" s="42">
        <v>0.66332999999999998</v>
      </c>
      <c r="S36" s="46">
        <v>32</v>
      </c>
      <c r="T36" s="33" t="s">
        <v>245</v>
      </c>
      <c r="U36" s="33">
        <v>70</v>
      </c>
      <c r="V36" s="33">
        <v>32</v>
      </c>
      <c r="W36" s="33">
        <v>26.6</v>
      </c>
      <c r="X36" s="34">
        <v>0.70667000000000002</v>
      </c>
    </row>
    <row r="37" spans="1:24" x14ac:dyDescent="0.45">
      <c r="A37" s="46">
        <v>33</v>
      </c>
      <c r="B37" s="41" t="s">
        <v>58</v>
      </c>
      <c r="C37" s="42">
        <v>55</v>
      </c>
      <c r="D37" s="42">
        <v>32</v>
      </c>
      <c r="E37" s="42">
        <v>24.7</v>
      </c>
      <c r="F37" s="42">
        <v>0.63647000000000009</v>
      </c>
      <c r="G37" s="46">
        <v>33</v>
      </c>
      <c r="H37" s="33" t="s">
        <v>60</v>
      </c>
      <c r="I37" s="33">
        <v>70</v>
      </c>
      <c r="J37" s="33">
        <v>32</v>
      </c>
      <c r="K37" s="33">
        <v>29.2</v>
      </c>
      <c r="L37" s="33">
        <v>0.45972000000000002</v>
      </c>
      <c r="M37" s="46">
        <v>33</v>
      </c>
      <c r="N37" s="42" t="s">
        <v>293</v>
      </c>
      <c r="O37" s="42">
        <v>44</v>
      </c>
      <c r="P37" s="42">
        <v>32</v>
      </c>
      <c r="Q37" s="42">
        <v>24.6</v>
      </c>
      <c r="R37" s="42">
        <v>0.52661000000000002</v>
      </c>
      <c r="S37" s="46">
        <v>33</v>
      </c>
      <c r="T37" s="33" t="s">
        <v>245</v>
      </c>
      <c r="U37" s="33">
        <v>75</v>
      </c>
      <c r="V37" s="33">
        <v>32</v>
      </c>
      <c r="W37" s="33">
        <v>26.4</v>
      </c>
      <c r="X37" s="34">
        <v>0.70787999999999995</v>
      </c>
    </row>
    <row r="38" spans="1:24" x14ac:dyDescent="0.45">
      <c r="A38" s="46">
        <v>34</v>
      </c>
      <c r="B38" s="41" t="s">
        <v>58</v>
      </c>
      <c r="C38" s="42">
        <v>51</v>
      </c>
      <c r="D38" s="42">
        <v>43</v>
      </c>
      <c r="E38" s="42">
        <v>24.7</v>
      </c>
      <c r="F38" s="42">
        <v>0.61817000000000011</v>
      </c>
      <c r="G38" s="46">
        <v>34</v>
      </c>
      <c r="H38" s="33" t="s">
        <v>60</v>
      </c>
      <c r="I38" s="33">
        <v>45</v>
      </c>
      <c r="J38" s="33">
        <v>42</v>
      </c>
      <c r="K38" s="33">
        <v>29.3</v>
      </c>
      <c r="L38" s="33">
        <v>0.35779000000000005</v>
      </c>
      <c r="M38" s="46">
        <v>34</v>
      </c>
      <c r="N38" s="42" t="s">
        <v>293</v>
      </c>
      <c r="O38" s="42">
        <v>55</v>
      </c>
      <c r="P38" s="42">
        <v>43</v>
      </c>
      <c r="Q38" s="42">
        <v>24.6</v>
      </c>
      <c r="R38" s="42">
        <v>0.50341999999999998</v>
      </c>
      <c r="S38" s="46">
        <v>34</v>
      </c>
      <c r="T38" s="33" t="s">
        <v>245</v>
      </c>
      <c r="U38" s="33">
        <v>54</v>
      </c>
      <c r="V38" s="33">
        <v>43</v>
      </c>
      <c r="W38" s="33">
        <v>26.6</v>
      </c>
      <c r="X38" s="34">
        <v>0.67150999999999994</v>
      </c>
    </row>
    <row r="39" spans="1:24" x14ac:dyDescent="0.45">
      <c r="A39" s="46">
        <v>35</v>
      </c>
      <c r="B39" s="41" t="s">
        <v>58</v>
      </c>
      <c r="C39" s="42">
        <v>56</v>
      </c>
      <c r="D39" s="42">
        <v>43</v>
      </c>
      <c r="E39" s="42">
        <v>24.3</v>
      </c>
      <c r="F39" s="42">
        <v>0.65393000000000001</v>
      </c>
      <c r="G39" s="46">
        <v>35</v>
      </c>
      <c r="H39" s="33" t="s">
        <v>60</v>
      </c>
      <c r="I39" s="33">
        <v>47</v>
      </c>
      <c r="J39" s="33">
        <v>42</v>
      </c>
      <c r="K39" s="33">
        <v>29.2</v>
      </c>
      <c r="L39" s="33">
        <v>0.24755000000000002</v>
      </c>
      <c r="M39" s="46">
        <v>35</v>
      </c>
      <c r="N39" s="42" t="s">
        <v>293</v>
      </c>
      <c r="O39" s="42">
        <v>54</v>
      </c>
      <c r="P39" s="42">
        <v>43</v>
      </c>
      <c r="Q39" s="42">
        <v>24.7</v>
      </c>
      <c r="R39" s="42">
        <v>0.46521000000000001</v>
      </c>
      <c r="S39" s="46">
        <v>35</v>
      </c>
      <c r="T39" s="33" t="s">
        <v>245</v>
      </c>
      <c r="U39" s="33">
        <v>76</v>
      </c>
      <c r="V39" s="33">
        <v>43</v>
      </c>
      <c r="W39" s="33">
        <v>26.7</v>
      </c>
      <c r="X39" s="34">
        <v>0.68897000000000008</v>
      </c>
    </row>
    <row r="40" spans="1:24" x14ac:dyDescent="0.45">
      <c r="A40" s="46">
        <v>36</v>
      </c>
      <c r="B40" s="41" t="s">
        <v>58</v>
      </c>
      <c r="C40" s="42">
        <v>52</v>
      </c>
      <c r="D40" s="42">
        <v>43</v>
      </c>
      <c r="E40" s="42">
        <v>24.2</v>
      </c>
      <c r="F40" s="42">
        <v>0.59411000000000003</v>
      </c>
      <c r="G40" s="46">
        <v>36</v>
      </c>
      <c r="H40" s="33" t="s">
        <v>60</v>
      </c>
      <c r="I40" s="33">
        <v>64</v>
      </c>
      <c r="J40" s="33">
        <v>44</v>
      </c>
      <c r="K40" s="33">
        <v>29.9</v>
      </c>
      <c r="L40" s="33">
        <v>0.33849000000000001</v>
      </c>
      <c r="M40" s="46">
        <v>36</v>
      </c>
      <c r="N40" s="42" t="s">
        <v>293</v>
      </c>
      <c r="O40" s="42">
        <v>58</v>
      </c>
      <c r="P40" s="42">
        <v>43</v>
      </c>
      <c r="Q40" s="42">
        <v>24.4</v>
      </c>
      <c r="R40" s="42">
        <v>0.44519000000000003</v>
      </c>
      <c r="S40" s="46">
        <v>36</v>
      </c>
      <c r="T40" s="33" t="s">
        <v>245</v>
      </c>
      <c r="U40" s="33">
        <v>74</v>
      </c>
      <c r="V40" s="33">
        <v>43</v>
      </c>
      <c r="W40" s="33">
        <v>26.4</v>
      </c>
      <c r="X40" s="34">
        <v>0.68115000000000014</v>
      </c>
    </row>
    <row r="41" spans="1:24" x14ac:dyDescent="0.45">
      <c r="A41" s="46">
        <v>37</v>
      </c>
      <c r="B41" s="41" t="s">
        <v>58</v>
      </c>
      <c r="C41" s="42">
        <v>65</v>
      </c>
      <c r="D41" s="42">
        <v>37</v>
      </c>
      <c r="E41" s="42">
        <v>24.8</v>
      </c>
      <c r="F41" s="42">
        <v>0.65563000000000005</v>
      </c>
      <c r="G41" s="46">
        <v>37</v>
      </c>
      <c r="H41" s="33" t="s">
        <v>60</v>
      </c>
      <c r="I41" s="33">
        <v>42</v>
      </c>
      <c r="J41" s="33">
        <v>37</v>
      </c>
      <c r="K41" s="33">
        <v>30</v>
      </c>
      <c r="L41" s="33">
        <v>0.36963000000000001</v>
      </c>
      <c r="M41" s="46">
        <v>37</v>
      </c>
      <c r="N41" s="42" t="s">
        <v>293</v>
      </c>
      <c r="O41" s="42">
        <v>70</v>
      </c>
      <c r="P41" s="42">
        <v>37</v>
      </c>
      <c r="Q41" s="42">
        <v>24.5</v>
      </c>
      <c r="R41" s="42">
        <v>0.64563000000000004</v>
      </c>
      <c r="S41" s="46">
        <v>37</v>
      </c>
      <c r="T41" s="33" t="s">
        <v>245</v>
      </c>
      <c r="U41" s="33">
        <v>76</v>
      </c>
      <c r="V41" s="33">
        <v>37</v>
      </c>
      <c r="W41" s="33">
        <v>28</v>
      </c>
      <c r="X41" s="34">
        <v>0.72790999999999995</v>
      </c>
    </row>
    <row r="42" spans="1:24" x14ac:dyDescent="0.45">
      <c r="A42" s="46">
        <v>38</v>
      </c>
      <c r="B42" s="41" t="s">
        <v>58</v>
      </c>
      <c r="C42" s="42">
        <v>82</v>
      </c>
      <c r="D42" s="42">
        <v>37</v>
      </c>
      <c r="E42" s="42">
        <v>24.7</v>
      </c>
      <c r="F42" s="42">
        <v>0.71263999999999994</v>
      </c>
      <c r="G42" s="46">
        <v>38</v>
      </c>
      <c r="H42" s="33" t="s">
        <v>60</v>
      </c>
      <c r="I42" s="33">
        <v>37</v>
      </c>
      <c r="J42" s="33">
        <v>37</v>
      </c>
      <c r="K42" s="33">
        <v>29.2</v>
      </c>
      <c r="L42" s="33">
        <v>0.47997999999999996</v>
      </c>
      <c r="M42" s="46">
        <v>38</v>
      </c>
      <c r="N42" s="42" t="s">
        <v>293</v>
      </c>
      <c r="O42" s="42">
        <v>77</v>
      </c>
      <c r="P42" s="42">
        <v>37</v>
      </c>
      <c r="Q42" s="42">
        <v>24.7</v>
      </c>
      <c r="R42" s="42">
        <v>0.66406999999999994</v>
      </c>
      <c r="S42" s="46">
        <v>38</v>
      </c>
      <c r="T42" s="33" t="s">
        <v>245</v>
      </c>
      <c r="U42" s="33">
        <v>58</v>
      </c>
      <c r="V42" s="33">
        <v>37</v>
      </c>
      <c r="W42" s="33">
        <v>27.3</v>
      </c>
      <c r="X42" s="34">
        <v>0.71289000000000002</v>
      </c>
    </row>
    <row r="43" spans="1:24" x14ac:dyDescent="0.45">
      <c r="A43" s="46">
        <v>39</v>
      </c>
      <c r="B43" s="41" t="s">
        <v>58</v>
      </c>
      <c r="C43" s="42">
        <v>57</v>
      </c>
      <c r="D43" s="42">
        <v>37</v>
      </c>
      <c r="E43" s="42">
        <v>24.7</v>
      </c>
      <c r="F43" s="42">
        <v>0.68066000000000004</v>
      </c>
      <c r="G43" s="46">
        <v>39</v>
      </c>
      <c r="H43" s="33" t="s">
        <v>60</v>
      </c>
      <c r="I43" s="33">
        <v>37</v>
      </c>
      <c r="J43" s="33">
        <v>37</v>
      </c>
      <c r="K43" s="33">
        <v>29.4</v>
      </c>
      <c r="L43" s="33">
        <v>0.48816000000000004</v>
      </c>
      <c r="M43" s="46">
        <v>39</v>
      </c>
      <c r="N43" s="42" t="s">
        <v>293</v>
      </c>
      <c r="O43" s="42">
        <v>73</v>
      </c>
      <c r="P43" s="42">
        <v>37</v>
      </c>
      <c r="Q43" s="42">
        <v>24.3</v>
      </c>
      <c r="R43" s="42">
        <v>0.66150000000000009</v>
      </c>
      <c r="S43" s="46">
        <v>39</v>
      </c>
      <c r="T43" s="33" t="s">
        <v>245</v>
      </c>
      <c r="U43" s="33">
        <v>76</v>
      </c>
      <c r="V43" s="33">
        <v>37</v>
      </c>
      <c r="W43" s="33">
        <v>27.6</v>
      </c>
      <c r="X43" s="34">
        <v>0.77649000000000001</v>
      </c>
    </row>
    <row r="44" spans="1:24" x14ac:dyDescent="0.45">
      <c r="A44" s="46">
        <v>40</v>
      </c>
      <c r="B44" s="41" t="s">
        <v>58</v>
      </c>
      <c r="C44" s="42">
        <v>66</v>
      </c>
      <c r="D44" s="42">
        <v>47</v>
      </c>
      <c r="E44" s="42">
        <v>24.4</v>
      </c>
      <c r="F44" s="42">
        <v>0.68579000000000012</v>
      </c>
      <c r="G44" s="46">
        <v>40</v>
      </c>
      <c r="H44" s="33" t="s">
        <v>60</v>
      </c>
      <c r="I44" s="33">
        <v>56</v>
      </c>
      <c r="J44" s="33">
        <v>48</v>
      </c>
      <c r="K44" s="33">
        <v>29.4</v>
      </c>
      <c r="L44" s="33">
        <v>8.9969999999999994E-2</v>
      </c>
      <c r="M44" s="46">
        <v>40</v>
      </c>
      <c r="N44" s="42" t="s">
        <v>293</v>
      </c>
      <c r="O44" s="42">
        <v>51</v>
      </c>
      <c r="P44" s="42">
        <v>48</v>
      </c>
      <c r="Q44" s="42">
        <v>24.3</v>
      </c>
      <c r="R44" s="42">
        <v>0.5103700000000001</v>
      </c>
      <c r="S44" s="46">
        <v>40</v>
      </c>
      <c r="T44" s="33" t="s">
        <v>245</v>
      </c>
      <c r="U44" s="33">
        <v>54</v>
      </c>
      <c r="V44" s="33">
        <v>48</v>
      </c>
      <c r="W44" s="33">
        <v>27.5</v>
      </c>
      <c r="X44" s="34">
        <v>0.66919000000000006</v>
      </c>
    </row>
    <row r="45" spans="1:24" x14ac:dyDescent="0.45">
      <c r="A45" s="46">
        <v>41</v>
      </c>
      <c r="B45" s="41" t="s">
        <v>58</v>
      </c>
      <c r="C45" s="42">
        <v>71</v>
      </c>
      <c r="D45" s="42">
        <v>47</v>
      </c>
      <c r="E45" s="42">
        <v>24.6</v>
      </c>
      <c r="F45" s="42">
        <v>0.71861999999999993</v>
      </c>
      <c r="G45" s="46">
        <v>41</v>
      </c>
      <c r="H45" s="33" t="s">
        <v>60</v>
      </c>
      <c r="I45" s="33">
        <v>76</v>
      </c>
      <c r="J45" s="33">
        <v>49</v>
      </c>
      <c r="K45" s="33">
        <v>29.5</v>
      </c>
      <c r="L45" s="33">
        <v>0.43847000000000003</v>
      </c>
      <c r="M45" s="46">
        <v>41</v>
      </c>
      <c r="N45" s="42" t="s">
        <v>293</v>
      </c>
      <c r="O45" s="42">
        <v>51</v>
      </c>
      <c r="P45" s="42">
        <v>48</v>
      </c>
      <c r="Q45" s="42">
        <v>24.6</v>
      </c>
      <c r="R45" s="42">
        <v>0.53198999999999996</v>
      </c>
      <c r="S45" s="46">
        <v>41</v>
      </c>
      <c r="T45" s="33" t="s">
        <v>245</v>
      </c>
      <c r="U45" s="33">
        <v>75</v>
      </c>
      <c r="V45" s="33">
        <v>48</v>
      </c>
      <c r="W45" s="33">
        <v>27.6</v>
      </c>
      <c r="X45" s="34">
        <v>0.72448999999999997</v>
      </c>
    </row>
    <row r="46" spans="1:24" x14ac:dyDescent="0.45">
      <c r="A46" s="46">
        <v>42</v>
      </c>
      <c r="B46" s="41" t="s">
        <v>58</v>
      </c>
      <c r="C46" s="42">
        <v>50</v>
      </c>
      <c r="D46" s="42">
        <v>48</v>
      </c>
      <c r="E46" s="42">
        <v>24.4</v>
      </c>
      <c r="F46" s="42">
        <v>0.67162999999999995</v>
      </c>
      <c r="G46" s="46">
        <v>42</v>
      </c>
      <c r="H46" s="33" t="s">
        <v>60</v>
      </c>
      <c r="I46" s="33">
        <v>43</v>
      </c>
      <c r="J46" s="33">
        <v>47</v>
      </c>
      <c r="K46" s="33">
        <v>29.3</v>
      </c>
      <c r="L46" s="33">
        <v>0.26659999999999995</v>
      </c>
      <c r="M46" s="46">
        <v>42</v>
      </c>
      <c r="N46" s="42" t="s">
        <v>293</v>
      </c>
      <c r="O46" s="42">
        <v>74</v>
      </c>
      <c r="P46" s="42">
        <v>48</v>
      </c>
      <c r="Q46" s="42">
        <v>24.7</v>
      </c>
      <c r="R46" s="42">
        <v>0.66540999999999995</v>
      </c>
      <c r="S46" s="46">
        <v>42</v>
      </c>
      <c r="T46" s="33" t="s">
        <v>245</v>
      </c>
      <c r="U46" s="33">
        <v>84</v>
      </c>
      <c r="V46" s="33">
        <v>49</v>
      </c>
      <c r="W46" s="33">
        <v>27.7</v>
      </c>
      <c r="X46" s="34">
        <v>0.74365999999999999</v>
      </c>
    </row>
    <row r="47" spans="1:24" x14ac:dyDescent="0.45">
      <c r="A47" s="46">
        <v>43</v>
      </c>
      <c r="B47" s="41" t="s">
        <v>58</v>
      </c>
      <c r="C47" s="42">
        <v>79</v>
      </c>
      <c r="D47" s="42">
        <v>37</v>
      </c>
      <c r="E47" s="42">
        <v>24.4</v>
      </c>
      <c r="F47" s="42">
        <v>0.71972999999999998</v>
      </c>
      <c r="G47" s="46">
        <v>43</v>
      </c>
      <c r="H47" s="33" t="s">
        <v>60</v>
      </c>
      <c r="I47" s="33">
        <v>98</v>
      </c>
      <c r="J47" s="33">
        <v>37</v>
      </c>
      <c r="K47" s="33">
        <v>29.7</v>
      </c>
      <c r="L47" s="33">
        <v>0.50768999999999997</v>
      </c>
      <c r="M47" s="46">
        <v>43</v>
      </c>
      <c r="N47" s="42" t="s">
        <v>293</v>
      </c>
      <c r="O47" s="42">
        <v>67</v>
      </c>
      <c r="P47" s="42">
        <v>37</v>
      </c>
      <c r="Q47" s="42">
        <v>24.7</v>
      </c>
      <c r="R47" s="42">
        <v>0.55139000000000005</v>
      </c>
      <c r="S47" s="46">
        <v>43</v>
      </c>
      <c r="T47" s="33" t="s">
        <v>245</v>
      </c>
      <c r="U47" s="33">
        <v>55</v>
      </c>
      <c r="V47" s="33">
        <v>37</v>
      </c>
      <c r="W47" s="33">
        <v>27.3</v>
      </c>
      <c r="X47" s="34">
        <v>0.73253999999999986</v>
      </c>
    </row>
    <row r="48" spans="1:24" x14ac:dyDescent="0.45">
      <c r="A48" s="46">
        <v>44</v>
      </c>
      <c r="B48" s="41" t="s">
        <v>58</v>
      </c>
      <c r="C48" s="42">
        <v>63</v>
      </c>
      <c r="D48" s="42">
        <v>37</v>
      </c>
      <c r="E48" s="42">
        <v>24.6</v>
      </c>
      <c r="F48" s="42">
        <v>0.66198000000000012</v>
      </c>
      <c r="G48" s="46">
        <v>44</v>
      </c>
      <c r="H48" s="33" t="s">
        <v>60</v>
      </c>
      <c r="I48" s="33">
        <v>89</v>
      </c>
      <c r="J48" s="33">
        <v>37</v>
      </c>
      <c r="K48" s="33">
        <v>29.5</v>
      </c>
      <c r="L48" s="33">
        <v>0.49084000000000005</v>
      </c>
      <c r="M48" s="46">
        <v>44</v>
      </c>
      <c r="N48" s="42" t="s">
        <v>293</v>
      </c>
      <c r="O48" s="42">
        <v>83</v>
      </c>
      <c r="P48" s="42">
        <v>37</v>
      </c>
      <c r="Q48" s="42">
        <v>24.3</v>
      </c>
      <c r="R48" s="42">
        <v>0.67968999999999991</v>
      </c>
      <c r="S48" s="46">
        <v>44</v>
      </c>
      <c r="T48" s="33" t="s">
        <v>245</v>
      </c>
      <c r="U48" s="33">
        <v>76</v>
      </c>
      <c r="V48" s="33">
        <v>37</v>
      </c>
      <c r="W48" s="33">
        <v>27.4</v>
      </c>
      <c r="X48" s="34">
        <v>0.7434099999999999</v>
      </c>
    </row>
    <row r="49" spans="1:24" x14ac:dyDescent="0.45">
      <c r="A49" s="46">
        <v>45</v>
      </c>
      <c r="B49" s="41" t="s">
        <v>58</v>
      </c>
      <c r="C49" s="42">
        <v>57</v>
      </c>
      <c r="D49" s="42">
        <v>37</v>
      </c>
      <c r="E49" s="42">
        <v>24.7</v>
      </c>
      <c r="F49" s="42">
        <v>0.62390000000000001</v>
      </c>
      <c r="G49" s="46">
        <v>45</v>
      </c>
      <c r="H49" s="33" t="s">
        <v>60</v>
      </c>
      <c r="I49" s="33">
        <v>39</v>
      </c>
      <c r="J49" s="33">
        <v>37</v>
      </c>
      <c r="K49" s="33">
        <v>29.3</v>
      </c>
      <c r="L49" s="33">
        <v>0.41808999999999996</v>
      </c>
      <c r="M49" s="46">
        <v>45</v>
      </c>
      <c r="N49" s="42" t="s">
        <v>293</v>
      </c>
      <c r="O49" s="42">
        <v>55</v>
      </c>
      <c r="P49" s="42">
        <v>37</v>
      </c>
      <c r="Q49" s="42">
        <v>24.6</v>
      </c>
      <c r="R49" s="42">
        <v>0.59900999999999993</v>
      </c>
      <c r="S49" s="46">
        <v>45</v>
      </c>
      <c r="T49" s="33" t="s">
        <v>245</v>
      </c>
      <c r="U49" s="33">
        <v>61</v>
      </c>
      <c r="V49" s="33">
        <v>37</v>
      </c>
      <c r="W49" s="33">
        <v>28.1</v>
      </c>
      <c r="X49" s="34">
        <v>0.71935999999999989</v>
      </c>
    </row>
    <row r="50" spans="1:24" x14ac:dyDescent="0.45">
      <c r="A50" s="46">
        <v>46</v>
      </c>
      <c r="B50" s="41" t="s">
        <v>58</v>
      </c>
      <c r="C50" s="42">
        <v>70</v>
      </c>
      <c r="D50" s="42">
        <v>47</v>
      </c>
      <c r="E50" s="42">
        <v>24.6</v>
      </c>
      <c r="F50" s="42">
        <v>0.65856999999999999</v>
      </c>
      <c r="G50" s="46">
        <v>46</v>
      </c>
      <c r="H50" s="33" t="s">
        <v>60</v>
      </c>
      <c r="I50" s="33">
        <v>41</v>
      </c>
      <c r="J50" s="33">
        <v>47</v>
      </c>
      <c r="K50" s="33">
        <v>29.3</v>
      </c>
      <c r="L50" s="33">
        <v>0.34558</v>
      </c>
      <c r="M50" s="46">
        <v>46</v>
      </c>
      <c r="N50" s="42" t="s">
        <v>293</v>
      </c>
      <c r="O50" s="42">
        <v>51</v>
      </c>
      <c r="P50" s="42">
        <v>48</v>
      </c>
      <c r="Q50" s="42">
        <v>24.5</v>
      </c>
      <c r="R50" s="42">
        <v>0.47558</v>
      </c>
      <c r="S50" s="46">
        <v>46</v>
      </c>
      <c r="T50" s="33" t="s">
        <v>245</v>
      </c>
      <c r="U50" s="33">
        <v>70</v>
      </c>
      <c r="V50" s="33">
        <v>47</v>
      </c>
      <c r="W50" s="33">
        <v>26.5</v>
      </c>
      <c r="X50" s="34">
        <v>0.71997</v>
      </c>
    </row>
    <row r="51" spans="1:24" x14ac:dyDescent="0.45">
      <c r="A51" s="46">
        <v>47</v>
      </c>
      <c r="B51" s="41" t="s">
        <v>58</v>
      </c>
      <c r="C51" s="42">
        <v>75</v>
      </c>
      <c r="D51" s="42">
        <v>48</v>
      </c>
      <c r="E51" s="42">
        <v>24.7</v>
      </c>
      <c r="F51" s="42">
        <v>0.67016000000000009</v>
      </c>
      <c r="G51" s="46">
        <v>47</v>
      </c>
      <c r="H51" s="33" t="s">
        <v>60</v>
      </c>
      <c r="I51" s="33">
        <v>41</v>
      </c>
      <c r="J51" s="33">
        <v>47</v>
      </c>
      <c r="K51" s="33">
        <v>30.1</v>
      </c>
      <c r="L51" s="33">
        <v>0.27209</v>
      </c>
      <c r="M51" s="46">
        <v>47</v>
      </c>
      <c r="N51" s="42" t="s">
        <v>293</v>
      </c>
      <c r="O51" s="42">
        <v>54</v>
      </c>
      <c r="P51" s="42">
        <v>48</v>
      </c>
      <c r="Q51" s="42">
        <v>24.4</v>
      </c>
      <c r="R51" s="42">
        <v>0.47606999999999999</v>
      </c>
      <c r="S51" s="46">
        <v>47</v>
      </c>
      <c r="T51" s="33" t="s">
        <v>245</v>
      </c>
      <c r="U51" s="33">
        <v>74</v>
      </c>
      <c r="V51" s="33">
        <v>48</v>
      </c>
      <c r="W51" s="33">
        <v>26.8</v>
      </c>
      <c r="X51" s="34">
        <v>0.67956000000000005</v>
      </c>
    </row>
    <row r="52" spans="1:24" x14ac:dyDescent="0.45">
      <c r="A52" s="46">
        <v>48</v>
      </c>
      <c r="B52" s="41" t="s">
        <v>58</v>
      </c>
      <c r="C52" s="42">
        <v>59</v>
      </c>
      <c r="D52" s="42">
        <v>47</v>
      </c>
      <c r="E52" s="42">
        <v>25</v>
      </c>
      <c r="F52" s="42">
        <v>0.64087000000000005</v>
      </c>
      <c r="G52" s="46">
        <v>48</v>
      </c>
      <c r="H52" s="33" t="s">
        <v>60</v>
      </c>
      <c r="I52" s="33">
        <v>41</v>
      </c>
      <c r="J52" s="33">
        <v>47</v>
      </c>
      <c r="K52" s="33">
        <v>29.3</v>
      </c>
      <c r="L52" s="33">
        <v>0.27466000000000002</v>
      </c>
      <c r="M52" s="46">
        <v>48</v>
      </c>
      <c r="N52" s="42" t="s">
        <v>293</v>
      </c>
      <c r="O52" s="42">
        <v>75</v>
      </c>
      <c r="P52" s="42">
        <v>48</v>
      </c>
      <c r="Q52" s="42">
        <v>24.6</v>
      </c>
      <c r="R52" s="42">
        <v>0.58545000000000003</v>
      </c>
      <c r="S52" s="46">
        <v>48</v>
      </c>
      <c r="T52" s="33" t="s">
        <v>245</v>
      </c>
      <c r="U52" s="33">
        <v>56</v>
      </c>
      <c r="V52" s="33">
        <v>48</v>
      </c>
      <c r="W52" s="33">
        <v>27</v>
      </c>
      <c r="X52" s="34">
        <v>0.64013999999999993</v>
      </c>
    </row>
    <row r="53" spans="1:24" x14ac:dyDescent="0.45">
      <c r="A53" s="46">
        <v>49</v>
      </c>
      <c r="B53" s="41" t="s">
        <v>58</v>
      </c>
      <c r="C53" s="42">
        <v>46</v>
      </c>
      <c r="D53" s="42">
        <v>37</v>
      </c>
      <c r="E53" s="42">
        <v>24.5</v>
      </c>
      <c r="F53" s="42">
        <v>0.63781999999999994</v>
      </c>
      <c r="G53" s="46">
        <v>49</v>
      </c>
      <c r="H53" s="33" t="s">
        <v>60</v>
      </c>
      <c r="I53" s="33">
        <v>42</v>
      </c>
      <c r="J53" s="33">
        <v>37</v>
      </c>
      <c r="K53" s="33">
        <v>29.5</v>
      </c>
      <c r="L53" s="33">
        <v>0.45057000000000003</v>
      </c>
      <c r="M53" s="46">
        <v>49</v>
      </c>
      <c r="N53" s="42" t="s">
        <v>293</v>
      </c>
      <c r="O53" s="42">
        <v>77</v>
      </c>
      <c r="P53" s="42">
        <v>37</v>
      </c>
      <c r="Q53" s="42">
        <v>24.5</v>
      </c>
      <c r="R53" s="42">
        <v>0.61182000000000003</v>
      </c>
      <c r="S53" s="46">
        <v>49</v>
      </c>
      <c r="T53" s="33" t="s">
        <v>245</v>
      </c>
      <c r="U53" s="33">
        <v>79</v>
      </c>
      <c r="V53" s="33">
        <v>37</v>
      </c>
      <c r="W53" s="33">
        <v>27.3</v>
      </c>
      <c r="X53" s="34">
        <v>0.72620000000000007</v>
      </c>
    </row>
    <row r="54" spans="1:24" x14ac:dyDescent="0.45">
      <c r="A54" s="46">
        <v>50</v>
      </c>
      <c r="B54" s="41" t="s">
        <v>58</v>
      </c>
      <c r="C54" s="42">
        <v>76</v>
      </c>
      <c r="D54" s="42">
        <v>37</v>
      </c>
      <c r="E54" s="42">
        <v>24.4</v>
      </c>
      <c r="F54" s="42">
        <v>0.70861999999999992</v>
      </c>
      <c r="G54" s="46">
        <v>50</v>
      </c>
      <c r="H54" s="33" t="s">
        <v>60</v>
      </c>
      <c r="I54" s="33">
        <v>39</v>
      </c>
      <c r="J54" s="33">
        <v>37</v>
      </c>
      <c r="K54" s="33">
        <v>29.7</v>
      </c>
      <c r="L54" s="33">
        <v>0.37706999999999996</v>
      </c>
      <c r="M54" s="46">
        <v>50</v>
      </c>
      <c r="N54" s="42" t="s">
        <v>293</v>
      </c>
      <c r="O54" s="42">
        <v>70</v>
      </c>
      <c r="P54" s="42">
        <v>37</v>
      </c>
      <c r="Q54" s="42">
        <v>24.8</v>
      </c>
      <c r="R54" s="42">
        <v>0.61487000000000003</v>
      </c>
      <c r="S54" s="46">
        <v>50</v>
      </c>
      <c r="T54" s="33" t="s">
        <v>245</v>
      </c>
      <c r="U54" s="33">
        <v>76</v>
      </c>
      <c r="V54" s="33">
        <v>37</v>
      </c>
      <c r="W54" s="33">
        <v>27.6</v>
      </c>
      <c r="X54" s="34">
        <v>0.73790999999999995</v>
      </c>
    </row>
    <row r="55" spans="1:24" x14ac:dyDescent="0.45">
      <c r="A55" s="46">
        <v>51</v>
      </c>
      <c r="B55" s="41" t="s">
        <v>58</v>
      </c>
      <c r="C55" s="42">
        <v>77</v>
      </c>
      <c r="D55" s="42">
        <v>37</v>
      </c>
      <c r="E55" s="42">
        <v>24.5</v>
      </c>
      <c r="F55" s="42">
        <v>0.70641999999999994</v>
      </c>
      <c r="G55" s="46">
        <v>51</v>
      </c>
      <c r="H55" s="33" t="s">
        <v>60</v>
      </c>
      <c r="I55" s="33">
        <v>98</v>
      </c>
      <c r="J55" s="33">
        <v>37</v>
      </c>
      <c r="K55" s="33">
        <v>29.3</v>
      </c>
      <c r="L55" s="33">
        <v>0.51819000000000004</v>
      </c>
      <c r="M55" s="46">
        <v>51</v>
      </c>
      <c r="N55" s="42" t="s">
        <v>293</v>
      </c>
      <c r="O55" s="42">
        <v>77</v>
      </c>
      <c r="P55" s="42">
        <v>37</v>
      </c>
      <c r="Q55" s="42">
        <v>24.5</v>
      </c>
      <c r="R55" s="42">
        <v>0.63</v>
      </c>
      <c r="S55" s="46">
        <v>51</v>
      </c>
      <c r="T55" s="33" t="s">
        <v>245</v>
      </c>
      <c r="U55" s="33">
        <v>67</v>
      </c>
      <c r="V55" s="33">
        <v>37</v>
      </c>
      <c r="W55" s="33">
        <v>27.5</v>
      </c>
      <c r="X55" s="34">
        <v>0.59753000000000012</v>
      </c>
    </row>
    <row r="56" spans="1:24" x14ac:dyDescent="0.45">
      <c r="A56" s="46">
        <v>52</v>
      </c>
      <c r="B56" s="41" t="s">
        <v>58</v>
      </c>
      <c r="C56" s="42">
        <v>50</v>
      </c>
      <c r="D56" s="42">
        <v>48</v>
      </c>
      <c r="E56" s="42">
        <v>24.4</v>
      </c>
      <c r="F56" s="42">
        <v>0.5895999999999999</v>
      </c>
      <c r="G56" s="46">
        <v>52</v>
      </c>
      <c r="H56" s="33" t="s">
        <v>60</v>
      </c>
      <c r="I56" s="33">
        <v>81</v>
      </c>
      <c r="J56" s="33">
        <v>49</v>
      </c>
      <c r="K56" s="33">
        <v>29.3</v>
      </c>
      <c r="L56" s="33">
        <v>0.42932999999999999</v>
      </c>
      <c r="M56" s="46">
        <v>52</v>
      </c>
      <c r="N56" s="42" t="s">
        <v>293</v>
      </c>
      <c r="O56" s="42">
        <v>50</v>
      </c>
      <c r="P56" s="42">
        <v>48</v>
      </c>
      <c r="Q56" s="42">
        <v>24.7</v>
      </c>
      <c r="R56" s="42">
        <v>0.48536000000000001</v>
      </c>
      <c r="S56" s="46">
        <v>52</v>
      </c>
      <c r="T56" s="33" t="s">
        <v>245</v>
      </c>
      <c r="U56" s="33">
        <v>66</v>
      </c>
      <c r="V56" s="33">
        <v>47</v>
      </c>
      <c r="W56" s="33">
        <v>27.7</v>
      </c>
      <c r="X56" s="34">
        <v>0.65490999999999999</v>
      </c>
    </row>
    <row r="57" spans="1:24" x14ac:dyDescent="0.45">
      <c r="A57" s="46">
        <v>53</v>
      </c>
      <c r="B57" s="41" t="s">
        <v>58</v>
      </c>
      <c r="C57" s="42">
        <v>55</v>
      </c>
      <c r="D57" s="42">
        <v>48</v>
      </c>
      <c r="E57" s="42">
        <v>24.2</v>
      </c>
      <c r="F57" s="42">
        <v>0.67944999999999989</v>
      </c>
      <c r="G57" s="46">
        <v>53</v>
      </c>
      <c r="H57" s="33" t="s">
        <v>60</v>
      </c>
      <c r="I57" s="33">
        <v>90</v>
      </c>
      <c r="J57" s="33">
        <v>49</v>
      </c>
      <c r="K57" s="33">
        <v>29.3</v>
      </c>
      <c r="L57" s="33">
        <v>0.47802</v>
      </c>
      <c r="M57" s="46">
        <v>53</v>
      </c>
      <c r="N57" s="42" t="s">
        <v>293</v>
      </c>
      <c r="O57" s="42">
        <v>75</v>
      </c>
      <c r="P57" s="42">
        <v>48</v>
      </c>
      <c r="Q57" s="42">
        <v>24.3</v>
      </c>
      <c r="R57" s="42">
        <v>0.59704999999999997</v>
      </c>
      <c r="S57" s="46">
        <v>53</v>
      </c>
      <c r="T57" s="33" t="s">
        <v>245</v>
      </c>
      <c r="U57" s="33">
        <v>74</v>
      </c>
      <c r="V57" s="33">
        <v>48</v>
      </c>
      <c r="W57" s="33">
        <v>27.1</v>
      </c>
      <c r="X57" s="34">
        <v>0.67774000000000001</v>
      </c>
    </row>
    <row r="58" spans="1:24" x14ac:dyDescent="0.45">
      <c r="A58" s="46">
        <v>54</v>
      </c>
      <c r="B58" s="41" t="s">
        <v>58</v>
      </c>
      <c r="C58" s="42">
        <v>56</v>
      </c>
      <c r="D58" s="42">
        <v>48</v>
      </c>
      <c r="E58" s="42">
        <v>24.7</v>
      </c>
      <c r="F58" s="42">
        <v>0.63573999999999997</v>
      </c>
      <c r="G58" s="46">
        <v>54</v>
      </c>
      <c r="H58" s="33" t="s">
        <v>60</v>
      </c>
      <c r="I58" s="33">
        <v>64</v>
      </c>
      <c r="J58" s="33">
        <v>49</v>
      </c>
      <c r="K58" s="33">
        <v>29.7</v>
      </c>
      <c r="L58" s="33">
        <v>0.4486</v>
      </c>
      <c r="M58" s="46">
        <v>54</v>
      </c>
      <c r="N58" s="42" t="s">
        <v>293</v>
      </c>
      <c r="O58" s="42">
        <v>67</v>
      </c>
      <c r="P58" s="42">
        <v>48</v>
      </c>
      <c r="Q58" s="42">
        <v>24.4</v>
      </c>
      <c r="R58" s="42">
        <v>0.51270000000000004</v>
      </c>
      <c r="S58" s="46">
        <v>54</v>
      </c>
      <c r="T58" s="33" t="s">
        <v>245</v>
      </c>
      <c r="U58" s="33">
        <v>74</v>
      </c>
      <c r="V58" s="33">
        <v>48</v>
      </c>
      <c r="W58" s="33">
        <v>27.3</v>
      </c>
      <c r="X58" s="34">
        <v>0.68225000000000013</v>
      </c>
    </row>
    <row r="59" spans="1:24" x14ac:dyDescent="0.45">
      <c r="A59" s="46">
        <v>55</v>
      </c>
      <c r="B59" s="41" t="s">
        <v>58</v>
      </c>
      <c r="C59" s="42">
        <v>76</v>
      </c>
      <c r="D59" s="42">
        <v>37</v>
      </c>
      <c r="E59" s="42">
        <v>24.4</v>
      </c>
      <c r="F59" s="42">
        <v>0.69225999999999999</v>
      </c>
      <c r="G59" s="46">
        <v>55</v>
      </c>
      <c r="H59" s="33" t="s">
        <v>60</v>
      </c>
      <c r="I59" s="33">
        <v>36</v>
      </c>
      <c r="J59" s="33">
        <v>37</v>
      </c>
      <c r="K59" s="33">
        <v>29.4</v>
      </c>
      <c r="L59" s="33">
        <v>0.27685999999999999</v>
      </c>
      <c r="M59" s="46">
        <v>55</v>
      </c>
      <c r="N59" s="42" t="s">
        <v>293</v>
      </c>
      <c r="O59" s="42">
        <v>79</v>
      </c>
      <c r="P59" s="42">
        <v>37</v>
      </c>
      <c r="Q59" s="42">
        <v>24.5</v>
      </c>
      <c r="R59" s="42">
        <v>0.66126000000000007</v>
      </c>
      <c r="S59" s="46">
        <v>55</v>
      </c>
      <c r="T59" s="33" t="s">
        <v>245</v>
      </c>
      <c r="U59" s="33">
        <v>61</v>
      </c>
      <c r="V59" s="33">
        <v>37</v>
      </c>
      <c r="W59" s="33">
        <v>26.8</v>
      </c>
      <c r="X59" s="34">
        <v>0.71728999999999998</v>
      </c>
    </row>
    <row r="60" spans="1:24" x14ac:dyDescent="0.45">
      <c r="A60" s="46">
        <v>56</v>
      </c>
      <c r="B60" s="41" t="s">
        <v>58</v>
      </c>
      <c r="C60" s="42">
        <v>78</v>
      </c>
      <c r="D60" s="42">
        <v>37</v>
      </c>
      <c r="E60" s="42">
        <v>24.6</v>
      </c>
      <c r="F60" s="42">
        <v>0.72840000000000005</v>
      </c>
      <c r="G60" s="46">
        <v>56</v>
      </c>
      <c r="H60" s="33" t="s">
        <v>60</v>
      </c>
      <c r="I60" s="33">
        <v>86</v>
      </c>
      <c r="J60" s="33">
        <v>37</v>
      </c>
      <c r="K60" s="33">
        <v>29.6</v>
      </c>
      <c r="L60" s="33">
        <v>0.49268000000000001</v>
      </c>
      <c r="M60" s="46">
        <v>56</v>
      </c>
      <c r="N60" s="42" t="s">
        <v>293</v>
      </c>
      <c r="O60" s="42">
        <v>82</v>
      </c>
      <c r="P60" s="42">
        <v>37</v>
      </c>
      <c r="Q60" s="42">
        <v>24.6</v>
      </c>
      <c r="R60" s="42">
        <v>0.65759000000000001</v>
      </c>
      <c r="S60" s="46">
        <v>56</v>
      </c>
      <c r="T60" s="33" t="s">
        <v>245</v>
      </c>
      <c r="U60" s="33">
        <v>63</v>
      </c>
      <c r="V60" s="33">
        <v>37</v>
      </c>
      <c r="W60" s="33">
        <v>26.6</v>
      </c>
      <c r="X60" s="34">
        <v>0.6916500000000001</v>
      </c>
    </row>
    <row r="61" spans="1:24" x14ac:dyDescent="0.45">
      <c r="A61" s="46">
        <v>57</v>
      </c>
      <c r="B61" s="41" t="s">
        <v>58</v>
      </c>
      <c r="C61" s="42">
        <v>83</v>
      </c>
      <c r="D61" s="42">
        <v>37</v>
      </c>
      <c r="E61" s="42">
        <v>24.2</v>
      </c>
      <c r="F61" s="42">
        <v>0.72742000000000007</v>
      </c>
      <c r="G61" s="46">
        <v>57</v>
      </c>
      <c r="H61" s="33" t="s">
        <v>60</v>
      </c>
      <c r="I61" s="33">
        <v>47</v>
      </c>
      <c r="J61" s="33">
        <v>37</v>
      </c>
      <c r="K61" s="33">
        <v>29.9</v>
      </c>
      <c r="L61" s="33">
        <v>0.30688000000000004</v>
      </c>
      <c r="M61" s="46">
        <v>57</v>
      </c>
      <c r="N61" s="42" t="s">
        <v>293</v>
      </c>
      <c r="O61" s="42">
        <v>43</v>
      </c>
      <c r="P61" s="42">
        <v>37</v>
      </c>
      <c r="Q61" s="42">
        <v>24.5</v>
      </c>
      <c r="R61" s="42">
        <v>0.51085999999999998</v>
      </c>
      <c r="S61" s="46">
        <v>57</v>
      </c>
      <c r="T61" s="33" t="s">
        <v>245</v>
      </c>
      <c r="U61" s="33">
        <v>63</v>
      </c>
      <c r="V61" s="33">
        <v>37</v>
      </c>
      <c r="W61" s="33">
        <v>26.2</v>
      </c>
      <c r="X61" s="34">
        <v>0.6855500000000001</v>
      </c>
    </row>
    <row r="62" spans="1:24" x14ac:dyDescent="0.45">
      <c r="A62" s="46">
        <v>58</v>
      </c>
      <c r="B62" s="41" t="s">
        <v>58</v>
      </c>
      <c r="C62" s="42">
        <v>74</v>
      </c>
      <c r="D62" s="42">
        <v>48</v>
      </c>
      <c r="E62" s="42">
        <v>24.3</v>
      </c>
      <c r="F62" s="42">
        <v>0.62060999999999999</v>
      </c>
      <c r="G62" s="46">
        <v>58</v>
      </c>
      <c r="H62" s="33" t="s">
        <v>60</v>
      </c>
      <c r="I62" s="33">
        <v>41</v>
      </c>
      <c r="J62" s="33">
        <v>47</v>
      </c>
      <c r="K62" s="33">
        <v>30.2</v>
      </c>
      <c r="L62" s="33">
        <v>0.40258999999999995</v>
      </c>
      <c r="M62" s="46">
        <v>58</v>
      </c>
      <c r="N62" s="42" t="s">
        <v>293</v>
      </c>
      <c r="O62" s="42">
        <v>57</v>
      </c>
      <c r="P62" s="42">
        <v>48</v>
      </c>
      <c r="Q62" s="42">
        <v>24.4</v>
      </c>
      <c r="R62" s="42">
        <v>0.51136000000000004</v>
      </c>
      <c r="S62" s="46">
        <v>58</v>
      </c>
      <c r="T62" s="33" t="s">
        <v>245</v>
      </c>
      <c r="U62" s="33">
        <v>71</v>
      </c>
      <c r="V62" s="33">
        <v>47</v>
      </c>
      <c r="W62" s="33">
        <v>28.5</v>
      </c>
      <c r="X62" s="34">
        <v>0.71105999999999991</v>
      </c>
    </row>
    <row r="63" spans="1:24" x14ac:dyDescent="0.45">
      <c r="A63" s="46">
        <v>59</v>
      </c>
      <c r="B63" s="41" t="s">
        <v>58</v>
      </c>
      <c r="C63" s="42">
        <v>61</v>
      </c>
      <c r="D63" s="42">
        <v>48</v>
      </c>
      <c r="E63" s="42">
        <v>24.5</v>
      </c>
      <c r="F63" s="42">
        <v>0.65942999999999996</v>
      </c>
      <c r="G63" s="46">
        <v>59</v>
      </c>
      <c r="H63" s="33" t="s">
        <v>60</v>
      </c>
      <c r="I63" s="33">
        <v>75</v>
      </c>
      <c r="J63" s="33">
        <v>48</v>
      </c>
      <c r="K63" s="33">
        <v>29.7</v>
      </c>
      <c r="L63" s="33">
        <v>0.40745999999999993</v>
      </c>
      <c r="M63" s="46">
        <v>59</v>
      </c>
      <c r="N63" s="42" t="s">
        <v>293</v>
      </c>
      <c r="O63" s="42">
        <v>73</v>
      </c>
      <c r="P63" s="42">
        <v>47</v>
      </c>
      <c r="Q63" s="42">
        <v>24.6</v>
      </c>
      <c r="R63" s="42">
        <v>0.60350999999999999</v>
      </c>
      <c r="S63" s="46">
        <v>59</v>
      </c>
      <c r="T63" s="33" t="s">
        <v>245</v>
      </c>
      <c r="U63" s="33">
        <v>84</v>
      </c>
      <c r="V63" s="33">
        <v>49</v>
      </c>
      <c r="W63" s="33">
        <v>28.5</v>
      </c>
      <c r="X63" s="34">
        <v>0.69677999999999995</v>
      </c>
    </row>
    <row r="64" spans="1:24" ht="14.65" thickBot="1" x14ac:dyDescent="0.5">
      <c r="A64" s="46">
        <v>60</v>
      </c>
      <c r="B64" s="43" t="s">
        <v>58</v>
      </c>
      <c r="C64" s="44">
        <v>75</v>
      </c>
      <c r="D64" s="44">
        <v>48</v>
      </c>
      <c r="E64" s="44">
        <v>24.2</v>
      </c>
      <c r="F64" s="44">
        <v>0.67688000000000004</v>
      </c>
      <c r="G64" s="46">
        <v>60</v>
      </c>
      <c r="H64" s="36" t="s">
        <v>60</v>
      </c>
      <c r="I64" s="36">
        <v>45</v>
      </c>
      <c r="J64" s="36">
        <v>47</v>
      </c>
      <c r="K64" s="36">
        <v>30</v>
      </c>
      <c r="L64" s="36">
        <v>0.37963999999999998</v>
      </c>
      <c r="M64" s="46">
        <v>60</v>
      </c>
      <c r="N64" s="44" t="s">
        <v>293</v>
      </c>
      <c r="O64" s="44">
        <v>75</v>
      </c>
      <c r="P64" s="44">
        <v>48</v>
      </c>
      <c r="Q64" s="44">
        <v>24.9</v>
      </c>
      <c r="R64" s="44">
        <v>0.58118000000000003</v>
      </c>
      <c r="S64" s="46">
        <v>60</v>
      </c>
      <c r="T64" s="36" t="s">
        <v>245</v>
      </c>
      <c r="U64" s="36">
        <v>61</v>
      </c>
      <c r="V64" s="36">
        <v>48</v>
      </c>
      <c r="W64" s="36">
        <v>28.5</v>
      </c>
      <c r="X64" s="37">
        <v>0.69542999999999988</v>
      </c>
    </row>
  </sheetData>
  <pageMargins left="0.25" right="0.25" top="0.75" bottom="0.75" header="0.3" footer="0.3"/>
  <pageSetup paperSize="9"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3qubits</vt:lpstr>
      <vt:lpstr>5qubits</vt:lpstr>
      <vt:lpstr>Counts</vt:lpstr>
      <vt:lpstr>Factor 1 CNOTS</vt:lpstr>
      <vt:lpstr>Factor 2 SQG</vt:lpstr>
      <vt:lpstr>Factor 3 Run Time</vt:lpstr>
      <vt:lpstr>Tables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Christine Pelejo</dc:creator>
  <cp:lastModifiedBy>Diane Christine Pelejo</cp:lastModifiedBy>
  <cp:lastPrinted>2021-02-11T16:01:57Z</cp:lastPrinted>
  <dcterms:created xsi:type="dcterms:W3CDTF">2020-10-08T17:07:44Z</dcterms:created>
  <dcterms:modified xsi:type="dcterms:W3CDTF">2021-05-04T19:11:11Z</dcterms:modified>
</cp:coreProperties>
</file>