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dae73586c17198/Documents/"/>
    </mc:Choice>
  </mc:AlternateContent>
  <xr:revisionPtr revIDLastSave="4" documentId="8_{C9CBC8DE-3B9E-4E32-A4BB-15DD999055A0}" xr6:coauthVersionLast="46" xr6:coauthVersionMax="46" xr10:uidLastSave="{00172B7E-BE5B-45A8-91FA-DB1107054C8D}"/>
  <bookViews>
    <workbookView xWindow="18390" yWindow="1995" windowWidth="18390" windowHeight="16905" xr2:uid="{220A669D-CFC9-4A1F-94F5-04636FACD1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8" i="1"/>
  <c r="F17" i="1" s="1"/>
  <c r="F19" i="1"/>
  <c r="F20" i="1"/>
  <c r="F21" i="1"/>
  <c r="F22" i="1"/>
  <c r="F24" i="1"/>
  <c r="F23" i="1" s="1"/>
  <c r="F25" i="1"/>
  <c r="F26" i="1"/>
  <c r="F27" i="1"/>
  <c r="F29" i="1"/>
  <c r="F28" i="1" s="1"/>
  <c r="F31" i="1"/>
  <c r="F30" i="1" s="1"/>
  <c r="F32" i="1"/>
  <c r="F33" i="1"/>
  <c r="F34" i="1"/>
  <c r="F35" i="1"/>
  <c r="F37" i="1"/>
  <c r="F36" i="1" s="1"/>
  <c r="F38" i="1"/>
  <c r="F39" i="1"/>
  <c r="F40" i="1"/>
  <c r="F41" i="1"/>
  <c r="F43" i="1"/>
  <c r="F42" i="1" s="1"/>
  <c r="F44" i="1"/>
  <c r="F45" i="1"/>
  <c r="F46" i="1"/>
  <c r="F47" i="1"/>
  <c r="F48" i="1"/>
  <c r="F49" i="1"/>
  <c r="F50" i="1"/>
  <c r="F51" i="1"/>
  <c r="F52" i="1"/>
  <c r="F53" i="1"/>
  <c r="F54" i="1"/>
  <c r="F56" i="1"/>
  <c r="F55" i="1" s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4" i="1"/>
  <c r="F73" i="1" s="1"/>
  <c r="F75" i="1"/>
  <c r="F77" i="1"/>
  <c r="F76" i="1" s="1"/>
  <c r="F79" i="1"/>
  <c r="F78" i="1" s="1"/>
  <c r="F80" i="1"/>
  <c r="F82" i="1"/>
  <c r="F81" i="1" s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101" i="1"/>
  <c r="F100" i="1" s="1"/>
  <c r="F99" i="1" s="1"/>
  <c r="F98" i="1" s="1"/>
  <c r="F97" i="1" s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2" i="1"/>
  <c r="F121" i="1" s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8" i="1"/>
  <c r="F137" i="1" s="1"/>
  <c r="F142" i="1"/>
  <c r="F141" i="1" s="1"/>
  <c r="F140" i="1" s="1"/>
  <c r="F139" i="1" s="1"/>
  <c r="F143" i="1"/>
  <c r="F144" i="1"/>
  <c r="F145" i="1"/>
  <c r="F146" i="1"/>
  <c r="F147" i="1"/>
  <c r="F149" i="1"/>
  <c r="F148" i="1" s="1"/>
  <c r="F155" i="1"/>
  <c r="F154" i="1" s="1"/>
  <c r="F153" i="1" s="1"/>
  <c r="F152" i="1" s="1"/>
  <c r="F151" i="1" s="1"/>
  <c r="F150" i="1" s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1" i="1"/>
  <c r="F300" i="1" s="1"/>
  <c r="F302" i="1"/>
  <c r="F303" i="1"/>
  <c r="F304" i="1"/>
  <c r="F305" i="1"/>
  <c r="F306" i="1"/>
  <c r="F308" i="1"/>
  <c r="F307" i="1" s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8" i="1"/>
  <c r="F7" i="1" s="1"/>
  <c r="F6" i="1" s="1"/>
  <c r="F5" i="1" s="1"/>
  <c r="F4" i="1" s="1"/>
  <c r="F3" i="1" s="1"/>
  <c r="F2" i="1" s="1"/>
  <c r="F1" i="1" s="1"/>
  <c r="F9" i="1"/>
  <c r="F10" i="1"/>
  <c r="F11" i="1"/>
  <c r="F12" i="1"/>
  <c r="F13" i="1"/>
  <c r="F15" i="1"/>
  <c r="F14" i="1" s="1"/>
  <c r="D11" i="1"/>
  <c r="D12" i="1"/>
  <c r="D13" i="1"/>
  <c r="D14" i="1"/>
  <c r="D15" i="1"/>
  <c r="D16" i="1"/>
  <c r="D17" i="1"/>
  <c r="D18" i="1"/>
  <c r="D21" i="1"/>
  <c r="D25" i="1"/>
  <c r="D34" i="1"/>
  <c r="D35" i="1"/>
  <c r="D36" i="1"/>
  <c r="D37" i="1"/>
  <c r="D38" i="1"/>
  <c r="D39" i="1"/>
  <c r="D40" i="1"/>
  <c r="D41" i="1"/>
  <c r="D42" i="1"/>
  <c r="D45" i="1"/>
  <c r="D58" i="1"/>
  <c r="D59" i="1"/>
  <c r="D60" i="1"/>
  <c r="D65" i="1"/>
  <c r="D66" i="1"/>
  <c r="D67" i="1"/>
  <c r="D68" i="1"/>
  <c r="D69" i="1"/>
  <c r="D82" i="1"/>
  <c r="D83" i="1"/>
  <c r="D84" i="1"/>
  <c r="D85" i="1"/>
  <c r="D86" i="1"/>
  <c r="D87" i="1"/>
  <c r="D88" i="1"/>
  <c r="D93" i="1"/>
  <c r="D107" i="1"/>
  <c r="D108" i="1"/>
  <c r="D109" i="1"/>
  <c r="D110" i="1"/>
  <c r="D111" i="1"/>
  <c r="D112" i="1"/>
  <c r="D113" i="1"/>
  <c r="D114" i="1"/>
  <c r="D117" i="1"/>
  <c r="D130" i="1"/>
  <c r="D131" i="1"/>
  <c r="D132" i="1"/>
  <c r="D133" i="1"/>
  <c r="D134" i="1"/>
  <c r="D141" i="1"/>
  <c r="D154" i="1"/>
  <c r="D155" i="1"/>
  <c r="D156" i="1"/>
  <c r="D157" i="1"/>
  <c r="D158" i="1"/>
  <c r="D159" i="1"/>
  <c r="D160" i="1"/>
  <c r="D161" i="1"/>
  <c r="D162" i="1"/>
  <c r="D163" i="1"/>
  <c r="D165" i="1"/>
  <c r="D182" i="1"/>
  <c r="D183" i="1"/>
  <c r="D184" i="1"/>
  <c r="D189" i="1"/>
  <c r="D202" i="1"/>
  <c r="D203" i="1"/>
  <c r="D204" i="1"/>
  <c r="D205" i="1"/>
  <c r="D206" i="1"/>
  <c r="D207" i="1"/>
  <c r="D208" i="1"/>
  <c r="D209" i="1"/>
  <c r="D210" i="1"/>
  <c r="D213" i="1"/>
  <c r="D217" i="1"/>
  <c r="D225" i="1"/>
  <c r="D226" i="1"/>
  <c r="D227" i="1"/>
  <c r="D228" i="1"/>
  <c r="D229" i="1"/>
  <c r="D237" i="1"/>
  <c r="D250" i="1"/>
  <c r="D251" i="1"/>
  <c r="D252" i="1"/>
  <c r="D256" i="1"/>
  <c r="D257" i="1"/>
  <c r="D258" i="1"/>
  <c r="D259" i="1"/>
  <c r="D260" i="1"/>
  <c r="D261" i="1"/>
  <c r="D264" i="1"/>
  <c r="D265" i="1"/>
  <c r="D274" i="1"/>
  <c r="D285" i="1"/>
  <c r="D298" i="1"/>
  <c r="D299" i="1"/>
  <c r="D300" i="1"/>
  <c r="D301" i="1"/>
  <c r="D302" i="1"/>
  <c r="D303" i="1"/>
  <c r="D304" i="1"/>
  <c r="D305" i="1"/>
  <c r="D306" i="1"/>
  <c r="D309" i="1"/>
  <c r="D324" i="1"/>
  <c r="D325" i="1"/>
  <c r="D326" i="1"/>
  <c r="D327" i="1"/>
  <c r="D333" i="1"/>
  <c r="D336" i="1"/>
  <c r="D337" i="1"/>
  <c r="D346" i="1"/>
  <c r="D1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G346" i="1"/>
  <c r="G1" i="1"/>
  <c r="G2" i="1"/>
  <c r="G3" i="1"/>
  <c r="D3" i="1" s="1"/>
  <c r="G4" i="1"/>
  <c r="D4" i="1" s="1"/>
  <c r="G5" i="1"/>
  <c r="D5" i="1" s="1"/>
  <c r="G6" i="1"/>
  <c r="D6" i="1" s="1"/>
  <c r="G7" i="1"/>
  <c r="D7" i="1" s="1"/>
  <c r="G8" i="1"/>
  <c r="D8" i="1" s="1"/>
  <c r="G9" i="1"/>
  <c r="D9" i="1" s="1"/>
  <c r="G10" i="1"/>
  <c r="D10" i="1" s="1"/>
  <c r="G11" i="1"/>
  <c r="G12" i="1"/>
  <c r="G13" i="1"/>
  <c r="G14" i="1"/>
  <c r="G15" i="1"/>
  <c r="G16" i="1"/>
  <c r="G17" i="1"/>
  <c r="G18" i="1"/>
  <c r="G19" i="1"/>
  <c r="D19" i="1" s="1"/>
  <c r="G20" i="1"/>
  <c r="D20" i="1" s="1"/>
  <c r="G21" i="1"/>
  <c r="G22" i="1"/>
  <c r="D22" i="1" s="1"/>
  <c r="G23" i="1"/>
  <c r="D23" i="1" s="1"/>
  <c r="G24" i="1"/>
  <c r="D24" i="1" s="1"/>
  <c r="G25" i="1"/>
  <c r="G26" i="1"/>
  <c r="D26" i="1" s="1"/>
  <c r="G27" i="1"/>
  <c r="D27" i="1" s="1"/>
  <c r="G28" i="1"/>
  <c r="D28" i="1" s="1"/>
  <c r="G29" i="1"/>
  <c r="D29" i="1" s="1"/>
  <c r="G30" i="1"/>
  <c r="D30" i="1" s="1"/>
  <c r="G31" i="1"/>
  <c r="D31" i="1" s="1"/>
  <c r="G32" i="1"/>
  <c r="D32" i="1" s="1"/>
  <c r="G33" i="1"/>
  <c r="D33" i="1" s="1"/>
  <c r="G34" i="1"/>
  <c r="G35" i="1"/>
  <c r="G36" i="1"/>
  <c r="G37" i="1"/>
  <c r="G38" i="1"/>
  <c r="G39" i="1"/>
  <c r="G40" i="1"/>
  <c r="G41" i="1"/>
  <c r="G42" i="1"/>
  <c r="G43" i="1"/>
  <c r="D43" i="1" s="1"/>
  <c r="G44" i="1"/>
  <c r="D44" i="1" s="1"/>
  <c r="G45" i="1"/>
  <c r="G46" i="1"/>
  <c r="D46" i="1" s="1"/>
  <c r="G47" i="1"/>
  <c r="D47" i="1" s="1"/>
  <c r="G48" i="1"/>
  <c r="D48" i="1" s="1"/>
  <c r="G49" i="1"/>
  <c r="D49" i="1" s="1"/>
  <c r="G50" i="1"/>
  <c r="D50" i="1" s="1"/>
  <c r="G51" i="1"/>
  <c r="D51" i="1" s="1"/>
  <c r="G52" i="1"/>
  <c r="D52" i="1" s="1"/>
  <c r="G53" i="1"/>
  <c r="D53" i="1" s="1"/>
  <c r="G54" i="1"/>
  <c r="D54" i="1" s="1"/>
  <c r="G55" i="1"/>
  <c r="D55" i="1" s="1"/>
  <c r="G56" i="1"/>
  <c r="D56" i="1" s="1"/>
  <c r="G57" i="1"/>
  <c r="D57" i="1" s="1"/>
  <c r="G58" i="1"/>
  <c r="G59" i="1"/>
  <c r="G60" i="1"/>
  <c r="G61" i="1"/>
  <c r="D61" i="1" s="1"/>
  <c r="G62" i="1"/>
  <c r="D62" i="1" s="1"/>
  <c r="G63" i="1"/>
  <c r="D63" i="1" s="1"/>
  <c r="G64" i="1"/>
  <c r="D64" i="1" s="1"/>
  <c r="G65" i="1"/>
  <c r="G66" i="1"/>
  <c r="G67" i="1"/>
  <c r="G68" i="1"/>
  <c r="G69" i="1"/>
  <c r="G70" i="1"/>
  <c r="D70" i="1" s="1"/>
  <c r="G71" i="1"/>
  <c r="D71" i="1" s="1"/>
  <c r="G72" i="1"/>
  <c r="D72" i="1" s="1"/>
  <c r="G73" i="1"/>
  <c r="D73" i="1" s="1"/>
  <c r="G74" i="1"/>
  <c r="G75" i="1"/>
  <c r="D75" i="1" s="1"/>
  <c r="G76" i="1"/>
  <c r="D76" i="1" s="1"/>
  <c r="G77" i="1"/>
  <c r="D77" i="1" s="1"/>
  <c r="G78" i="1"/>
  <c r="D78" i="1" s="1"/>
  <c r="G79" i="1"/>
  <c r="D79" i="1" s="1"/>
  <c r="G80" i="1"/>
  <c r="D80" i="1" s="1"/>
  <c r="G81" i="1"/>
  <c r="D81" i="1" s="1"/>
  <c r="G82" i="1"/>
  <c r="G83" i="1"/>
  <c r="G84" i="1"/>
  <c r="G85" i="1"/>
  <c r="G86" i="1"/>
  <c r="G87" i="1"/>
  <c r="G88" i="1"/>
  <c r="G89" i="1"/>
  <c r="D89" i="1" s="1"/>
  <c r="G90" i="1"/>
  <c r="D90" i="1" s="1"/>
  <c r="G91" i="1"/>
  <c r="D91" i="1" s="1"/>
  <c r="G92" i="1"/>
  <c r="D92" i="1" s="1"/>
  <c r="G93" i="1"/>
  <c r="G94" i="1"/>
  <c r="D94" i="1" s="1"/>
  <c r="G95" i="1"/>
  <c r="D95" i="1" s="1"/>
  <c r="G96" i="1"/>
  <c r="D96" i="1" s="1"/>
  <c r="G97" i="1"/>
  <c r="D97" i="1" s="1"/>
  <c r="G98" i="1"/>
  <c r="D98" i="1" s="1"/>
  <c r="G99" i="1"/>
  <c r="D99" i="1" s="1"/>
  <c r="G100" i="1"/>
  <c r="D100" i="1" s="1"/>
  <c r="G101" i="1"/>
  <c r="D101" i="1" s="1"/>
  <c r="G102" i="1"/>
  <c r="D102" i="1" s="1"/>
  <c r="G103" i="1"/>
  <c r="D103" i="1" s="1"/>
  <c r="G104" i="1"/>
  <c r="D104" i="1" s="1"/>
  <c r="G105" i="1"/>
  <c r="D105" i="1" s="1"/>
  <c r="G106" i="1"/>
  <c r="D106" i="1" s="1"/>
  <c r="G107" i="1"/>
  <c r="G108" i="1"/>
  <c r="G109" i="1"/>
  <c r="G110" i="1"/>
  <c r="G111" i="1"/>
  <c r="G112" i="1"/>
  <c r="G113" i="1"/>
  <c r="G114" i="1"/>
  <c r="G115" i="1"/>
  <c r="D115" i="1" s="1"/>
  <c r="G116" i="1"/>
  <c r="D116" i="1" s="1"/>
  <c r="G117" i="1"/>
  <c r="G118" i="1"/>
  <c r="D118" i="1" s="1"/>
  <c r="G119" i="1"/>
  <c r="D119" i="1" s="1"/>
  <c r="G120" i="1"/>
  <c r="D120" i="1" s="1"/>
  <c r="G121" i="1"/>
  <c r="D121" i="1" s="1"/>
  <c r="G122" i="1"/>
  <c r="D122" i="1" s="1"/>
  <c r="G123" i="1"/>
  <c r="D123" i="1" s="1"/>
  <c r="G124" i="1"/>
  <c r="D124" i="1" s="1"/>
  <c r="G125" i="1"/>
  <c r="D125" i="1" s="1"/>
  <c r="G126" i="1"/>
  <c r="D126" i="1" s="1"/>
  <c r="G127" i="1"/>
  <c r="D127" i="1" s="1"/>
  <c r="G128" i="1"/>
  <c r="D128" i="1" s="1"/>
  <c r="G129" i="1"/>
  <c r="D129" i="1" s="1"/>
  <c r="G130" i="1"/>
  <c r="G131" i="1"/>
  <c r="G132" i="1"/>
  <c r="G133" i="1"/>
  <c r="G134" i="1"/>
  <c r="G135" i="1"/>
  <c r="D135" i="1" s="1"/>
  <c r="G136" i="1"/>
  <c r="D136" i="1" s="1"/>
  <c r="G137" i="1"/>
  <c r="D137" i="1" s="1"/>
  <c r="G138" i="1"/>
  <c r="D138" i="1" s="1"/>
  <c r="G139" i="1"/>
  <c r="G140" i="1"/>
  <c r="D140" i="1" s="1"/>
  <c r="G141" i="1"/>
  <c r="G142" i="1"/>
  <c r="D142" i="1" s="1"/>
  <c r="G143" i="1"/>
  <c r="D143" i="1" s="1"/>
  <c r="G144" i="1"/>
  <c r="D144" i="1" s="1"/>
  <c r="G145" i="1"/>
  <c r="D145" i="1" s="1"/>
  <c r="G146" i="1"/>
  <c r="D146" i="1" s="1"/>
  <c r="G147" i="1"/>
  <c r="D147" i="1" s="1"/>
  <c r="G148" i="1"/>
  <c r="D148" i="1" s="1"/>
  <c r="G149" i="1"/>
  <c r="D149" i="1" s="1"/>
  <c r="G150" i="1"/>
  <c r="D150" i="1" s="1"/>
  <c r="G151" i="1"/>
  <c r="D151" i="1" s="1"/>
  <c r="G152" i="1"/>
  <c r="D152" i="1" s="1"/>
  <c r="G153" i="1"/>
  <c r="G154" i="1"/>
  <c r="G155" i="1"/>
  <c r="G156" i="1"/>
  <c r="G157" i="1"/>
  <c r="G158" i="1"/>
  <c r="G159" i="1"/>
  <c r="G160" i="1"/>
  <c r="G161" i="1"/>
  <c r="G162" i="1"/>
  <c r="G163" i="1"/>
  <c r="G164" i="1"/>
  <c r="D164" i="1" s="1"/>
  <c r="G165" i="1"/>
  <c r="G166" i="1"/>
  <c r="G167" i="1"/>
  <c r="D167" i="1" s="1"/>
  <c r="G168" i="1"/>
  <c r="D168" i="1" s="1"/>
  <c r="G169" i="1"/>
  <c r="D169" i="1" s="1"/>
  <c r="G170" i="1"/>
  <c r="D170" i="1" s="1"/>
  <c r="G171" i="1"/>
  <c r="D171" i="1" s="1"/>
  <c r="G172" i="1"/>
  <c r="D172" i="1" s="1"/>
  <c r="G173" i="1"/>
  <c r="D173" i="1" s="1"/>
  <c r="G174" i="1"/>
  <c r="D174" i="1" s="1"/>
  <c r="G175" i="1"/>
  <c r="D175" i="1" s="1"/>
  <c r="G176" i="1"/>
  <c r="D176" i="1" s="1"/>
  <c r="G177" i="1"/>
  <c r="D177" i="1" s="1"/>
  <c r="G178" i="1"/>
  <c r="D178" i="1" s="1"/>
  <c r="G179" i="1"/>
  <c r="D179" i="1" s="1"/>
  <c r="G180" i="1"/>
  <c r="D180" i="1" s="1"/>
  <c r="G181" i="1"/>
  <c r="D181" i="1" s="1"/>
  <c r="G182" i="1"/>
  <c r="G183" i="1"/>
  <c r="G184" i="1"/>
  <c r="G185" i="1"/>
  <c r="D185" i="1" s="1"/>
  <c r="G186" i="1"/>
  <c r="D186" i="1" s="1"/>
  <c r="G187" i="1"/>
  <c r="D187" i="1" s="1"/>
  <c r="G188" i="1"/>
  <c r="D188" i="1" s="1"/>
  <c r="G189" i="1"/>
  <c r="G190" i="1"/>
  <c r="D190" i="1" s="1"/>
  <c r="G191" i="1"/>
  <c r="D191" i="1" s="1"/>
  <c r="G192" i="1"/>
  <c r="D192" i="1" s="1"/>
  <c r="G193" i="1"/>
  <c r="D193" i="1" s="1"/>
  <c r="G194" i="1"/>
  <c r="D194" i="1" s="1"/>
  <c r="G195" i="1"/>
  <c r="D195" i="1" s="1"/>
  <c r="G196" i="1"/>
  <c r="D196" i="1" s="1"/>
  <c r="G197" i="1"/>
  <c r="D197" i="1" s="1"/>
  <c r="G198" i="1"/>
  <c r="D198" i="1" s="1"/>
  <c r="G199" i="1"/>
  <c r="D199" i="1" s="1"/>
  <c r="G200" i="1"/>
  <c r="D200" i="1" s="1"/>
  <c r="G201" i="1"/>
  <c r="D201" i="1" s="1"/>
  <c r="G202" i="1"/>
  <c r="G203" i="1"/>
  <c r="G204" i="1"/>
  <c r="G205" i="1"/>
  <c r="G206" i="1"/>
  <c r="G207" i="1"/>
  <c r="G208" i="1"/>
  <c r="G209" i="1"/>
  <c r="G210" i="1"/>
  <c r="G211" i="1"/>
  <c r="D211" i="1" s="1"/>
  <c r="G212" i="1"/>
  <c r="D212" i="1" s="1"/>
  <c r="G213" i="1"/>
  <c r="G214" i="1"/>
  <c r="G215" i="1"/>
  <c r="D215" i="1" s="1"/>
  <c r="G216" i="1"/>
  <c r="D216" i="1" s="1"/>
  <c r="G217" i="1"/>
  <c r="G218" i="1"/>
  <c r="D218" i="1" s="1"/>
  <c r="G219" i="1"/>
  <c r="D219" i="1" s="1"/>
  <c r="G220" i="1"/>
  <c r="D220" i="1" s="1"/>
  <c r="G221" i="1"/>
  <c r="D221" i="1" s="1"/>
  <c r="G222" i="1"/>
  <c r="D222" i="1" s="1"/>
  <c r="G223" i="1"/>
  <c r="D223" i="1" s="1"/>
  <c r="G224" i="1"/>
  <c r="D224" i="1" s="1"/>
  <c r="G225" i="1"/>
  <c r="G226" i="1"/>
  <c r="G227" i="1"/>
  <c r="G228" i="1"/>
  <c r="G229" i="1"/>
  <c r="G230" i="1"/>
  <c r="D230" i="1" s="1"/>
  <c r="G231" i="1"/>
  <c r="D231" i="1" s="1"/>
  <c r="G232" i="1"/>
  <c r="D232" i="1" s="1"/>
  <c r="G233" i="1"/>
  <c r="D233" i="1" s="1"/>
  <c r="G234" i="1"/>
  <c r="D234" i="1" s="1"/>
  <c r="G235" i="1"/>
  <c r="D235" i="1" s="1"/>
  <c r="G236" i="1"/>
  <c r="D236" i="1" s="1"/>
  <c r="G237" i="1"/>
  <c r="G238" i="1"/>
  <c r="D238" i="1" s="1"/>
  <c r="G239" i="1"/>
  <c r="D239" i="1" s="1"/>
  <c r="G240" i="1"/>
  <c r="D240" i="1" s="1"/>
  <c r="G241" i="1"/>
  <c r="D241" i="1" s="1"/>
  <c r="G242" i="1"/>
  <c r="G243" i="1"/>
  <c r="G244" i="1"/>
  <c r="D244" i="1" s="1"/>
  <c r="G245" i="1"/>
  <c r="D245" i="1" s="1"/>
  <c r="G246" i="1"/>
  <c r="D246" i="1" s="1"/>
  <c r="G247" i="1"/>
  <c r="D247" i="1" s="1"/>
  <c r="G248" i="1"/>
  <c r="D248" i="1" s="1"/>
  <c r="G249" i="1"/>
  <c r="D249" i="1" s="1"/>
  <c r="G250" i="1"/>
  <c r="G251" i="1"/>
  <c r="G252" i="1"/>
  <c r="G253" i="1"/>
  <c r="D253" i="1" s="1"/>
  <c r="G254" i="1"/>
  <c r="G255" i="1"/>
  <c r="D255" i="1" s="1"/>
  <c r="G256" i="1"/>
  <c r="G257" i="1"/>
  <c r="G258" i="1"/>
  <c r="G259" i="1"/>
  <c r="G260" i="1"/>
  <c r="G261" i="1"/>
  <c r="G262" i="1"/>
  <c r="D262" i="1" s="1"/>
  <c r="G263" i="1"/>
  <c r="D263" i="1" s="1"/>
  <c r="G264" i="1"/>
  <c r="G265" i="1"/>
  <c r="G266" i="1"/>
  <c r="D266" i="1" s="1"/>
  <c r="G267" i="1"/>
  <c r="D267" i="1" s="1"/>
  <c r="G268" i="1"/>
  <c r="D268" i="1" s="1"/>
  <c r="G269" i="1"/>
  <c r="D269" i="1" s="1"/>
  <c r="G270" i="1"/>
  <c r="D270" i="1" s="1"/>
  <c r="G271" i="1"/>
  <c r="D271" i="1" s="1"/>
  <c r="G272" i="1"/>
  <c r="D272" i="1" s="1"/>
  <c r="G273" i="1"/>
  <c r="D273" i="1" s="1"/>
  <c r="G274" i="1"/>
  <c r="G275" i="1"/>
  <c r="D275" i="1" s="1"/>
  <c r="G276" i="1"/>
  <c r="D276" i="1" s="1"/>
  <c r="G277" i="1"/>
  <c r="G278" i="1"/>
  <c r="G279" i="1"/>
  <c r="D279" i="1" s="1"/>
  <c r="G280" i="1"/>
  <c r="G281" i="1"/>
  <c r="D281" i="1" s="1"/>
  <c r="G282" i="1"/>
  <c r="D282" i="1" s="1"/>
  <c r="G283" i="1"/>
  <c r="D283" i="1" s="1"/>
  <c r="G284" i="1"/>
  <c r="D284" i="1" s="1"/>
  <c r="G285" i="1"/>
  <c r="G286" i="1"/>
  <c r="D286" i="1" s="1"/>
  <c r="G287" i="1"/>
  <c r="D287" i="1" s="1"/>
  <c r="G288" i="1"/>
  <c r="D288" i="1" s="1"/>
  <c r="G289" i="1"/>
  <c r="G290" i="1"/>
  <c r="G291" i="1"/>
  <c r="G292" i="1"/>
  <c r="D292" i="1" s="1"/>
  <c r="G293" i="1"/>
  <c r="D293" i="1" s="1"/>
  <c r="G294" i="1"/>
  <c r="D294" i="1" s="1"/>
  <c r="G295" i="1"/>
  <c r="D295" i="1" s="1"/>
  <c r="G296" i="1"/>
  <c r="D296" i="1" s="1"/>
  <c r="G297" i="1"/>
  <c r="D297" i="1" s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D310" i="1" s="1"/>
  <c r="G311" i="1"/>
  <c r="D311" i="1" s="1"/>
  <c r="G312" i="1"/>
  <c r="D312" i="1" s="1"/>
  <c r="G313" i="1"/>
  <c r="D313" i="1" s="1"/>
  <c r="G314" i="1"/>
  <c r="D314" i="1" s="1"/>
  <c r="G315" i="1"/>
  <c r="D315" i="1" s="1"/>
  <c r="G316" i="1"/>
  <c r="D316" i="1" s="1"/>
  <c r="G317" i="1"/>
  <c r="D317" i="1" s="1"/>
  <c r="G318" i="1"/>
  <c r="D318" i="1" s="1"/>
  <c r="G319" i="1"/>
  <c r="D319" i="1" s="1"/>
  <c r="G320" i="1"/>
  <c r="D320" i="1" s="1"/>
  <c r="G321" i="1"/>
  <c r="D321" i="1" s="1"/>
  <c r="G322" i="1"/>
  <c r="D322" i="1" s="1"/>
  <c r="G323" i="1"/>
  <c r="D323" i="1" s="1"/>
  <c r="G324" i="1"/>
  <c r="G325" i="1"/>
  <c r="G326" i="1"/>
  <c r="G327" i="1"/>
  <c r="G328" i="1"/>
  <c r="G329" i="1"/>
  <c r="D329" i="1" s="1"/>
  <c r="G330" i="1"/>
  <c r="D330" i="1" s="1"/>
  <c r="G331" i="1"/>
  <c r="D331" i="1" s="1"/>
  <c r="G332" i="1"/>
  <c r="D332" i="1" s="1"/>
  <c r="G333" i="1"/>
  <c r="G334" i="1"/>
  <c r="D334" i="1" s="1"/>
  <c r="G335" i="1"/>
  <c r="D335" i="1" s="1"/>
  <c r="G336" i="1"/>
  <c r="G337" i="1"/>
  <c r="G338" i="1"/>
  <c r="G339" i="1"/>
  <c r="G340" i="1"/>
  <c r="D340" i="1" s="1"/>
  <c r="G341" i="1"/>
  <c r="D341" i="1" s="1"/>
  <c r="G342" i="1"/>
  <c r="D342" i="1" s="1"/>
  <c r="G343" i="1"/>
  <c r="D343" i="1" s="1"/>
  <c r="G344" i="1"/>
  <c r="D344" i="1" s="1"/>
  <c r="G345" i="1"/>
  <c r="D345" i="1" s="1"/>
  <c r="E305" i="1" l="1"/>
  <c r="E306" i="1"/>
  <c r="C306" i="1" s="1"/>
  <c r="A306" i="1" s="1"/>
  <c r="E337" i="1"/>
  <c r="C337" i="1" s="1"/>
  <c r="A337" i="1" s="1"/>
  <c r="E307" i="1"/>
  <c r="E324" i="1"/>
  <c r="C324" i="1" s="1"/>
  <c r="A324" i="1" s="1"/>
  <c r="E338" i="1"/>
  <c r="C338" i="1" s="1"/>
  <c r="D153" i="1"/>
  <c r="D291" i="1"/>
  <c r="D290" i="1"/>
  <c r="D289" i="1"/>
  <c r="D307" i="1"/>
  <c r="D139" i="1"/>
  <c r="D308" i="1"/>
  <c r="D278" i="1"/>
  <c r="E327" i="1"/>
  <c r="C327" i="1" s="1"/>
  <c r="A327" i="1" s="1"/>
  <c r="D328" i="1"/>
  <c r="C307" i="1"/>
  <c r="A307" i="1" s="1"/>
  <c r="C305" i="1"/>
  <c r="A305" i="1" s="1"/>
  <c r="D277" i="1"/>
  <c r="D280" i="1"/>
  <c r="C304" i="1"/>
  <c r="A304" i="1" s="1"/>
  <c r="D254" i="1"/>
  <c r="E308" i="1"/>
  <c r="C308" i="1" s="1"/>
  <c r="A308" i="1" s="1"/>
  <c r="D339" i="1"/>
  <c r="D243" i="1"/>
  <c r="D338" i="1"/>
  <c r="D242" i="1"/>
  <c r="D74" i="1"/>
  <c r="D2" i="1"/>
  <c r="D214" i="1"/>
  <c r="D166" i="1"/>
  <c r="E304" i="1"/>
  <c r="E346" i="1"/>
  <c r="C346" i="1" s="1"/>
  <c r="A346" i="1" s="1"/>
  <c r="E322" i="1"/>
  <c r="C322" i="1" s="1"/>
  <c r="A322" i="1" s="1"/>
  <c r="E333" i="1"/>
  <c r="C333" i="1" s="1"/>
  <c r="A333" i="1" s="1"/>
  <c r="E332" i="1"/>
  <c r="C332" i="1" s="1"/>
  <c r="A332" i="1" s="1"/>
  <c r="E331" i="1"/>
  <c r="C331" i="1" s="1"/>
  <c r="A331" i="1" s="1"/>
  <c r="E328" i="1"/>
  <c r="C328" i="1" s="1"/>
  <c r="A328" i="1" s="1"/>
  <c r="E334" i="1"/>
  <c r="C334" i="1" s="1"/>
  <c r="A334" i="1" s="1"/>
  <c r="E335" i="1"/>
  <c r="C335" i="1" s="1"/>
  <c r="A335" i="1" s="1"/>
  <c r="E336" i="1"/>
  <c r="C336" i="1" s="1"/>
  <c r="A336" i="1" s="1"/>
  <c r="E330" i="1"/>
  <c r="C330" i="1" s="1"/>
  <c r="A330" i="1" s="1"/>
  <c r="E329" i="1"/>
  <c r="C329" i="1" s="1"/>
  <c r="A329" i="1" s="1"/>
  <c r="E325" i="1"/>
  <c r="C325" i="1" s="1"/>
  <c r="A325" i="1" s="1"/>
  <c r="E313" i="1"/>
  <c r="C313" i="1" s="1"/>
  <c r="A313" i="1" s="1"/>
  <c r="E312" i="1"/>
  <c r="C312" i="1" s="1"/>
  <c r="A312" i="1" s="1"/>
  <c r="E310" i="1"/>
  <c r="C310" i="1" s="1"/>
  <c r="A310" i="1" s="1"/>
  <c r="E314" i="1"/>
  <c r="C314" i="1" s="1"/>
  <c r="A314" i="1" s="1"/>
  <c r="E309" i="1"/>
  <c r="C309" i="1" s="1"/>
  <c r="A309" i="1" s="1"/>
  <c r="E311" i="1"/>
  <c r="C311" i="1" s="1"/>
  <c r="A311" i="1" s="1"/>
  <c r="E344" i="1"/>
  <c r="C344" i="1" s="1"/>
  <c r="A344" i="1" s="1"/>
  <c r="E326" i="1"/>
  <c r="C326" i="1" s="1"/>
  <c r="A326" i="1" s="1"/>
  <c r="E323" i="1"/>
  <c r="C323" i="1" s="1"/>
  <c r="A323" i="1" s="1"/>
  <c r="E345" i="1"/>
  <c r="C345" i="1" s="1"/>
  <c r="A345" i="1" s="1"/>
  <c r="E321" i="1"/>
  <c r="C321" i="1" s="1"/>
  <c r="A321" i="1" s="1"/>
  <c r="E320" i="1"/>
  <c r="C320" i="1" s="1"/>
  <c r="A320" i="1" s="1"/>
  <c r="E343" i="1"/>
  <c r="C343" i="1" s="1"/>
  <c r="A343" i="1" s="1"/>
  <c r="E319" i="1"/>
  <c r="C319" i="1" s="1"/>
  <c r="A319" i="1" s="1"/>
  <c r="E342" i="1"/>
  <c r="C342" i="1" s="1"/>
  <c r="A342" i="1" s="1"/>
  <c r="E318" i="1"/>
  <c r="C318" i="1" s="1"/>
  <c r="A318" i="1" s="1"/>
  <c r="E341" i="1"/>
  <c r="C341" i="1" s="1"/>
  <c r="A341" i="1" s="1"/>
  <c r="E317" i="1"/>
  <c r="C317" i="1" s="1"/>
  <c r="A317" i="1" s="1"/>
  <c r="E340" i="1"/>
  <c r="C340" i="1" s="1"/>
  <c r="A340" i="1" s="1"/>
  <c r="E316" i="1"/>
  <c r="C316" i="1" s="1"/>
  <c r="A316" i="1" s="1"/>
  <c r="E339" i="1"/>
  <c r="C339" i="1" s="1"/>
  <c r="A339" i="1" s="1"/>
  <c r="E315" i="1"/>
  <c r="C315" i="1" s="1"/>
  <c r="A315" i="1" s="1"/>
  <c r="A338" i="1" l="1"/>
  <c r="E303" i="1"/>
  <c r="C303" i="1" s="1"/>
  <c r="A303" i="1" s="1"/>
  <c r="E302" i="1" l="1"/>
  <c r="C302" i="1" s="1"/>
  <c r="A302" i="1" s="1"/>
  <c r="E301" i="1" l="1"/>
  <c r="C301" i="1" s="1"/>
  <c r="A301" i="1" s="1"/>
  <c r="E300" i="1" l="1"/>
  <c r="C300" i="1" s="1"/>
  <c r="A300" i="1" s="1"/>
  <c r="E299" i="1" l="1"/>
  <c r="C299" i="1" s="1"/>
  <c r="A299" i="1" s="1"/>
  <c r="E298" i="1" l="1"/>
  <c r="C298" i="1" s="1"/>
  <c r="A298" i="1" s="1"/>
  <c r="E297" i="1" l="1"/>
  <c r="C297" i="1" s="1"/>
  <c r="A297" i="1" s="1"/>
  <c r="E296" i="1" l="1"/>
  <c r="C296" i="1" s="1"/>
  <c r="A296" i="1" s="1"/>
  <c r="E295" i="1" l="1"/>
  <c r="C295" i="1" s="1"/>
  <c r="A295" i="1" s="1"/>
  <c r="E294" i="1" l="1"/>
  <c r="C294" i="1" s="1"/>
  <c r="A294" i="1" s="1"/>
  <c r="E293" i="1" l="1"/>
  <c r="C293" i="1" s="1"/>
  <c r="A293" i="1" s="1"/>
  <c r="E292" i="1" l="1"/>
  <c r="C292" i="1" s="1"/>
  <c r="A292" i="1" s="1"/>
  <c r="E291" i="1" l="1"/>
  <c r="C291" i="1" s="1"/>
  <c r="A291" i="1" s="1"/>
  <c r="E290" i="1" l="1"/>
  <c r="C290" i="1" s="1"/>
  <c r="A290" i="1" s="1"/>
  <c r="E289" i="1" l="1"/>
  <c r="C289" i="1" s="1"/>
  <c r="A289" i="1" s="1"/>
  <c r="E288" i="1" l="1"/>
  <c r="C288" i="1" s="1"/>
  <c r="A288" i="1" s="1"/>
  <c r="E287" i="1" l="1"/>
  <c r="C287" i="1" s="1"/>
  <c r="A287" i="1" s="1"/>
  <c r="E286" i="1" l="1"/>
  <c r="C286" i="1" s="1"/>
  <c r="A286" i="1" s="1"/>
  <c r="E285" i="1" l="1"/>
  <c r="C285" i="1" s="1"/>
  <c r="A285" i="1" s="1"/>
  <c r="E284" i="1" l="1"/>
  <c r="C284" i="1" s="1"/>
  <c r="A284" i="1" s="1"/>
  <c r="E283" i="1" l="1"/>
  <c r="C283" i="1" s="1"/>
  <c r="A283" i="1" s="1"/>
  <c r="E282" i="1" l="1"/>
  <c r="C282" i="1" s="1"/>
  <c r="A282" i="1" s="1"/>
  <c r="E281" i="1" l="1"/>
  <c r="C281" i="1" s="1"/>
  <c r="A281" i="1" s="1"/>
  <c r="E280" i="1" l="1"/>
  <c r="C280" i="1" s="1"/>
  <c r="A280" i="1" s="1"/>
  <c r="E279" i="1" l="1"/>
  <c r="C279" i="1" s="1"/>
  <c r="A279" i="1" s="1"/>
  <c r="E278" i="1" l="1"/>
  <c r="C278" i="1" s="1"/>
  <c r="A278" i="1" s="1"/>
  <c r="E277" i="1" l="1"/>
  <c r="C277" i="1" s="1"/>
  <c r="A277" i="1" s="1"/>
  <c r="E276" i="1" l="1"/>
  <c r="C276" i="1" s="1"/>
  <c r="A276" i="1" s="1"/>
  <c r="E275" i="1" l="1"/>
  <c r="C275" i="1" s="1"/>
  <c r="A275" i="1" s="1"/>
  <c r="E274" i="1" l="1"/>
  <c r="C274" i="1" s="1"/>
  <c r="A274" i="1" s="1"/>
  <c r="E273" i="1" l="1"/>
  <c r="C273" i="1" s="1"/>
  <c r="A273" i="1" s="1"/>
  <c r="E272" i="1" l="1"/>
  <c r="C272" i="1" s="1"/>
  <c r="A272" i="1" s="1"/>
  <c r="E271" i="1" l="1"/>
  <c r="C271" i="1" s="1"/>
  <c r="A271" i="1" s="1"/>
  <c r="E270" i="1" l="1"/>
  <c r="C270" i="1" s="1"/>
  <c r="A270" i="1" s="1"/>
  <c r="E269" i="1" l="1"/>
  <c r="C269" i="1" s="1"/>
  <c r="A269" i="1" s="1"/>
  <c r="E268" i="1" l="1"/>
  <c r="C268" i="1" s="1"/>
  <c r="A268" i="1" s="1"/>
  <c r="E267" i="1" l="1"/>
  <c r="C267" i="1" s="1"/>
  <c r="A267" i="1" s="1"/>
  <c r="E266" i="1" l="1"/>
  <c r="C266" i="1" s="1"/>
  <c r="A266" i="1" s="1"/>
  <c r="E265" i="1" l="1"/>
  <c r="C265" i="1" s="1"/>
  <c r="A265" i="1" s="1"/>
  <c r="E264" i="1" l="1"/>
  <c r="C264" i="1" s="1"/>
  <c r="A264" i="1" s="1"/>
  <c r="E263" i="1" l="1"/>
  <c r="C263" i="1" s="1"/>
  <c r="A263" i="1" s="1"/>
  <c r="E262" i="1" l="1"/>
  <c r="C262" i="1" s="1"/>
  <c r="A262" i="1" s="1"/>
  <c r="E261" i="1" l="1"/>
  <c r="C261" i="1" s="1"/>
  <c r="A261" i="1" s="1"/>
  <c r="E260" i="1" l="1"/>
  <c r="C260" i="1" s="1"/>
  <c r="A260" i="1" s="1"/>
  <c r="E259" i="1" l="1"/>
  <c r="C259" i="1" s="1"/>
  <c r="A259" i="1" s="1"/>
  <c r="E258" i="1" l="1"/>
  <c r="C258" i="1" s="1"/>
  <c r="A258" i="1" s="1"/>
  <c r="E257" i="1" l="1"/>
  <c r="C257" i="1" s="1"/>
  <c r="A257" i="1" s="1"/>
  <c r="E256" i="1" l="1"/>
  <c r="C256" i="1" s="1"/>
  <c r="A256" i="1" s="1"/>
  <c r="E255" i="1" l="1"/>
  <c r="C255" i="1" s="1"/>
  <c r="A255" i="1" s="1"/>
  <c r="E254" i="1" l="1"/>
  <c r="C254" i="1" s="1"/>
  <c r="A254" i="1" s="1"/>
  <c r="E253" i="1" l="1"/>
  <c r="C253" i="1" s="1"/>
  <c r="A253" i="1" s="1"/>
  <c r="E252" i="1" l="1"/>
  <c r="C252" i="1" s="1"/>
  <c r="A252" i="1" s="1"/>
  <c r="E251" i="1" l="1"/>
  <c r="C251" i="1" s="1"/>
  <c r="A251" i="1" s="1"/>
  <c r="E250" i="1" l="1"/>
  <c r="C250" i="1" s="1"/>
  <c r="A250" i="1" s="1"/>
  <c r="E249" i="1" l="1"/>
  <c r="C249" i="1" s="1"/>
  <c r="A249" i="1" s="1"/>
  <c r="E248" i="1" l="1"/>
  <c r="C248" i="1" s="1"/>
  <c r="A248" i="1" s="1"/>
  <c r="E247" i="1" l="1"/>
  <c r="C247" i="1" s="1"/>
  <c r="A247" i="1" s="1"/>
  <c r="E246" i="1" l="1"/>
  <c r="C246" i="1" s="1"/>
  <c r="A246" i="1" s="1"/>
  <c r="E245" i="1" l="1"/>
  <c r="C245" i="1" s="1"/>
  <c r="A245" i="1" s="1"/>
  <c r="E244" i="1" l="1"/>
  <c r="C244" i="1" s="1"/>
  <c r="A244" i="1" s="1"/>
  <c r="E243" i="1" l="1"/>
  <c r="C243" i="1" s="1"/>
  <c r="A243" i="1" s="1"/>
  <c r="E242" i="1" l="1"/>
  <c r="C242" i="1" s="1"/>
  <c r="A242" i="1" s="1"/>
  <c r="E241" i="1" l="1"/>
  <c r="C241" i="1" s="1"/>
  <c r="A241" i="1" s="1"/>
  <c r="E240" i="1" l="1"/>
  <c r="C240" i="1" s="1"/>
  <c r="A240" i="1" s="1"/>
  <c r="E239" i="1" l="1"/>
  <c r="C239" i="1" s="1"/>
  <c r="A239" i="1" s="1"/>
  <c r="E238" i="1" l="1"/>
  <c r="C238" i="1" s="1"/>
  <c r="A238" i="1" s="1"/>
  <c r="E237" i="1" l="1"/>
  <c r="C237" i="1" s="1"/>
  <c r="A237" i="1" s="1"/>
  <c r="E236" i="1" l="1"/>
  <c r="C236" i="1" s="1"/>
  <c r="A236" i="1" s="1"/>
  <c r="E235" i="1" l="1"/>
  <c r="C235" i="1" s="1"/>
  <c r="A235" i="1" s="1"/>
  <c r="E234" i="1" l="1"/>
  <c r="C234" i="1" s="1"/>
  <c r="A234" i="1" s="1"/>
  <c r="E233" i="1" l="1"/>
  <c r="C233" i="1" s="1"/>
  <c r="A233" i="1" s="1"/>
  <c r="E232" i="1" l="1"/>
  <c r="C232" i="1" s="1"/>
  <c r="A232" i="1" s="1"/>
  <c r="E231" i="1" l="1"/>
  <c r="C231" i="1" s="1"/>
  <c r="A231" i="1" s="1"/>
  <c r="E230" i="1" l="1"/>
  <c r="C230" i="1" s="1"/>
  <c r="A230" i="1" s="1"/>
  <c r="E229" i="1" l="1"/>
  <c r="C229" i="1" s="1"/>
  <c r="A229" i="1" s="1"/>
  <c r="E228" i="1" l="1"/>
  <c r="C228" i="1" s="1"/>
  <c r="A228" i="1" s="1"/>
  <c r="E227" i="1" l="1"/>
  <c r="C227" i="1" s="1"/>
  <c r="A227" i="1" s="1"/>
  <c r="E226" i="1" l="1"/>
  <c r="C226" i="1" s="1"/>
  <c r="A226" i="1" s="1"/>
  <c r="E225" i="1" l="1"/>
  <c r="C225" i="1" s="1"/>
  <c r="A225" i="1" s="1"/>
  <c r="E224" i="1" l="1"/>
  <c r="C224" i="1" s="1"/>
  <c r="A224" i="1" s="1"/>
  <c r="E223" i="1" l="1"/>
  <c r="C223" i="1" s="1"/>
  <c r="A223" i="1" s="1"/>
  <c r="E222" i="1" l="1"/>
  <c r="C222" i="1" s="1"/>
  <c r="A222" i="1" s="1"/>
  <c r="E221" i="1" l="1"/>
  <c r="C221" i="1" s="1"/>
  <c r="A221" i="1" s="1"/>
  <c r="E220" i="1" l="1"/>
  <c r="C220" i="1" s="1"/>
  <c r="A220" i="1" s="1"/>
  <c r="E219" i="1" l="1"/>
  <c r="C219" i="1" s="1"/>
  <c r="A219" i="1" s="1"/>
  <c r="E218" i="1" l="1"/>
  <c r="C218" i="1" s="1"/>
  <c r="A218" i="1" s="1"/>
  <c r="E217" i="1" l="1"/>
  <c r="C217" i="1" s="1"/>
  <c r="A217" i="1" s="1"/>
  <c r="E216" i="1" l="1"/>
  <c r="C216" i="1" s="1"/>
  <c r="A216" i="1" s="1"/>
  <c r="E215" i="1" l="1"/>
  <c r="C215" i="1" s="1"/>
  <c r="A215" i="1" s="1"/>
  <c r="E214" i="1" l="1"/>
  <c r="C214" i="1" s="1"/>
  <c r="A214" i="1" s="1"/>
  <c r="E213" i="1" l="1"/>
  <c r="C213" i="1" s="1"/>
  <c r="A213" i="1" s="1"/>
  <c r="E212" i="1" l="1"/>
  <c r="C212" i="1" s="1"/>
  <c r="A212" i="1" s="1"/>
  <c r="E211" i="1" l="1"/>
  <c r="C211" i="1" s="1"/>
  <c r="A211" i="1" s="1"/>
  <c r="E210" i="1" l="1"/>
  <c r="C210" i="1" s="1"/>
  <c r="A210" i="1" s="1"/>
  <c r="E209" i="1" l="1"/>
  <c r="C209" i="1" s="1"/>
  <c r="A209" i="1" s="1"/>
  <c r="E208" i="1" l="1"/>
  <c r="C208" i="1" s="1"/>
  <c r="A208" i="1" s="1"/>
  <c r="E207" i="1" l="1"/>
  <c r="C207" i="1" s="1"/>
  <c r="A207" i="1" s="1"/>
  <c r="E206" i="1" l="1"/>
  <c r="C206" i="1" s="1"/>
  <c r="A206" i="1" s="1"/>
  <c r="E205" i="1" l="1"/>
  <c r="C205" i="1" s="1"/>
  <c r="A205" i="1" s="1"/>
  <c r="E204" i="1" l="1"/>
  <c r="C204" i="1" s="1"/>
  <c r="A204" i="1" s="1"/>
  <c r="E203" i="1" l="1"/>
  <c r="C203" i="1" s="1"/>
  <c r="A203" i="1" s="1"/>
  <c r="E202" i="1" l="1"/>
  <c r="C202" i="1" s="1"/>
  <c r="A202" i="1" s="1"/>
  <c r="E201" i="1" l="1"/>
  <c r="C201" i="1" s="1"/>
  <c r="A201" i="1" s="1"/>
  <c r="E200" i="1" l="1"/>
  <c r="C200" i="1" s="1"/>
  <c r="A200" i="1" s="1"/>
  <c r="E199" i="1" l="1"/>
  <c r="C199" i="1" s="1"/>
  <c r="A199" i="1" s="1"/>
  <c r="E198" i="1" l="1"/>
  <c r="C198" i="1" s="1"/>
  <c r="A198" i="1" s="1"/>
  <c r="E197" i="1" l="1"/>
  <c r="C197" i="1" s="1"/>
  <c r="A197" i="1" s="1"/>
  <c r="E196" i="1" l="1"/>
  <c r="C196" i="1" s="1"/>
  <c r="A196" i="1" s="1"/>
  <c r="E195" i="1" l="1"/>
  <c r="C195" i="1" s="1"/>
  <c r="A195" i="1" s="1"/>
  <c r="E194" i="1" l="1"/>
  <c r="C194" i="1" s="1"/>
  <c r="A194" i="1" s="1"/>
  <c r="E193" i="1" l="1"/>
  <c r="C193" i="1" s="1"/>
  <c r="A193" i="1" s="1"/>
  <c r="E192" i="1" l="1"/>
  <c r="C192" i="1" s="1"/>
  <c r="A192" i="1" s="1"/>
  <c r="E191" i="1" l="1"/>
  <c r="C191" i="1" s="1"/>
  <c r="A191" i="1" s="1"/>
  <c r="E190" i="1" l="1"/>
  <c r="C190" i="1" s="1"/>
  <c r="A190" i="1" s="1"/>
  <c r="E189" i="1" l="1"/>
  <c r="C189" i="1" s="1"/>
  <c r="A189" i="1" s="1"/>
  <c r="E188" i="1" l="1"/>
  <c r="C188" i="1" s="1"/>
  <c r="A188" i="1" s="1"/>
  <c r="E187" i="1" l="1"/>
  <c r="C187" i="1" s="1"/>
  <c r="A187" i="1" s="1"/>
  <c r="E186" i="1" l="1"/>
  <c r="C186" i="1" s="1"/>
  <c r="A186" i="1" s="1"/>
  <c r="E185" i="1" l="1"/>
  <c r="C185" i="1" s="1"/>
  <c r="A185" i="1" s="1"/>
  <c r="E184" i="1" l="1"/>
  <c r="C184" i="1" s="1"/>
  <c r="A184" i="1" s="1"/>
  <c r="E183" i="1" l="1"/>
  <c r="C183" i="1" s="1"/>
  <c r="A183" i="1" s="1"/>
  <c r="E182" i="1" l="1"/>
  <c r="C182" i="1" s="1"/>
  <c r="A182" i="1" s="1"/>
  <c r="E181" i="1" l="1"/>
  <c r="C181" i="1" s="1"/>
  <c r="A181" i="1" s="1"/>
  <c r="E180" i="1" l="1"/>
  <c r="C180" i="1" s="1"/>
  <c r="A180" i="1" s="1"/>
  <c r="E179" i="1" l="1"/>
  <c r="C179" i="1" s="1"/>
  <c r="A179" i="1" s="1"/>
  <c r="E178" i="1" l="1"/>
  <c r="C178" i="1" s="1"/>
  <c r="A178" i="1" s="1"/>
  <c r="E177" i="1" l="1"/>
  <c r="C177" i="1" s="1"/>
  <c r="A177" i="1" s="1"/>
  <c r="E176" i="1" l="1"/>
  <c r="C176" i="1" s="1"/>
  <c r="A176" i="1" s="1"/>
  <c r="E175" i="1" l="1"/>
  <c r="C175" i="1" s="1"/>
  <c r="A175" i="1" s="1"/>
  <c r="E174" i="1" l="1"/>
  <c r="C174" i="1" s="1"/>
  <c r="A174" i="1" s="1"/>
  <c r="E173" i="1" l="1"/>
  <c r="C173" i="1" s="1"/>
  <c r="A173" i="1" s="1"/>
  <c r="E172" i="1" l="1"/>
  <c r="C172" i="1" s="1"/>
  <c r="A172" i="1" s="1"/>
  <c r="E171" i="1" l="1"/>
  <c r="C171" i="1" s="1"/>
  <c r="A171" i="1" s="1"/>
  <c r="E170" i="1" l="1"/>
  <c r="C170" i="1" s="1"/>
  <c r="A170" i="1" s="1"/>
  <c r="E169" i="1" l="1"/>
  <c r="C169" i="1" s="1"/>
  <c r="A169" i="1" s="1"/>
  <c r="E168" i="1" l="1"/>
  <c r="C168" i="1" s="1"/>
  <c r="A168" i="1" s="1"/>
  <c r="E167" i="1" l="1"/>
  <c r="C167" i="1" s="1"/>
  <c r="A167" i="1" s="1"/>
  <c r="E166" i="1" l="1"/>
  <c r="C166" i="1" s="1"/>
  <c r="A166" i="1" s="1"/>
  <c r="E165" i="1" l="1"/>
  <c r="C165" i="1" s="1"/>
  <c r="A165" i="1" s="1"/>
  <c r="E164" i="1" l="1"/>
  <c r="C164" i="1" s="1"/>
  <c r="A164" i="1" s="1"/>
  <c r="E163" i="1" l="1"/>
  <c r="C163" i="1" s="1"/>
  <c r="A163" i="1" s="1"/>
  <c r="E162" i="1" l="1"/>
  <c r="C162" i="1" s="1"/>
  <c r="A162" i="1" s="1"/>
  <c r="E161" i="1" l="1"/>
  <c r="C161" i="1" s="1"/>
  <c r="A161" i="1" s="1"/>
  <c r="E160" i="1" l="1"/>
  <c r="C160" i="1" s="1"/>
  <c r="A160" i="1" s="1"/>
  <c r="E159" i="1" l="1"/>
  <c r="C159" i="1" s="1"/>
  <c r="A159" i="1" s="1"/>
  <c r="E158" i="1" l="1"/>
  <c r="C158" i="1" s="1"/>
  <c r="A158" i="1" s="1"/>
  <c r="E157" i="1" l="1"/>
  <c r="C157" i="1" s="1"/>
  <c r="A157" i="1" s="1"/>
  <c r="E156" i="1" l="1"/>
  <c r="C156" i="1" s="1"/>
  <c r="A156" i="1" s="1"/>
  <c r="E155" i="1" l="1"/>
  <c r="C155" i="1" s="1"/>
  <c r="A155" i="1" s="1"/>
  <c r="E154" i="1" l="1"/>
  <c r="C154" i="1" s="1"/>
  <c r="A154" i="1" s="1"/>
  <c r="E153" i="1" l="1"/>
  <c r="C153" i="1" s="1"/>
  <c r="A153" i="1" s="1"/>
  <c r="E152" i="1" l="1"/>
  <c r="C152" i="1" s="1"/>
  <c r="A152" i="1" s="1"/>
  <c r="E151" i="1" l="1"/>
  <c r="C151" i="1" s="1"/>
  <c r="A151" i="1" s="1"/>
  <c r="E150" i="1" l="1"/>
  <c r="C150" i="1" s="1"/>
  <c r="A150" i="1" s="1"/>
  <c r="E149" i="1" l="1"/>
  <c r="C149" i="1" s="1"/>
  <c r="A149" i="1" s="1"/>
  <c r="E148" i="1" l="1"/>
  <c r="C148" i="1" s="1"/>
  <c r="A148" i="1" s="1"/>
  <c r="E147" i="1" l="1"/>
  <c r="C147" i="1" s="1"/>
  <c r="A147" i="1" s="1"/>
  <c r="E146" i="1" l="1"/>
  <c r="C146" i="1" s="1"/>
  <c r="A146" i="1" s="1"/>
  <c r="E145" i="1" l="1"/>
  <c r="C145" i="1" s="1"/>
  <c r="A145" i="1" s="1"/>
  <c r="E144" i="1" l="1"/>
  <c r="C144" i="1" s="1"/>
  <c r="A144" i="1" s="1"/>
  <c r="E143" i="1" l="1"/>
  <c r="C143" i="1" s="1"/>
  <c r="A143" i="1" s="1"/>
  <c r="E142" i="1" l="1"/>
  <c r="C142" i="1" s="1"/>
  <c r="A142" i="1" s="1"/>
  <c r="E141" i="1" l="1"/>
  <c r="C141" i="1" s="1"/>
  <c r="A141" i="1" s="1"/>
  <c r="E140" i="1" l="1"/>
  <c r="C140" i="1" s="1"/>
  <c r="A140" i="1" s="1"/>
  <c r="E139" i="1" l="1"/>
  <c r="C139" i="1" s="1"/>
  <c r="A139" i="1" s="1"/>
  <c r="E138" i="1" l="1"/>
  <c r="C138" i="1" s="1"/>
  <c r="A138" i="1" s="1"/>
  <c r="E137" i="1" l="1"/>
  <c r="C137" i="1" s="1"/>
  <c r="A137" i="1" s="1"/>
  <c r="E136" i="1" l="1"/>
  <c r="C136" i="1" s="1"/>
  <c r="A136" i="1" s="1"/>
  <c r="E135" i="1" l="1"/>
  <c r="C135" i="1" s="1"/>
  <c r="A135" i="1" s="1"/>
  <c r="E134" i="1" l="1"/>
  <c r="C134" i="1" s="1"/>
  <c r="A134" i="1" s="1"/>
  <c r="E133" i="1" l="1"/>
  <c r="C133" i="1" s="1"/>
  <c r="A133" i="1" s="1"/>
  <c r="E132" i="1" l="1"/>
  <c r="C132" i="1" s="1"/>
  <c r="A132" i="1" s="1"/>
  <c r="E131" i="1" l="1"/>
  <c r="C131" i="1" s="1"/>
  <c r="A131" i="1" s="1"/>
  <c r="E130" i="1" l="1"/>
  <c r="C130" i="1" s="1"/>
  <c r="A130" i="1" s="1"/>
  <c r="E129" i="1" l="1"/>
  <c r="C129" i="1" s="1"/>
  <c r="A129" i="1" s="1"/>
  <c r="E128" i="1" l="1"/>
  <c r="C128" i="1" s="1"/>
  <c r="A128" i="1" s="1"/>
  <c r="E127" i="1" l="1"/>
  <c r="C127" i="1" s="1"/>
  <c r="A127" i="1" s="1"/>
  <c r="E126" i="1" l="1"/>
  <c r="C126" i="1" s="1"/>
  <c r="A126" i="1" s="1"/>
  <c r="E125" i="1" l="1"/>
  <c r="C125" i="1" s="1"/>
  <c r="A125" i="1" s="1"/>
  <c r="E124" i="1" l="1"/>
  <c r="C124" i="1" s="1"/>
  <c r="A124" i="1" s="1"/>
  <c r="E123" i="1" l="1"/>
  <c r="C123" i="1" s="1"/>
  <c r="A123" i="1" s="1"/>
  <c r="E122" i="1" l="1"/>
  <c r="C122" i="1" s="1"/>
  <c r="A122" i="1" s="1"/>
  <c r="E121" i="1" l="1"/>
  <c r="C121" i="1" s="1"/>
  <c r="A121" i="1" s="1"/>
  <c r="E120" i="1" l="1"/>
  <c r="C120" i="1" s="1"/>
  <c r="A120" i="1" s="1"/>
  <c r="E119" i="1" l="1"/>
  <c r="C119" i="1" s="1"/>
  <c r="A119" i="1" s="1"/>
  <c r="E118" i="1" l="1"/>
  <c r="C118" i="1" s="1"/>
  <c r="A118" i="1" s="1"/>
  <c r="E117" i="1" l="1"/>
  <c r="C117" i="1" s="1"/>
  <c r="A117" i="1" s="1"/>
  <c r="E116" i="1" l="1"/>
  <c r="C116" i="1" s="1"/>
  <c r="A116" i="1" s="1"/>
  <c r="E115" i="1" l="1"/>
  <c r="C115" i="1" s="1"/>
  <c r="A115" i="1" s="1"/>
  <c r="E114" i="1" l="1"/>
  <c r="C114" i="1" s="1"/>
  <c r="A114" i="1" s="1"/>
  <c r="E113" i="1" l="1"/>
  <c r="C113" i="1" s="1"/>
  <c r="A113" i="1" s="1"/>
  <c r="E112" i="1" l="1"/>
  <c r="C112" i="1" s="1"/>
  <c r="A112" i="1" s="1"/>
  <c r="E111" i="1" l="1"/>
  <c r="C111" i="1" s="1"/>
  <c r="A111" i="1" s="1"/>
  <c r="E110" i="1" l="1"/>
  <c r="C110" i="1" s="1"/>
  <c r="A110" i="1" s="1"/>
  <c r="E109" i="1" l="1"/>
  <c r="C109" i="1" s="1"/>
  <c r="A109" i="1" s="1"/>
  <c r="E108" i="1" l="1"/>
  <c r="C108" i="1" s="1"/>
  <c r="A108" i="1" s="1"/>
  <c r="E107" i="1" l="1"/>
  <c r="C107" i="1" s="1"/>
  <c r="A107" i="1" s="1"/>
  <c r="E106" i="1" l="1"/>
  <c r="C106" i="1" s="1"/>
  <c r="A106" i="1" s="1"/>
  <c r="E105" i="1" l="1"/>
  <c r="C105" i="1" s="1"/>
  <c r="A105" i="1" s="1"/>
  <c r="E104" i="1" l="1"/>
  <c r="C104" i="1" s="1"/>
  <c r="A104" i="1" s="1"/>
  <c r="E103" i="1" l="1"/>
  <c r="C103" i="1" s="1"/>
  <c r="A103" i="1" s="1"/>
  <c r="E102" i="1" l="1"/>
  <c r="C102" i="1" s="1"/>
  <c r="A102" i="1" s="1"/>
  <c r="E101" i="1" l="1"/>
  <c r="C101" i="1" s="1"/>
  <c r="A101" i="1" s="1"/>
  <c r="E100" i="1" l="1"/>
  <c r="C100" i="1" s="1"/>
  <c r="A100" i="1" s="1"/>
  <c r="E99" i="1" l="1"/>
  <c r="C99" i="1" s="1"/>
  <c r="A99" i="1" s="1"/>
  <c r="E98" i="1" l="1"/>
  <c r="C98" i="1" s="1"/>
  <c r="A98" i="1" s="1"/>
  <c r="E97" i="1" l="1"/>
  <c r="C97" i="1" s="1"/>
  <c r="A97" i="1" s="1"/>
  <c r="E96" i="1" l="1"/>
  <c r="C96" i="1" s="1"/>
  <c r="A96" i="1" s="1"/>
  <c r="E95" i="1" l="1"/>
  <c r="C95" i="1" s="1"/>
  <c r="A95" i="1" s="1"/>
  <c r="E94" i="1" l="1"/>
  <c r="C94" i="1" s="1"/>
  <c r="A94" i="1" s="1"/>
  <c r="E93" i="1" l="1"/>
  <c r="C93" i="1" s="1"/>
  <c r="A93" i="1" s="1"/>
  <c r="E92" i="1" l="1"/>
  <c r="C92" i="1" s="1"/>
  <c r="A92" i="1" s="1"/>
  <c r="E91" i="1" l="1"/>
  <c r="C91" i="1" s="1"/>
  <c r="A91" i="1" s="1"/>
  <c r="E90" i="1" l="1"/>
  <c r="C90" i="1" s="1"/>
  <c r="A90" i="1" s="1"/>
  <c r="E89" i="1" l="1"/>
  <c r="C89" i="1" s="1"/>
  <c r="A89" i="1" s="1"/>
  <c r="E88" i="1" l="1"/>
  <c r="C88" i="1" s="1"/>
  <c r="A88" i="1" s="1"/>
  <c r="E87" i="1" l="1"/>
  <c r="C87" i="1" s="1"/>
  <c r="A87" i="1" s="1"/>
  <c r="E86" i="1" l="1"/>
  <c r="C86" i="1" s="1"/>
  <c r="A86" i="1" s="1"/>
  <c r="E85" i="1" l="1"/>
  <c r="C85" i="1" s="1"/>
  <c r="A85" i="1" s="1"/>
  <c r="E84" i="1" l="1"/>
  <c r="C84" i="1" s="1"/>
  <c r="A84" i="1" s="1"/>
  <c r="E83" i="1" l="1"/>
  <c r="C83" i="1" s="1"/>
  <c r="A83" i="1" s="1"/>
  <c r="E82" i="1" l="1"/>
  <c r="C82" i="1" s="1"/>
  <c r="A82" i="1" s="1"/>
  <c r="E81" i="1" l="1"/>
  <c r="C81" i="1" s="1"/>
  <c r="A81" i="1" s="1"/>
  <c r="E80" i="1" l="1"/>
  <c r="C80" i="1" s="1"/>
  <c r="A80" i="1" s="1"/>
  <c r="E79" i="1" l="1"/>
  <c r="C79" i="1" s="1"/>
  <c r="A79" i="1" s="1"/>
  <c r="E78" i="1" l="1"/>
  <c r="C78" i="1" s="1"/>
  <c r="A78" i="1" s="1"/>
  <c r="E77" i="1" l="1"/>
  <c r="C77" i="1" s="1"/>
  <c r="A77" i="1" s="1"/>
  <c r="E76" i="1" l="1"/>
  <c r="C76" i="1" s="1"/>
  <c r="A76" i="1" s="1"/>
  <c r="E75" i="1" l="1"/>
  <c r="C75" i="1" s="1"/>
  <c r="A75" i="1" s="1"/>
  <c r="E74" i="1" l="1"/>
  <c r="C74" i="1" s="1"/>
  <c r="A74" i="1" s="1"/>
  <c r="E73" i="1" l="1"/>
  <c r="C73" i="1" s="1"/>
  <c r="A73" i="1" s="1"/>
  <c r="E72" i="1" l="1"/>
  <c r="C72" i="1" s="1"/>
  <c r="A72" i="1" s="1"/>
  <c r="E71" i="1" l="1"/>
  <c r="C71" i="1" s="1"/>
  <c r="A71" i="1" s="1"/>
  <c r="E70" i="1" l="1"/>
  <c r="C70" i="1" s="1"/>
  <c r="A70" i="1" s="1"/>
  <c r="E69" i="1" l="1"/>
  <c r="C69" i="1" s="1"/>
  <c r="A69" i="1" s="1"/>
  <c r="E68" i="1" l="1"/>
  <c r="C68" i="1" s="1"/>
  <c r="A68" i="1" s="1"/>
  <c r="E67" i="1" l="1"/>
  <c r="C67" i="1" s="1"/>
  <c r="A67" i="1" s="1"/>
  <c r="E66" i="1" l="1"/>
  <c r="C66" i="1" s="1"/>
  <c r="A66" i="1" s="1"/>
  <c r="E65" i="1" l="1"/>
  <c r="C65" i="1" s="1"/>
  <c r="A65" i="1" s="1"/>
  <c r="E64" i="1" l="1"/>
  <c r="C64" i="1" s="1"/>
  <c r="A64" i="1" s="1"/>
  <c r="E63" i="1" l="1"/>
  <c r="C63" i="1" s="1"/>
  <c r="A63" i="1" s="1"/>
  <c r="E62" i="1" l="1"/>
  <c r="C62" i="1" s="1"/>
  <c r="A62" i="1" s="1"/>
  <c r="E61" i="1" l="1"/>
  <c r="C61" i="1" s="1"/>
  <c r="A61" i="1" s="1"/>
  <c r="E60" i="1" l="1"/>
  <c r="C60" i="1" s="1"/>
  <c r="A60" i="1" s="1"/>
  <c r="E59" i="1" l="1"/>
  <c r="C59" i="1" s="1"/>
  <c r="A59" i="1" s="1"/>
  <c r="E58" i="1" l="1"/>
  <c r="C58" i="1" s="1"/>
  <c r="A58" i="1" s="1"/>
  <c r="E57" i="1" l="1"/>
  <c r="C57" i="1" s="1"/>
  <c r="A57" i="1" s="1"/>
  <c r="E56" i="1" l="1"/>
  <c r="C56" i="1" s="1"/>
  <c r="A56" i="1" s="1"/>
  <c r="E55" i="1" l="1"/>
  <c r="C55" i="1" s="1"/>
  <c r="A55" i="1" s="1"/>
  <c r="E54" i="1" l="1"/>
  <c r="C54" i="1" s="1"/>
  <c r="A54" i="1" s="1"/>
  <c r="E53" i="1" l="1"/>
  <c r="C53" i="1" s="1"/>
  <c r="A53" i="1" s="1"/>
  <c r="E52" i="1" l="1"/>
  <c r="C52" i="1" s="1"/>
  <c r="A52" i="1" s="1"/>
  <c r="E51" i="1" l="1"/>
  <c r="C51" i="1" s="1"/>
  <c r="A51" i="1" s="1"/>
  <c r="E50" i="1" l="1"/>
  <c r="C50" i="1" s="1"/>
  <c r="A50" i="1" s="1"/>
  <c r="E49" i="1" l="1"/>
  <c r="C49" i="1" s="1"/>
  <c r="A49" i="1" s="1"/>
  <c r="E48" i="1" l="1"/>
  <c r="C48" i="1" s="1"/>
  <c r="A48" i="1" s="1"/>
  <c r="E47" i="1" l="1"/>
  <c r="C47" i="1" s="1"/>
  <c r="A47" i="1" s="1"/>
  <c r="E46" i="1" l="1"/>
  <c r="C46" i="1" s="1"/>
  <c r="A46" i="1" s="1"/>
  <c r="E45" i="1" l="1"/>
  <c r="C45" i="1" s="1"/>
  <c r="A45" i="1" s="1"/>
  <c r="E44" i="1" l="1"/>
  <c r="C44" i="1" s="1"/>
  <c r="A44" i="1" s="1"/>
  <c r="E43" i="1" l="1"/>
  <c r="C43" i="1" s="1"/>
  <c r="A43" i="1" s="1"/>
  <c r="E42" i="1" l="1"/>
  <c r="C42" i="1" s="1"/>
  <c r="A42" i="1" s="1"/>
  <c r="E41" i="1" l="1"/>
  <c r="C41" i="1" s="1"/>
  <c r="A41" i="1" s="1"/>
  <c r="E40" i="1" l="1"/>
  <c r="C40" i="1" s="1"/>
  <c r="A40" i="1" s="1"/>
  <c r="E39" i="1" l="1"/>
  <c r="C39" i="1" s="1"/>
  <c r="A39" i="1" s="1"/>
  <c r="E38" i="1" l="1"/>
  <c r="C38" i="1" s="1"/>
  <c r="A38" i="1" s="1"/>
  <c r="E37" i="1" l="1"/>
  <c r="C37" i="1" s="1"/>
  <c r="A37" i="1" s="1"/>
  <c r="E36" i="1" l="1"/>
  <c r="C36" i="1" s="1"/>
  <c r="A36" i="1" s="1"/>
  <c r="E35" i="1" l="1"/>
  <c r="C35" i="1" s="1"/>
  <c r="A35" i="1" s="1"/>
  <c r="E34" i="1" l="1"/>
  <c r="C34" i="1" s="1"/>
  <c r="A34" i="1" s="1"/>
  <c r="E33" i="1" l="1"/>
  <c r="C33" i="1" s="1"/>
  <c r="A33" i="1" s="1"/>
  <c r="E32" i="1" l="1"/>
  <c r="C32" i="1" s="1"/>
  <c r="A32" i="1" s="1"/>
  <c r="E31" i="1" l="1"/>
  <c r="C31" i="1" s="1"/>
  <c r="A31" i="1" s="1"/>
  <c r="E30" i="1" l="1"/>
  <c r="C30" i="1" s="1"/>
  <c r="A30" i="1" s="1"/>
  <c r="E29" i="1" l="1"/>
  <c r="C29" i="1" s="1"/>
  <c r="A29" i="1" s="1"/>
  <c r="E28" i="1" l="1"/>
  <c r="C28" i="1" s="1"/>
  <c r="A28" i="1" s="1"/>
  <c r="E27" i="1" l="1"/>
  <c r="C27" i="1" s="1"/>
  <c r="A27" i="1" s="1"/>
  <c r="E26" i="1" l="1"/>
  <c r="C26" i="1" s="1"/>
  <c r="A26" i="1" s="1"/>
  <c r="E25" i="1" l="1"/>
  <c r="C25" i="1" s="1"/>
  <c r="A25" i="1" s="1"/>
  <c r="E24" i="1" l="1"/>
  <c r="C24" i="1" s="1"/>
  <c r="A24" i="1" s="1"/>
  <c r="E23" i="1" l="1"/>
  <c r="C23" i="1" s="1"/>
  <c r="A23" i="1" s="1"/>
  <c r="E22" i="1" l="1"/>
  <c r="C22" i="1" s="1"/>
  <c r="A22" i="1" s="1"/>
  <c r="E21" i="1" l="1"/>
  <c r="C21" i="1" s="1"/>
  <c r="A21" i="1" s="1"/>
  <c r="E20" i="1" l="1"/>
  <c r="C20" i="1" s="1"/>
  <c r="A20" i="1" s="1"/>
  <c r="E19" i="1" l="1"/>
  <c r="C19" i="1" s="1"/>
  <c r="A19" i="1" s="1"/>
  <c r="E18" i="1" l="1"/>
  <c r="C18" i="1" s="1"/>
  <c r="A18" i="1" s="1"/>
  <c r="E17" i="1" l="1"/>
  <c r="C17" i="1" s="1"/>
  <c r="A17" i="1" s="1"/>
  <c r="E16" i="1" l="1"/>
  <c r="C16" i="1" s="1"/>
  <c r="A16" i="1" s="1"/>
  <c r="E15" i="1" l="1"/>
  <c r="C15" i="1" s="1"/>
  <c r="A15" i="1" s="1"/>
  <c r="E14" i="1" l="1"/>
  <c r="C14" i="1" s="1"/>
  <c r="A14" i="1" s="1"/>
  <c r="E13" i="1" l="1"/>
  <c r="C13" i="1" s="1"/>
  <c r="A13" i="1" s="1"/>
  <c r="E12" i="1" l="1"/>
  <c r="C12" i="1" s="1"/>
  <c r="A12" i="1" s="1"/>
  <c r="E11" i="1" l="1"/>
  <c r="C11" i="1" s="1"/>
  <c r="A11" i="1" s="1"/>
  <c r="E10" i="1" l="1"/>
  <c r="C10" i="1" s="1"/>
  <c r="A10" i="1" s="1"/>
  <c r="E9" i="1" l="1"/>
  <c r="C9" i="1" s="1"/>
  <c r="A9" i="1" s="1"/>
  <c r="E8" i="1" l="1"/>
  <c r="C8" i="1" s="1"/>
  <c r="A8" i="1" s="1"/>
  <c r="E7" i="1" l="1"/>
  <c r="C7" i="1" s="1"/>
  <c r="A7" i="1" s="1"/>
  <c r="E6" i="1" l="1"/>
  <c r="C6" i="1" s="1"/>
  <c r="A6" i="1" s="1"/>
  <c r="E5" i="1" l="1"/>
  <c r="C5" i="1" s="1"/>
  <c r="A5" i="1" s="1"/>
  <c r="E4" i="1" l="1"/>
  <c r="C4" i="1" s="1"/>
  <c r="A4" i="1" s="1"/>
  <c r="E3" i="1" l="1"/>
  <c r="C3" i="1" s="1"/>
  <c r="A3" i="1" s="1"/>
  <c r="E1" i="1" l="1"/>
  <c r="C1" i="1" s="1"/>
  <c r="A1" i="1" s="1"/>
  <c r="E2" i="1"/>
  <c r="C2" i="1" s="1"/>
  <c r="A2" i="1" s="1"/>
</calcChain>
</file>

<file path=xl/sharedStrings.xml><?xml version="1.0" encoding="utf-8"?>
<sst xmlns="http://schemas.openxmlformats.org/spreadsheetml/2006/main" count="346" uniqueCount="126">
  <si>
    <t>c; Tetris table for roms with checksum = 16bf</t>
  </si>
  <si>
    <t>;Tetris Dissassembly, 8-Jun-96</t>
  </si>
  <si>
    <t>;</t>
  </si>
  <si>
    <t>; Known cheats:</t>
  </si>
  <si>
    <t>;  Down + [Start] at intro screen  --&gt;  Expert Mode</t>
  </si>
  <si>
    <t>; Ram Locations:</t>
  </si>
  <si>
    <t>;  ffcc = Set to 1 on serial transfer completion</t>
  </si>
  <si>
    <t>b</t>
  </si>
  <si>
    <t>c; Derived by Jeff Frohwein</t>
  </si>
  <si>
    <t>c</t>
  </si>
  <si>
    <t>;VBlank IRQ</t>
  </si>
  <si>
    <t>;LCDC Status IRQ (Not Used)</t>
  </si>
  <si>
    <t>;Timer Overflow IRQ (Not Used)</t>
  </si>
  <si>
    <t>;Serial Transfer Completion IRQ</t>
  </si>
  <si>
    <t>; This routine is not used.</t>
  </si>
  <si>
    <t>; Code Begin</t>
  </si>
  <si>
    <t>; Nintendo Title Character Area</t>
  </si>
  <si>
    <t>; Cartridge type</t>
  </si>
  <si>
    <t>; Rom Size</t>
  </si>
  <si>
    <t>; Ram Size</t>
  </si>
  <si>
    <t>; Manufacturer Code</t>
  </si>
  <si>
    <t>; Version Number</t>
  </si>
  <si>
    <t>; Complement Check</t>
  </si>
  <si>
    <t>; Checksum</t>
  </si>
  <si>
    <t>; Add number in DE to score at (hl).</t>
  </si>
  <si>
    <t>; Stop counting if score reaches 999999.</t>
  </si>
  <si>
    <t>; VBlank Interrupt Routine</t>
  </si>
  <si>
    <t>; Send byte at ffcf out serial port using internal clock</t>
  </si>
  <si>
    <t>; Initiate DMA transfer</t>
  </si>
  <si>
    <t>; Set ram from d000 to dfff to 0</t>
  </si>
  <si>
    <t>; Clear Interrupt Flag &amp; Enable Registers</t>
  </si>
  <si>
    <t>; Set scroll regs, LCDC Status, &amp; Serial port to 0</t>
  </si>
  <si>
    <t>; Set LCD control to Operation</t>
  </si>
  <si>
    <t>; Loop until LCDC Y-Coord = 148</t>
  </si>
  <si>
    <t>; Set LCD control to Stop completely</t>
  </si>
  <si>
    <t>; Setup colors for Background &amp; Sprites</t>
  </si>
  <si>
    <t>; Setup sound channel outputs</t>
  </si>
  <si>
    <t>; Set Rom bank to zero</t>
  </si>
  <si>
    <t>; (Not needed since the original has no MBC.)</t>
  </si>
  <si>
    <t>; Initialize stack pointer</t>
  </si>
  <si>
    <t>; Set ram from df00 to dfff to 0</t>
  </si>
  <si>
    <t>; Set ram from c000 to cfff to 0</t>
  </si>
  <si>
    <t>; Set ram from 8000 to 9fff to 0</t>
  </si>
  <si>
    <t>; Set ram from fe00 to feff to 0</t>
  </si>
  <si>
    <t>; Set ram from ff7f to fffe to 0</t>
  </si>
  <si>
    <t>; Copy DMA transfer routine to ffb6</t>
  </si>
  <si>
    <t>; Fill screen with 2f</t>
  </si>
  <si>
    <t>; Reset sound registers</t>
  </si>
  <si>
    <t>; Enable serial i/o &amp; v blank interrupts</t>
  </si>
  <si>
    <t>; Setup branch point for routine at 2f8</t>
  </si>
  <si>
    <t>; Clear all interrupt flags</t>
  </si>
  <si>
    <t>; Set window x &amp; y position to 0</t>
  </si>
  <si>
    <t>; Set timer modulo to 0</t>
  </si>
  <si>
    <t>; Read buttons &amp; return values</t>
  </si>
  <si>
    <t>; If all arrow keys are down at the</t>
  </si>
  <si>
    <t>; same time, then jump to 21b</t>
  </si>
  <si>
    <t>; Wait for a VBlank interrupt to occur</t>
  </si>
  <si>
    <t>; Display credits screen</t>
  </si>
  <si>
    <t>; This is responsible for the credit screen ignoring the start</t>
  </si>
  <si>
    <t>; button for so long. Lower this value to make it respond sooner.</t>
  </si>
  <si>
    <t>; Wait for initial credit screen timer to run out.</t>
  </si>
  <si>
    <t>; Look for user pressing a button. If not found, continue credit</t>
  </si>
  <si>
    <t>; screen for another delay period.</t>
  </si>
  <si>
    <t>; Display Intro Select Players Screen</t>
  </si>
  <si>
    <t>; Start demo mode</t>
  </si>
  <si>
    <t>; Send 55h out serial port using external clock.</t>
  </si>
  <si>
    <t>; Serial Transfer is complete</t>
  </si>
  <si>
    <t>; Test for Up button</t>
  </si>
  <si>
    <t>; Test for A button</t>
  </si>
  <si>
    <t>; Test for B button</t>
  </si>
  <si>
    <t>; Test for Down button</t>
  </si>
  <si>
    <t>; Send 29h out serial port using internal clock.</t>
  </si>
  <si>
    <t>; This instruction is not used.</t>
  </si>
  <si>
    <t>; Display Mario VS Luigi screen</t>
  </si>
  <si>
    <t>; Move a block of memory</t>
  </si>
  <si>
    <t>;  HL = Start Addr</t>
  </si>
  <si>
    <t>;  DE = End Addr</t>
  </si>
  <si>
    <t>;  B = Length of data</t>
  </si>
  <si>
    <t>; Delay routine ?</t>
  </si>
  <si>
    <t>; The next 3 instructions are not used.</t>
  </si>
  <si>
    <t>; Select Game &amp; Music Type screen</t>
  </si>
  <si>
    <t>; Display Type-A Level Select / Top Score screen</t>
  </si>
  <si>
    <t>; Display Type-B Level Select / High / Top Score screen</t>
  </si>
  <si>
    <t>; Fill c000 to c09f with 0</t>
  </si>
  <si>
    <t>; Display Falling Blocks screen</t>
  </si>
  <si>
    <t>; Fill 9800 to 9bff with 2f</t>
  </si>
  <si>
    <t>; Move a block of memory (Same as z80 LDIR)</t>
  </si>
  <si>
    <t>;  BC = Length of data</t>
  </si>
  <si>
    <t>; Copy characters with only two colors</t>
  </si>
  <si>
    <t>; Copy character set to character ram</t>
  </si>
  <si>
    <t>; Copy a screen from DE to screen ram</t>
  </si>
  <si>
    <t>; Prepare for screen memory update by halting LCD controller</t>
  </si>
  <si>
    <t>; Disable VBlank interrupt</t>
  </si>
  <si>
    <t>; Read buttons &amp; return value at ff81</t>
  </si>
  <si>
    <t>;  $80 - Start   $8 - Down</t>
  </si>
  <si>
    <t>;  $40 - Select  $4 - Up</t>
  </si>
  <si>
    <t>;  $20 - B       $2 - Left</t>
  </si>
  <si>
    <t>;  $10 - A       $1 - Right</t>
  </si>
  <si>
    <t>; debounce keys to minimize errors</t>
  </si>
  <si>
    <t>; Initiate DMA transfer from c000 to fe00</t>
  </si>
  <si>
    <t>; Type-A Falling Blocks Screen (20x18 chars)</t>
  </si>
  <si>
    <t>; Type-B Falling Blocks Screen (20x18 chars)</t>
  </si>
  <si>
    <t>; Character Set</t>
  </si>
  <si>
    <t>; Initial Credits Screen (20x18 chars)</t>
  </si>
  <si>
    <t>; Intro Player Select Screen (20x18 chars)</t>
  </si>
  <si>
    <t>; Select Game &amp; Music Type Screen (20x18 chars)</t>
  </si>
  <si>
    <t>; Type-A Select Level / Top Score Screen (20x18 chars)</t>
  </si>
  <si>
    <t>; Type-B Select Level / High / Top Score Screen (20x18 chars)</t>
  </si>
  <si>
    <t>; Mario VS Luigi Screen (20x18 chars)</t>
  </si>
  <si>
    <t>; Type-B Falling Blocks Screen (20x18 chars) (same as 3ff7 ????)</t>
  </si>
  <si>
    <t>; Set sound #1 regs</t>
  </si>
  <si>
    <t>; Set sound #2 regs</t>
  </si>
  <si>
    <t>; Set sound #3 regs</t>
  </si>
  <si>
    <t>; Set sound #4 regs</t>
  </si>
  <si>
    <t>; Copy from hl to sound wave pattern ram</t>
  </si>
  <si>
    <t>; Reset some sound registers</t>
  </si>
  <si>
    <t>; Copy 2 bytes from (hl) to (de)</t>
  </si>
  <si>
    <t>; (Copy can't cross page boundary.)</t>
  </si>
  <si>
    <t>; Increment 16-bit number pointed to by hl</t>
  </si>
  <si>
    <t>; Increment twice 16-bit number pointed to by hl</t>
  </si>
  <si>
    <t>; b = ((hl))</t>
  </si>
  <si>
    <t>; The next 4 instructions are not used.</t>
  </si>
  <si>
    <t>; Frequency Octave Table</t>
  </si>
  <si>
    <t>;  The following 6 octaves of 12 values each</t>
  </si>
  <si>
    <t>;  comprise a 72 data word table.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</si>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</sst>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E912-5798-457A-B50C-4065E5026C59}">
  <dimension ref="A1:H346"/>
  <sheetViews>
    <sheetView tabSelected="1" topLeftCell="B247" workbookViewId="0">
      <selection activeCell="C262" sqref="C262"/>
    </sheetView>
  </sheetViews>
  <sheetFormatPr defaultRowHeight="15" x14ac:dyDescent="0.25"/>
  <cols>
    <col min="1" max="1" width="65.28515625" customWidth="1"/>
    <col min="2" max="2" width="17.28515625" customWidth="1"/>
    <col min="3" max="3" width="40.42578125" customWidth="1"/>
  </cols>
  <sheetData>
    <row r="1" spans="1:8" x14ac:dyDescent="0.25">
      <c r="A1" t="str">
        <f>IF(LEN(C1)&gt;0,_xlfn.CONCAT("00:",D1," ",C1),"")</f>
        <v>00:0000 .code:0003</v>
      </c>
      <c r="B1" t="str">
        <f t="shared" ref="B1:B17" si="0">SUBSTITUTE(TRIM(RIGHT(H1,LEN(H1)-1)), " ", "_")</f>
        <v>;_Tetris_table_for_roms_with_checksum_=_16bf</v>
      </c>
      <c r="C1" t="str">
        <f>_xlfn.SWITCH(LEFT(H1,1),";",B1,"b",_xlfn.CONCAT(".data:",E1),"c",_xlfn.CONCAT(".code:",E1),"")</f>
        <v>.code:0003</v>
      </c>
      <c r="D1" t="str">
        <f>LOWER(DEC2HEX(G1,4))</f>
        <v>0000</v>
      </c>
      <c r="E1" t="str">
        <f>LOWER(DEC2HEX(F1,4))</f>
        <v>0003</v>
      </c>
      <c r="F1">
        <f>IF(G2-G1&gt;0,G2-G1,F2)</f>
        <v>3</v>
      </c>
      <c r="G1">
        <f>HEX2DEC("0000")</f>
        <v>0</v>
      </c>
      <c r="H1" t="s">
        <v>0</v>
      </c>
    </row>
    <row r="2" spans="1:8" x14ac:dyDescent="0.25">
      <c r="A2" t="str">
        <f t="shared" ref="A2:A65" si="1">IF(LEN(C2)&gt;0,_xlfn.CONCAT("00:",D2," ",C2),"")</f>
        <v>00:0000 Tetris_Dissassembly,_8-Jun-96</v>
      </c>
      <c r="B2" t="str">
        <f t="shared" si="0"/>
        <v>Tetris_Dissassembly,_8-Jun-96</v>
      </c>
      <c r="C2" t="str">
        <f>_xlfn.SWITCH(LEFT(H2,1),";",B2,"b",_xlfn.CONCAT(".data:",E2),"c",_xlfn.CONCAT(".code:",E2),"")</f>
        <v>Tetris_Dissassembly,_8-Jun-96</v>
      </c>
      <c r="D2" t="str">
        <f t="shared" ref="D2:D65" si="2">LOWER(DEC2HEX(G2,4))</f>
        <v>0000</v>
      </c>
      <c r="E2" t="str">
        <f t="shared" ref="E2:F65" si="3">LOWER(DEC2HEX(F2,4))</f>
        <v>0003</v>
      </c>
      <c r="F2">
        <f t="shared" ref="F2:F65" si="4">IF(G3-G2&gt;0,G3-G2,F3)</f>
        <v>3</v>
      </c>
      <c r="G2">
        <f>HEX2DEC("0000")</f>
        <v>0</v>
      </c>
      <c r="H2" t="s">
        <v>1</v>
      </c>
    </row>
    <row r="3" spans="1:8" x14ac:dyDescent="0.25">
      <c r="A3" t="str">
        <f t="shared" si="1"/>
        <v/>
      </c>
      <c r="B3" t="str">
        <f t="shared" si="0"/>
        <v/>
      </c>
      <c r="C3" t="str">
        <f>_xlfn.SWITCH(LEFT(H3,1),";",B3,"b",_xlfn.CONCAT(".data:",E3),"c",_xlfn.CONCAT(".code:",E3),"")</f>
        <v/>
      </c>
      <c r="D3" t="str">
        <f t="shared" si="2"/>
        <v>0000</v>
      </c>
      <c r="E3" t="str">
        <f t="shared" si="3"/>
        <v>0003</v>
      </c>
      <c r="F3">
        <f t="shared" si="4"/>
        <v>3</v>
      </c>
      <c r="G3">
        <f>HEX2DEC("0000")</f>
        <v>0</v>
      </c>
      <c r="H3" t="s">
        <v>2</v>
      </c>
    </row>
    <row r="4" spans="1:8" x14ac:dyDescent="0.25">
      <c r="A4" t="str">
        <f t="shared" si="1"/>
        <v>00:0000 Known_cheats:</v>
      </c>
      <c r="B4" t="str">
        <f t="shared" si="0"/>
        <v>Known_cheats:</v>
      </c>
      <c r="C4" t="str">
        <f>_xlfn.SWITCH(LEFT(H4,1),";",B4,"b",_xlfn.CONCAT(".data:",E4),"c",_xlfn.CONCAT(".code:",E4),"")</f>
        <v>Known_cheats:</v>
      </c>
      <c r="D4" t="str">
        <f t="shared" si="2"/>
        <v>0000</v>
      </c>
      <c r="E4" t="str">
        <f t="shared" si="3"/>
        <v>0003</v>
      </c>
      <c r="F4">
        <f t="shared" si="4"/>
        <v>3</v>
      </c>
      <c r="G4">
        <f>HEX2DEC("0000")</f>
        <v>0</v>
      </c>
      <c r="H4" t="s">
        <v>3</v>
      </c>
    </row>
    <row r="5" spans="1:8" x14ac:dyDescent="0.25">
      <c r="A5" t="str">
        <f t="shared" si="1"/>
        <v>00:0000 Down_+_[Start]_at_intro_screen_--&gt;_Expert_Mode</v>
      </c>
      <c r="B5" t="str">
        <f t="shared" si="0"/>
        <v>Down_+_[Start]_at_intro_screen_--&gt;_Expert_Mode</v>
      </c>
      <c r="C5" t="str">
        <f>_xlfn.SWITCH(LEFT(H5,1),";",B5,"b",_xlfn.CONCAT(".data:",E5),"c",_xlfn.CONCAT(".code:",E5),"")</f>
        <v>Down_+_[Start]_at_intro_screen_--&gt;_Expert_Mode</v>
      </c>
      <c r="D5" t="str">
        <f t="shared" si="2"/>
        <v>0000</v>
      </c>
      <c r="E5" t="str">
        <f t="shared" si="3"/>
        <v>0003</v>
      </c>
      <c r="F5">
        <f t="shared" si="4"/>
        <v>3</v>
      </c>
      <c r="G5">
        <f>HEX2DEC("0000")</f>
        <v>0</v>
      </c>
      <c r="H5" t="s">
        <v>4</v>
      </c>
    </row>
    <row r="6" spans="1:8" x14ac:dyDescent="0.25">
      <c r="A6" t="str">
        <f t="shared" si="1"/>
        <v/>
      </c>
      <c r="B6" t="str">
        <f t="shared" si="0"/>
        <v/>
      </c>
      <c r="C6" t="str">
        <f>_xlfn.SWITCH(LEFT(H6,1),";",B6,"b",_xlfn.CONCAT(".data:",E6),"c",_xlfn.CONCAT(".code:",E6),"")</f>
        <v/>
      </c>
      <c r="D6" t="str">
        <f t="shared" si="2"/>
        <v>0000</v>
      </c>
      <c r="E6" t="str">
        <f t="shared" si="3"/>
        <v>0003</v>
      </c>
      <c r="F6">
        <f t="shared" si="4"/>
        <v>3</v>
      </c>
      <c r="G6">
        <f>HEX2DEC("0000")</f>
        <v>0</v>
      </c>
      <c r="H6" t="s">
        <v>2</v>
      </c>
    </row>
    <row r="7" spans="1:8" x14ac:dyDescent="0.25">
      <c r="A7" t="str">
        <f t="shared" si="1"/>
        <v>00:0000 Ram_Locations:</v>
      </c>
      <c r="B7" t="str">
        <f t="shared" si="0"/>
        <v>Ram_Locations:</v>
      </c>
      <c r="C7" t="str">
        <f>_xlfn.SWITCH(LEFT(H7,1),";",B7,"b",_xlfn.CONCAT(".data:",E7),"c",_xlfn.CONCAT(".code:",E7),"")</f>
        <v>Ram_Locations:</v>
      </c>
      <c r="D7" t="str">
        <f t="shared" si="2"/>
        <v>0000</v>
      </c>
      <c r="E7" t="str">
        <f t="shared" si="3"/>
        <v>0003</v>
      </c>
      <c r="F7">
        <f t="shared" si="4"/>
        <v>3</v>
      </c>
      <c r="G7">
        <f>HEX2DEC("0000")</f>
        <v>0</v>
      </c>
      <c r="H7" t="s">
        <v>5</v>
      </c>
    </row>
    <row r="8" spans="1:8" x14ac:dyDescent="0.25">
      <c r="A8" t="str">
        <f t="shared" si="1"/>
        <v>00:0000 ffcc_=_Set_to_1_on_serial_transfer_completion</v>
      </c>
      <c r="B8" t="str">
        <f t="shared" si="0"/>
        <v>ffcc_=_Set_to_1_on_serial_transfer_completion</v>
      </c>
      <c r="C8" t="str">
        <f>_xlfn.SWITCH(LEFT(H8,1),";",B8,"b",_xlfn.CONCAT(".data:",E8),"c",_xlfn.CONCAT(".code:",E8),"")</f>
        <v>ffcc_=_Set_to_1_on_serial_transfer_completion</v>
      </c>
      <c r="D8" t="str">
        <f t="shared" si="2"/>
        <v>0000</v>
      </c>
      <c r="E8" t="str">
        <f t="shared" si="3"/>
        <v>0003</v>
      </c>
      <c r="F8">
        <f t="shared" si="4"/>
        <v>3</v>
      </c>
      <c r="G8">
        <f>HEX2DEC("0000")</f>
        <v>0</v>
      </c>
      <c r="H8" t="s">
        <v>6</v>
      </c>
    </row>
    <row r="9" spans="1:8" x14ac:dyDescent="0.25">
      <c r="A9" t="str">
        <f t="shared" si="1"/>
        <v>00:0003 .data:0005</v>
      </c>
      <c r="B9" t="str">
        <f t="shared" si="0"/>
        <v/>
      </c>
      <c r="C9" t="str">
        <f>_xlfn.SWITCH(LEFT(H9,1),";",B9,"b",_xlfn.CONCAT(".data:",E9),"c",_xlfn.CONCAT(".code:",E9),"")</f>
        <v>.data:0005</v>
      </c>
      <c r="D9" t="str">
        <f t="shared" si="2"/>
        <v>0003</v>
      </c>
      <c r="E9" t="str">
        <f t="shared" si="3"/>
        <v>0005</v>
      </c>
      <c r="F9">
        <f t="shared" si="4"/>
        <v>5</v>
      </c>
      <c r="G9">
        <f>HEX2DEC("0003")</f>
        <v>3</v>
      </c>
      <c r="H9" t="s">
        <v>7</v>
      </c>
    </row>
    <row r="10" spans="1:8" x14ac:dyDescent="0.25">
      <c r="A10" t="str">
        <f t="shared" si="1"/>
        <v>00:0008 .code:0003</v>
      </c>
      <c r="B10" t="str">
        <f t="shared" si="0"/>
        <v>;_Derived_by_Jeff_Frohwein</v>
      </c>
      <c r="C10" t="str">
        <f>_xlfn.SWITCH(LEFT(H10,1),";",B10,"b",_xlfn.CONCAT(".data:",E10),"c",_xlfn.CONCAT(".code:",E10),"")</f>
        <v>.code:0003</v>
      </c>
      <c r="D10" t="str">
        <f t="shared" si="2"/>
        <v>0008</v>
      </c>
      <c r="E10" t="str">
        <f t="shared" si="3"/>
        <v>0003</v>
      </c>
      <c r="F10">
        <f t="shared" si="4"/>
        <v>3</v>
      </c>
      <c r="G10">
        <f>HEX2DEC("0008")</f>
        <v>8</v>
      </c>
      <c r="H10" t="s">
        <v>8</v>
      </c>
    </row>
    <row r="11" spans="1:8" x14ac:dyDescent="0.25">
      <c r="A11" t="str">
        <f t="shared" si="1"/>
        <v>00:000b .data:001d</v>
      </c>
      <c r="B11" t="str">
        <f t="shared" si="0"/>
        <v/>
      </c>
      <c r="C11" t="str">
        <f>_xlfn.SWITCH(LEFT(H11,1),";",B11,"b",_xlfn.CONCAT(".data:",E11),"c",_xlfn.CONCAT(".code:",E11),"")</f>
        <v>.data:001d</v>
      </c>
      <c r="D11" t="str">
        <f t="shared" si="2"/>
        <v>000b</v>
      </c>
      <c r="E11" t="str">
        <f t="shared" si="3"/>
        <v>001d</v>
      </c>
      <c r="F11">
        <f t="shared" si="4"/>
        <v>29</v>
      </c>
      <c r="G11">
        <f>HEX2DEC("000b")</f>
        <v>11</v>
      </c>
      <c r="H11" t="s">
        <v>7</v>
      </c>
    </row>
    <row r="12" spans="1:8" x14ac:dyDescent="0.25">
      <c r="A12" t="str">
        <f t="shared" si="1"/>
        <v>00:0028 .code:000c</v>
      </c>
      <c r="B12" t="str">
        <f t="shared" si="0"/>
        <v/>
      </c>
      <c r="C12" t="str">
        <f>_xlfn.SWITCH(LEFT(H12,1),";",B12,"b",_xlfn.CONCAT(".data:",E12),"c",_xlfn.CONCAT(".code:",E12),"")</f>
        <v>.code:000c</v>
      </c>
      <c r="D12" t="str">
        <f t="shared" si="2"/>
        <v>0028</v>
      </c>
      <c r="E12" t="str">
        <f t="shared" si="3"/>
        <v>000c</v>
      </c>
      <c r="F12">
        <f t="shared" si="4"/>
        <v>12</v>
      </c>
      <c r="G12">
        <f>HEX2DEC("0028")</f>
        <v>40</v>
      </c>
      <c r="H12" t="s">
        <v>9</v>
      </c>
    </row>
    <row r="13" spans="1:8" x14ac:dyDescent="0.25">
      <c r="A13" t="str">
        <f t="shared" si="1"/>
        <v>00:0034 .data:000c</v>
      </c>
      <c r="B13" t="str">
        <f t="shared" si="0"/>
        <v/>
      </c>
      <c r="C13" t="str">
        <f>_xlfn.SWITCH(LEFT(H13,1),";",B13,"b",_xlfn.CONCAT(".data:",E13),"c",_xlfn.CONCAT(".code:",E13),"")</f>
        <v>.data:000c</v>
      </c>
      <c r="D13" t="str">
        <f t="shared" si="2"/>
        <v>0034</v>
      </c>
      <c r="E13" t="str">
        <f t="shared" si="3"/>
        <v>000c</v>
      </c>
      <c r="F13">
        <f t="shared" si="4"/>
        <v>12</v>
      </c>
      <c r="G13">
        <f>HEX2DEC("0034")</f>
        <v>52</v>
      </c>
      <c r="H13" t="s">
        <v>7</v>
      </c>
    </row>
    <row r="14" spans="1:8" x14ac:dyDescent="0.25">
      <c r="A14" t="str">
        <f t="shared" si="1"/>
        <v>00:0040 .code:0003</v>
      </c>
      <c r="B14" t="str">
        <f t="shared" si="0"/>
        <v/>
      </c>
      <c r="C14" t="str">
        <f>_xlfn.SWITCH(LEFT(H14,1),";",B14,"b",_xlfn.CONCAT(".data:",E14),"c",_xlfn.CONCAT(".code:",E14),"")</f>
        <v>.code:0003</v>
      </c>
      <c r="D14" t="str">
        <f t="shared" si="2"/>
        <v>0040</v>
      </c>
      <c r="E14" t="str">
        <f t="shared" si="3"/>
        <v>0003</v>
      </c>
      <c r="F14">
        <f t="shared" si="4"/>
        <v>3</v>
      </c>
      <c r="G14">
        <f>HEX2DEC("0040")</f>
        <v>64</v>
      </c>
      <c r="H14" t="s">
        <v>9</v>
      </c>
    </row>
    <row r="15" spans="1:8" x14ac:dyDescent="0.25">
      <c r="A15" t="str">
        <f t="shared" si="1"/>
        <v>00:0040 VBlank_IRQ</v>
      </c>
      <c r="B15" t="str">
        <f t="shared" si="0"/>
        <v>VBlank_IRQ</v>
      </c>
      <c r="C15" t="str">
        <f>_xlfn.SWITCH(LEFT(H15,1),";",B15,"b",_xlfn.CONCAT(".data:",E15),"c",_xlfn.CONCAT(".code:",E15),"")</f>
        <v>VBlank_IRQ</v>
      </c>
      <c r="D15" t="str">
        <f t="shared" si="2"/>
        <v>0040</v>
      </c>
      <c r="E15" t="str">
        <f t="shared" si="3"/>
        <v>0003</v>
      </c>
      <c r="F15">
        <f t="shared" si="4"/>
        <v>3</v>
      </c>
      <c r="G15">
        <f>HEX2DEC("0040")</f>
        <v>64</v>
      </c>
      <c r="H15" t="s">
        <v>10</v>
      </c>
    </row>
    <row r="16" spans="1:8" x14ac:dyDescent="0.25">
      <c r="A16" t="str">
        <f t="shared" si="1"/>
        <v>00:0043 .data:0005</v>
      </c>
      <c r="B16" t="str">
        <f t="shared" si="0"/>
        <v/>
      </c>
      <c r="C16" t="str">
        <f>_xlfn.SWITCH(LEFT(H16,1),";",B16,"b",_xlfn.CONCAT(".data:",E16),"c",_xlfn.CONCAT(".code:",E16),"")</f>
        <v>.data:0005</v>
      </c>
      <c r="D16" t="str">
        <f t="shared" si="2"/>
        <v>0043</v>
      </c>
      <c r="E16" t="str">
        <f t="shared" si="3"/>
        <v>0005</v>
      </c>
      <c r="F16">
        <f t="shared" si="4"/>
        <v>5</v>
      </c>
      <c r="G16">
        <f>HEX2DEC("0043")</f>
        <v>67</v>
      </c>
      <c r="H16" t="s">
        <v>7</v>
      </c>
    </row>
    <row r="17" spans="1:8" x14ac:dyDescent="0.25">
      <c r="A17" t="str">
        <f t="shared" si="1"/>
        <v>00:0048 .code:0003</v>
      </c>
      <c r="B17" t="str">
        <f t="shared" si="0"/>
        <v/>
      </c>
      <c r="C17" t="str">
        <f>_xlfn.SWITCH(LEFT(H17,1),";",B17,"b",_xlfn.CONCAT(".data:",E17),"c",_xlfn.CONCAT(".code:",E17),"")</f>
        <v>.code:0003</v>
      </c>
      <c r="D17" t="str">
        <f t="shared" si="2"/>
        <v>0048</v>
      </c>
      <c r="E17" t="str">
        <f t="shared" si="3"/>
        <v>0003</v>
      </c>
      <c r="F17">
        <f t="shared" si="4"/>
        <v>3</v>
      </c>
      <c r="G17">
        <f>HEX2DEC("0048")</f>
        <v>72</v>
      </c>
      <c r="H17" t="s">
        <v>9</v>
      </c>
    </row>
    <row r="18" spans="1:8" x14ac:dyDescent="0.25">
      <c r="A18" t="str">
        <f t="shared" si="1"/>
        <v>00:0048 LCDC_Status_IRQ_(Not_Used)</v>
      </c>
      <c r="B18" t="str">
        <f>SUBSTITUTE(TRIM(RIGHT(H18,LEN(H18)-1)), " ", "_")</f>
        <v>LCDC_Status_IRQ_(Not_Used)</v>
      </c>
      <c r="C18" t="str">
        <f>_xlfn.SWITCH(LEFT(H18,1),";",B18,"b",_xlfn.CONCAT(".data:",E18),"c",_xlfn.CONCAT(".code:",E18),"")</f>
        <v>LCDC_Status_IRQ_(Not_Used)</v>
      </c>
      <c r="D18" t="str">
        <f t="shared" si="2"/>
        <v>0048</v>
      </c>
      <c r="E18" t="str">
        <f t="shared" si="3"/>
        <v>0003</v>
      </c>
      <c r="F18">
        <f t="shared" si="4"/>
        <v>3</v>
      </c>
      <c r="G18">
        <f>HEX2DEC("0048")</f>
        <v>72</v>
      </c>
      <c r="H18" t="s">
        <v>11</v>
      </c>
    </row>
    <row r="19" spans="1:8" x14ac:dyDescent="0.25">
      <c r="A19" t="str">
        <f t="shared" si="1"/>
        <v>00:004b .data:0005</v>
      </c>
      <c r="B19" t="str">
        <f t="shared" ref="B19:B82" si="5">SUBSTITUTE(TRIM(RIGHT(H19,LEN(H19)-1)), " ", "_")</f>
        <v/>
      </c>
      <c r="C19" t="str">
        <f>_xlfn.SWITCH(LEFT(H19,1),";",B19,"b",_xlfn.CONCAT(".data:",E19),"c",_xlfn.CONCAT(".code:",E19),"")</f>
        <v>.data:0005</v>
      </c>
      <c r="D19" t="str">
        <f t="shared" si="2"/>
        <v>004b</v>
      </c>
      <c r="E19" t="str">
        <f t="shared" si="3"/>
        <v>0005</v>
      </c>
      <c r="F19">
        <f t="shared" si="4"/>
        <v>5</v>
      </c>
      <c r="G19">
        <f>HEX2DEC("004b")</f>
        <v>75</v>
      </c>
      <c r="H19" t="s">
        <v>7</v>
      </c>
    </row>
    <row r="20" spans="1:8" x14ac:dyDescent="0.25">
      <c r="A20" t="str">
        <f t="shared" si="1"/>
        <v>00:0050 .code:0003</v>
      </c>
      <c r="B20" t="str">
        <f t="shared" si="5"/>
        <v/>
      </c>
      <c r="C20" t="str">
        <f>_xlfn.SWITCH(LEFT(H20,1),";",B20,"b",_xlfn.CONCAT(".data:",E20),"c",_xlfn.CONCAT(".code:",E20),"")</f>
        <v>.code:0003</v>
      </c>
      <c r="D20" t="str">
        <f t="shared" si="2"/>
        <v>0050</v>
      </c>
      <c r="E20" t="str">
        <f t="shared" si="3"/>
        <v>0003</v>
      </c>
      <c r="F20">
        <f t="shared" si="4"/>
        <v>3</v>
      </c>
      <c r="G20">
        <f>HEX2DEC("0050")</f>
        <v>80</v>
      </c>
      <c r="H20" t="s">
        <v>9</v>
      </c>
    </row>
    <row r="21" spans="1:8" x14ac:dyDescent="0.25">
      <c r="A21" t="str">
        <f t="shared" si="1"/>
        <v>00:0050 Timer_Overflow_IRQ_(Not_Used)</v>
      </c>
      <c r="B21" t="str">
        <f t="shared" si="5"/>
        <v>Timer_Overflow_IRQ_(Not_Used)</v>
      </c>
      <c r="C21" t="str">
        <f>_xlfn.SWITCH(LEFT(H21,1),";",B21,"b",_xlfn.CONCAT(".data:",E21),"c",_xlfn.CONCAT(".code:",E21),"")</f>
        <v>Timer_Overflow_IRQ_(Not_Used)</v>
      </c>
      <c r="D21" t="str">
        <f t="shared" si="2"/>
        <v>0050</v>
      </c>
      <c r="E21" t="str">
        <f t="shared" si="3"/>
        <v>0003</v>
      </c>
      <c r="F21">
        <f t="shared" si="4"/>
        <v>3</v>
      </c>
      <c r="G21">
        <f>HEX2DEC("0050")</f>
        <v>80</v>
      </c>
      <c r="H21" t="s">
        <v>12</v>
      </c>
    </row>
    <row r="22" spans="1:8" x14ac:dyDescent="0.25">
      <c r="A22" t="str">
        <f t="shared" si="1"/>
        <v>00:0053 .data:0005</v>
      </c>
      <c r="B22" t="str">
        <f t="shared" si="5"/>
        <v/>
      </c>
      <c r="C22" t="str">
        <f>_xlfn.SWITCH(LEFT(H22,1),";",B22,"b",_xlfn.CONCAT(".data:",E22),"c",_xlfn.CONCAT(".code:",E22),"")</f>
        <v>.data:0005</v>
      </c>
      <c r="D22" t="str">
        <f t="shared" si="2"/>
        <v>0053</v>
      </c>
      <c r="E22" t="str">
        <f t="shared" si="3"/>
        <v>0005</v>
      </c>
      <c r="F22">
        <f t="shared" si="4"/>
        <v>5</v>
      </c>
      <c r="G22">
        <f>HEX2DEC("0053")</f>
        <v>83</v>
      </c>
      <c r="H22" t="s">
        <v>7</v>
      </c>
    </row>
    <row r="23" spans="1:8" x14ac:dyDescent="0.25">
      <c r="A23" t="str">
        <f t="shared" si="1"/>
        <v>00:0058 .code:0020</v>
      </c>
      <c r="B23" t="str">
        <f t="shared" si="5"/>
        <v/>
      </c>
      <c r="C23" t="str">
        <f>_xlfn.SWITCH(LEFT(H23,1),";",B23,"b",_xlfn.CONCAT(".data:",E23),"c",_xlfn.CONCAT(".code:",E23),"")</f>
        <v>.code:0020</v>
      </c>
      <c r="D23" t="str">
        <f t="shared" si="2"/>
        <v>0058</v>
      </c>
      <c r="E23" t="str">
        <f t="shared" si="3"/>
        <v>0020</v>
      </c>
      <c r="F23">
        <f t="shared" si="4"/>
        <v>32</v>
      </c>
      <c r="G23">
        <f>HEX2DEC("0058")</f>
        <v>88</v>
      </c>
      <c r="H23" t="s">
        <v>9</v>
      </c>
    </row>
    <row r="24" spans="1:8" x14ac:dyDescent="0.25">
      <c r="A24" t="str">
        <f t="shared" si="1"/>
        <v>00:0058 Serial_Transfer_Completion_IRQ</v>
      </c>
      <c r="B24" t="str">
        <f t="shared" si="5"/>
        <v>Serial_Transfer_Completion_IRQ</v>
      </c>
      <c r="C24" t="str">
        <f>_xlfn.SWITCH(LEFT(H24,1),";",B24,"b",_xlfn.CONCAT(".data:",E24),"c",_xlfn.CONCAT(".code:",E24),"")</f>
        <v>Serial_Transfer_Completion_IRQ</v>
      </c>
      <c r="D24" t="str">
        <f t="shared" si="2"/>
        <v>0058</v>
      </c>
      <c r="E24" t="str">
        <f t="shared" si="3"/>
        <v>0020</v>
      </c>
      <c r="F24">
        <f t="shared" si="4"/>
        <v>32</v>
      </c>
      <c r="G24">
        <f>HEX2DEC("0058")</f>
        <v>88</v>
      </c>
      <c r="H24" t="s">
        <v>13</v>
      </c>
    </row>
    <row r="25" spans="1:8" x14ac:dyDescent="0.25">
      <c r="A25" t="str">
        <f t="shared" si="1"/>
        <v>00:0078 .code:0058</v>
      </c>
      <c r="B25" t="str">
        <f t="shared" si="5"/>
        <v/>
      </c>
      <c r="C25" t="str">
        <f>_xlfn.SWITCH(LEFT(H25,1),";",B25,"b",_xlfn.CONCAT(".data:",E25),"c",_xlfn.CONCAT(".code:",E25),"")</f>
        <v>.code:0058</v>
      </c>
      <c r="D25" t="str">
        <f t="shared" si="2"/>
        <v>0078</v>
      </c>
      <c r="E25" t="str">
        <f t="shared" si="3"/>
        <v>0058</v>
      </c>
      <c r="F25">
        <f t="shared" si="4"/>
        <v>88</v>
      </c>
      <c r="G25">
        <f>HEX2DEC("0078")</f>
        <v>120</v>
      </c>
      <c r="H25" t="s">
        <v>9</v>
      </c>
    </row>
    <row r="26" spans="1:8" x14ac:dyDescent="0.25">
      <c r="A26" t="str">
        <f t="shared" si="1"/>
        <v>00:00d0 This_routine_is_not_used.</v>
      </c>
      <c r="B26" t="str">
        <f t="shared" si="5"/>
        <v>This_routine_is_not_used.</v>
      </c>
      <c r="C26" t="str">
        <f>_xlfn.SWITCH(LEFT(H26,1),";",B26,"b",_xlfn.CONCAT(".data:",E26),"c",_xlfn.CONCAT(".code:",E26),"")</f>
        <v>This_routine_is_not_used.</v>
      </c>
      <c r="D26" t="str">
        <f t="shared" si="2"/>
        <v>00d0</v>
      </c>
      <c r="E26" t="str">
        <f t="shared" si="3"/>
        <v>000a</v>
      </c>
      <c r="F26">
        <f t="shared" si="4"/>
        <v>10</v>
      </c>
      <c r="G26">
        <f>HEX2DEC("00d0")</f>
        <v>208</v>
      </c>
      <c r="H26" t="s">
        <v>14</v>
      </c>
    </row>
    <row r="27" spans="1:8" x14ac:dyDescent="0.25">
      <c r="A27" t="str">
        <f t="shared" si="1"/>
        <v>00:00da .data:0026</v>
      </c>
      <c r="B27" t="str">
        <f t="shared" si="5"/>
        <v/>
      </c>
      <c r="C27" t="str">
        <f>_xlfn.SWITCH(LEFT(H27,1),";",B27,"b",_xlfn.CONCAT(".data:",E27),"c",_xlfn.CONCAT(".code:",E27),"")</f>
        <v>.data:0026</v>
      </c>
      <c r="D27" t="str">
        <f t="shared" si="2"/>
        <v>00da</v>
      </c>
      <c r="E27" t="str">
        <f t="shared" si="3"/>
        <v>0026</v>
      </c>
      <c r="F27">
        <f t="shared" si="4"/>
        <v>38</v>
      </c>
      <c r="G27">
        <f>HEX2DEC("00da")</f>
        <v>218</v>
      </c>
      <c r="H27" t="s">
        <v>7</v>
      </c>
    </row>
    <row r="28" spans="1:8" x14ac:dyDescent="0.25">
      <c r="A28" t="str">
        <f t="shared" si="1"/>
        <v>00:0100 .code:0004</v>
      </c>
      <c r="B28" t="str">
        <f t="shared" si="5"/>
        <v/>
      </c>
      <c r="C28" t="str">
        <f>_xlfn.SWITCH(LEFT(H28,1),";",B28,"b",_xlfn.CONCAT(".data:",E28),"c",_xlfn.CONCAT(".code:",E28),"")</f>
        <v>.code:0004</v>
      </c>
      <c r="D28" t="str">
        <f t="shared" si="2"/>
        <v>0100</v>
      </c>
      <c r="E28" t="str">
        <f t="shared" si="3"/>
        <v>0004</v>
      </c>
      <c r="F28">
        <f t="shared" si="4"/>
        <v>4</v>
      </c>
      <c r="G28">
        <f>HEX2DEC("0100")</f>
        <v>256</v>
      </c>
      <c r="H28" t="s">
        <v>9</v>
      </c>
    </row>
    <row r="29" spans="1:8" x14ac:dyDescent="0.25">
      <c r="A29" t="str">
        <f t="shared" si="1"/>
        <v>00:0100 Code_Begin</v>
      </c>
      <c r="B29" t="str">
        <f t="shared" si="5"/>
        <v>Code_Begin</v>
      </c>
      <c r="C29" t="str">
        <f>_xlfn.SWITCH(LEFT(H29,1),";",B29,"b",_xlfn.CONCAT(".data:",E29),"c",_xlfn.CONCAT(".code:",E29),"")</f>
        <v>Code_Begin</v>
      </c>
      <c r="D29" t="str">
        <f t="shared" si="2"/>
        <v>0100</v>
      </c>
      <c r="E29" t="str">
        <f t="shared" si="3"/>
        <v>0004</v>
      </c>
      <c r="F29">
        <f t="shared" si="4"/>
        <v>4</v>
      </c>
      <c r="G29">
        <f>HEX2DEC("0100")</f>
        <v>256</v>
      </c>
      <c r="H29" t="s">
        <v>15</v>
      </c>
    </row>
    <row r="30" spans="1:8" x14ac:dyDescent="0.25">
      <c r="A30" t="str">
        <f t="shared" si="1"/>
        <v>00:0104 .data:0043</v>
      </c>
      <c r="B30" t="str">
        <f t="shared" si="5"/>
        <v/>
      </c>
      <c r="C30" t="str">
        <f>_xlfn.SWITCH(LEFT(H30,1),";",B30,"b",_xlfn.CONCAT(".data:",E30),"c",_xlfn.CONCAT(".code:",E30),"")</f>
        <v>.data:0043</v>
      </c>
      <c r="D30" t="str">
        <f t="shared" si="2"/>
        <v>0104</v>
      </c>
      <c r="E30" t="str">
        <f t="shared" si="3"/>
        <v>0043</v>
      </c>
      <c r="F30">
        <f t="shared" si="4"/>
        <v>67</v>
      </c>
      <c r="G30">
        <f>HEX2DEC("0104")</f>
        <v>260</v>
      </c>
      <c r="H30" t="s">
        <v>7</v>
      </c>
    </row>
    <row r="31" spans="1:8" x14ac:dyDescent="0.25">
      <c r="A31" t="str">
        <f t="shared" si="1"/>
        <v>00:0104 Nintendo_Title_Character_Area</v>
      </c>
      <c r="B31" t="str">
        <f t="shared" si="5"/>
        <v>Nintendo_Title_Character_Area</v>
      </c>
      <c r="C31" t="str">
        <f>_xlfn.SWITCH(LEFT(H31,1),";",B31,"b",_xlfn.CONCAT(".data:",E31),"c",_xlfn.CONCAT(".code:",E31),"")</f>
        <v>Nintendo_Title_Character_Area</v>
      </c>
      <c r="D31" t="str">
        <f t="shared" si="2"/>
        <v>0104</v>
      </c>
      <c r="E31" t="str">
        <f t="shared" si="3"/>
        <v>0043</v>
      </c>
      <c r="F31">
        <f t="shared" si="4"/>
        <v>67</v>
      </c>
      <c r="G31">
        <f>HEX2DEC("0104")</f>
        <v>260</v>
      </c>
      <c r="H31" t="s">
        <v>16</v>
      </c>
    </row>
    <row r="32" spans="1:8" x14ac:dyDescent="0.25">
      <c r="A32" t="str">
        <f t="shared" si="1"/>
        <v>00:0147 Cartridge_type</v>
      </c>
      <c r="B32" t="str">
        <f t="shared" si="5"/>
        <v>Cartridge_type</v>
      </c>
      <c r="C32" t="str">
        <f>_xlfn.SWITCH(LEFT(H32,1),";",B32,"b",_xlfn.CONCAT(".data:",E32),"c",_xlfn.CONCAT(".code:",E32),"")</f>
        <v>Cartridge_type</v>
      </c>
      <c r="D32" t="str">
        <f t="shared" si="2"/>
        <v>0147</v>
      </c>
      <c r="E32" t="str">
        <f t="shared" si="3"/>
        <v>0001</v>
      </c>
      <c r="F32">
        <f t="shared" si="4"/>
        <v>1</v>
      </c>
      <c r="G32">
        <f>HEX2DEC("0147")</f>
        <v>327</v>
      </c>
      <c r="H32" t="s">
        <v>17</v>
      </c>
    </row>
    <row r="33" spans="1:8" x14ac:dyDescent="0.25">
      <c r="A33" t="str">
        <f t="shared" si="1"/>
        <v>00:0148 Rom_Size</v>
      </c>
      <c r="B33" t="str">
        <f t="shared" si="5"/>
        <v>Rom_Size</v>
      </c>
      <c r="C33" t="str">
        <f>_xlfn.SWITCH(LEFT(H33,1),";",B33,"b",_xlfn.CONCAT(".data:",E33),"c",_xlfn.CONCAT(".code:",E33),"")</f>
        <v>Rom_Size</v>
      </c>
      <c r="D33" t="str">
        <f t="shared" si="2"/>
        <v>0148</v>
      </c>
      <c r="E33" t="str">
        <f t="shared" si="3"/>
        <v>0001</v>
      </c>
      <c r="F33">
        <f t="shared" si="4"/>
        <v>1</v>
      </c>
      <c r="G33">
        <f>HEX2DEC("0148")</f>
        <v>328</v>
      </c>
      <c r="H33" t="s">
        <v>18</v>
      </c>
    </row>
    <row r="34" spans="1:8" x14ac:dyDescent="0.25">
      <c r="A34" t="str">
        <f t="shared" si="1"/>
        <v>00:0149 Ram_Size</v>
      </c>
      <c r="B34" t="str">
        <f t="shared" si="5"/>
        <v>Ram_Size</v>
      </c>
      <c r="C34" t="str">
        <f>_xlfn.SWITCH(LEFT(H34,1),";",B34,"b",_xlfn.CONCAT(".data:",E34),"c",_xlfn.CONCAT(".code:",E34),"")</f>
        <v>Ram_Size</v>
      </c>
      <c r="D34" t="str">
        <f t="shared" si="2"/>
        <v>0149</v>
      </c>
      <c r="E34" t="str">
        <f t="shared" si="3"/>
        <v>0001</v>
      </c>
      <c r="F34">
        <f t="shared" si="4"/>
        <v>1</v>
      </c>
      <c r="G34">
        <f>HEX2DEC("0149")</f>
        <v>329</v>
      </c>
      <c r="H34" t="s">
        <v>19</v>
      </c>
    </row>
    <row r="35" spans="1:8" x14ac:dyDescent="0.25">
      <c r="A35" t="str">
        <f t="shared" si="1"/>
        <v>00:014a Manufacturer_Code</v>
      </c>
      <c r="B35" t="str">
        <f t="shared" si="5"/>
        <v>Manufacturer_Code</v>
      </c>
      <c r="C35" t="str">
        <f>_xlfn.SWITCH(LEFT(H35,1),";",B35,"b",_xlfn.CONCAT(".data:",E35),"c",_xlfn.CONCAT(".code:",E35),"")</f>
        <v>Manufacturer_Code</v>
      </c>
      <c r="D35" t="str">
        <f t="shared" si="2"/>
        <v>014a</v>
      </c>
      <c r="E35" t="str">
        <f t="shared" si="3"/>
        <v>0002</v>
      </c>
      <c r="F35">
        <f t="shared" si="4"/>
        <v>2</v>
      </c>
      <c r="G35">
        <f>HEX2DEC("014a")</f>
        <v>330</v>
      </c>
      <c r="H35" t="s">
        <v>20</v>
      </c>
    </row>
    <row r="36" spans="1:8" x14ac:dyDescent="0.25">
      <c r="A36" t="str">
        <f t="shared" si="1"/>
        <v>00:014c .data:0001</v>
      </c>
      <c r="B36" t="str">
        <f t="shared" si="5"/>
        <v/>
      </c>
      <c r="C36" t="str">
        <f>_xlfn.SWITCH(LEFT(H36,1),";",B36,"b",_xlfn.CONCAT(".data:",E36),"c",_xlfn.CONCAT(".code:",E36),"")</f>
        <v>.data:0001</v>
      </c>
      <c r="D36" t="str">
        <f t="shared" si="2"/>
        <v>014c</v>
      </c>
      <c r="E36" t="str">
        <f t="shared" si="3"/>
        <v>0001</v>
      </c>
      <c r="F36">
        <f t="shared" si="4"/>
        <v>1</v>
      </c>
      <c r="G36">
        <f>HEX2DEC("014c")</f>
        <v>332</v>
      </c>
      <c r="H36" t="s">
        <v>7</v>
      </c>
    </row>
    <row r="37" spans="1:8" x14ac:dyDescent="0.25">
      <c r="A37" t="str">
        <f t="shared" si="1"/>
        <v>00:014c Version_Number</v>
      </c>
      <c r="B37" t="str">
        <f t="shared" si="5"/>
        <v>Version_Number</v>
      </c>
      <c r="C37" t="str">
        <f>_xlfn.SWITCH(LEFT(H37,1),";",B37,"b",_xlfn.CONCAT(".data:",E37),"c",_xlfn.CONCAT(".code:",E37),"")</f>
        <v>Version_Number</v>
      </c>
      <c r="D37" t="str">
        <f t="shared" si="2"/>
        <v>014c</v>
      </c>
      <c r="E37" t="str">
        <f t="shared" si="3"/>
        <v>0001</v>
      </c>
      <c r="F37">
        <f t="shared" si="4"/>
        <v>1</v>
      </c>
      <c r="G37">
        <f>HEX2DEC("014c")</f>
        <v>332</v>
      </c>
      <c r="H37" t="s">
        <v>21</v>
      </c>
    </row>
    <row r="38" spans="1:8" x14ac:dyDescent="0.25">
      <c r="A38" t="str">
        <f t="shared" si="1"/>
        <v>00:014d Complement_Check</v>
      </c>
      <c r="B38" t="str">
        <f t="shared" si="5"/>
        <v>Complement_Check</v>
      </c>
      <c r="C38" t="str">
        <f>_xlfn.SWITCH(LEFT(H38,1),";",B38,"b",_xlfn.CONCAT(".data:",E38),"c",_xlfn.CONCAT(".code:",E38),"")</f>
        <v>Complement_Check</v>
      </c>
      <c r="D38" t="str">
        <f t="shared" si="2"/>
        <v>014d</v>
      </c>
      <c r="E38" t="str">
        <f t="shared" si="3"/>
        <v>0001</v>
      </c>
      <c r="F38">
        <f t="shared" si="4"/>
        <v>1</v>
      </c>
      <c r="G38">
        <f>HEX2DEC("014d")</f>
        <v>333</v>
      </c>
      <c r="H38" t="s">
        <v>22</v>
      </c>
    </row>
    <row r="39" spans="1:8" x14ac:dyDescent="0.25">
      <c r="A39" t="str">
        <f t="shared" si="1"/>
        <v>00:014e Checksum</v>
      </c>
      <c r="B39" t="str">
        <f t="shared" si="5"/>
        <v>Checksum</v>
      </c>
      <c r="C39" t="str">
        <f>_xlfn.SWITCH(LEFT(H39,1),";",B39,"b",_xlfn.CONCAT(".data:",E39),"c",_xlfn.CONCAT(".code:",E39),"")</f>
        <v>Checksum</v>
      </c>
      <c r="D39" t="str">
        <f t="shared" si="2"/>
        <v>014e</v>
      </c>
      <c r="E39" t="str">
        <f t="shared" si="3"/>
        <v>0002</v>
      </c>
      <c r="F39">
        <f t="shared" si="4"/>
        <v>2</v>
      </c>
      <c r="G39">
        <f>HEX2DEC("014e")</f>
        <v>334</v>
      </c>
      <c r="H39" t="s">
        <v>23</v>
      </c>
    </row>
    <row r="40" spans="1:8" x14ac:dyDescent="0.25">
      <c r="A40" t="str">
        <f t="shared" si="1"/>
        <v>00:0150 .code:0003</v>
      </c>
      <c r="B40" t="str">
        <f t="shared" si="5"/>
        <v/>
      </c>
      <c r="C40" t="str">
        <f>_xlfn.SWITCH(LEFT(H40,1),";",B40,"b",_xlfn.CONCAT(".data:",E40),"c",_xlfn.CONCAT(".code:",E40),"")</f>
        <v>.code:0003</v>
      </c>
      <c r="D40" t="str">
        <f t="shared" si="2"/>
        <v>0150</v>
      </c>
      <c r="E40" t="str">
        <f t="shared" si="3"/>
        <v>0003</v>
      </c>
      <c r="F40">
        <f t="shared" si="4"/>
        <v>3</v>
      </c>
      <c r="G40">
        <f>HEX2DEC("0150")</f>
        <v>336</v>
      </c>
      <c r="H40" t="s">
        <v>9</v>
      </c>
    </row>
    <row r="41" spans="1:8" x14ac:dyDescent="0.25">
      <c r="A41" t="str">
        <f t="shared" si="1"/>
        <v>00:0153 This_routine_is_not_used.</v>
      </c>
      <c r="B41" t="str">
        <f t="shared" si="5"/>
        <v>This_routine_is_not_used.</v>
      </c>
      <c r="C41" t="str">
        <f>_xlfn.SWITCH(LEFT(H41,1),";",B41,"b",_xlfn.CONCAT(".data:",E41),"c",_xlfn.CONCAT(".code:",E41),"")</f>
        <v>This_routine_is_not_used.</v>
      </c>
      <c r="D41" t="str">
        <f t="shared" si="2"/>
        <v>0153</v>
      </c>
      <c r="E41" t="str">
        <f t="shared" si="3"/>
        <v>0013</v>
      </c>
      <c r="F41">
        <f t="shared" si="4"/>
        <v>19</v>
      </c>
      <c r="G41">
        <f>HEX2DEC("0153")</f>
        <v>339</v>
      </c>
      <c r="H41" t="s">
        <v>14</v>
      </c>
    </row>
    <row r="42" spans="1:8" x14ac:dyDescent="0.25">
      <c r="A42" t="str">
        <f t="shared" si="1"/>
        <v>00:0166 Add_number_in_DE_to_score_at_(hl).</v>
      </c>
      <c r="B42" t="str">
        <f t="shared" si="5"/>
        <v>Add_number_in_DE_to_score_at_(hl).</v>
      </c>
      <c r="C42" t="str">
        <f>_xlfn.SWITCH(LEFT(H42,1),";",B42,"b",_xlfn.CONCAT(".data:",E42),"c",_xlfn.CONCAT(".code:",E42),"")</f>
        <v>Add_number_in_DE_to_score_at_(hl).</v>
      </c>
      <c r="D42" t="str">
        <f t="shared" si="2"/>
        <v>0166</v>
      </c>
      <c r="E42" t="str">
        <f t="shared" si="3"/>
        <v>0018</v>
      </c>
      <c r="F42">
        <f t="shared" si="4"/>
        <v>24</v>
      </c>
      <c r="G42">
        <f>HEX2DEC("0166")</f>
        <v>358</v>
      </c>
      <c r="H42" t="s">
        <v>24</v>
      </c>
    </row>
    <row r="43" spans="1:8" x14ac:dyDescent="0.25">
      <c r="A43" t="str">
        <f t="shared" si="1"/>
        <v>00:0166 Stop_counting_if_score_reaches_999999.</v>
      </c>
      <c r="B43" t="str">
        <f t="shared" si="5"/>
        <v>Stop_counting_if_score_reaches_999999.</v>
      </c>
      <c r="C43" t="str">
        <f>_xlfn.SWITCH(LEFT(H43,1),";",B43,"b",_xlfn.CONCAT(".data:",E43),"c",_xlfn.CONCAT(".code:",E43),"")</f>
        <v>Stop_counting_if_score_reaches_999999.</v>
      </c>
      <c r="D43" t="str">
        <f t="shared" si="2"/>
        <v>0166</v>
      </c>
      <c r="E43" t="str">
        <f t="shared" si="3"/>
        <v>0018</v>
      </c>
      <c r="F43">
        <f t="shared" si="4"/>
        <v>24</v>
      </c>
      <c r="G43">
        <f>HEX2DEC("0166")</f>
        <v>358</v>
      </c>
      <c r="H43" t="s">
        <v>25</v>
      </c>
    </row>
    <row r="44" spans="1:8" x14ac:dyDescent="0.25">
      <c r="A44" t="str">
        <f t="shared" si="1"/>
        <v>00:017e VBlank_Interrupt_Routine</v>
      </c>
      <c r="B44" t="str">
        <f t="shared" si="5"/>
        <v>VBlank_Interrupt_Routine</v>
      </c>
      <c r="C44" t="str">
        <f>_xlfn.SWITCH(LEFT(H44,1),";",B44,"b",_xlfn.CONCAT(".data:",E44),"c",_xlfn.CONCAT(".code:",E44),"")</f>
        <v>VBlank_Interrupt_Routine</v>
      </c>
      <c r="D44" t="str">
        <f t="shared" si="2"/>
        <v>017e</v>
      </c>
      <c r="E44" t="str">
        <f t="shared" si="3"/>
        <v>0012</v>
      </c>
      <c r="F44">
        <f t="shared" si="4"/>
        <v>18</v>
      </c>
      <c r="G44">
        <f>HEX2DEC("017e")</f>
        <v>382</v>
      </c>
      <c r="H44" t="s">
        <v>26</v>
      </c>
    </row>
    <row r="45" spans="1:8" x14ac:dyDescent="0.25">
      <c r="A45" t="str">
        <f t="shared" si="1"/>
        <v>00:0190 Send_byte_at_ffcf_out_serial_port_using_internal_clock</v>
      </c>
      <c r="B45" t="str">
        <f t="shared" si="5"/>
        <v>Send_byte_at_ffcf_out_serial_port_using_internal_clock</v>
      </c>
      <c r="C45" t="str">
        <f>_xlfn.SWITCH(LEFT(H45,1),";",B45,"b",_xlfn.CONCAT(".data:",E45),"c",_xlfn.CONCAT(".code:",E45),"")</f>
        <v>Send_byte_at_ffcf_out_serial_port_using_internal_clock</v>
      </c>
      <c r="D45" t="str">
        <f t="shared" si="2"/>
        <v>0190</v>
      </c>
      <c r="E45" t="str">
        <f t="shared" si="3"/>
        <v>0045</v>
      </c>
      <c r="F45">
        <f t="shared" si="4"/>
        <v>69</v>
      </c>
      <c r="G45">
        <f>HEX2DEC("0190")</f>
        <v>400</v>
      </c>
      <c r="H45" t="s">
        <v>27</v>
      </c>
    </row>
    <row r="46" spans="1:8" x14ac:dyDescent="0.25">
      <c r="A46" t="str">
        <f t="shared" si="1"/>
        <v>00:01d5 Initiate_DMA_transfer</v>
      </c>
      <c r="B46" t="str">
        <f t="shared" si="5"/>
        <v>Initiate_DMA_transfer</v>
      </c>
      <c r="C46" t="str">
        <f>_xlfn.SWITCH(LEFT(H46,1),";",B46,"b",_xlfn.CONCAT(".data:",E46),"c",_xlfn.CONCAT(".code:",E46),"")</f>
        <v>Initiate_DMA_transfer</v>
      </c>
      <c r="D46" t="str">
        <f t="shared" si="2"/>
        <v>01d5</v>
      </c>
      <c r="E46" t="str">
        <f t="shared" si="3"/>
        <v>0037</v>
      </c>
      <c r="F46">
        <f t="shared" si="4"/>
        <v>55</v>
      </c>
      <c r="G46">
        <f>HEX2DEC("01d5")</f>
        <v>469</v>
      </c>
      <c r="H46" t="s">
        <v>28</v>
      </c>
    </row>
    <row r="47" spans="1:8" x14ac:dyDescent="0.25">
      <c r="A47" t="str">
        <f t="shared" si="1"/>
        <v>00:020c Set_ram_from_d000_to_dfff_to_0</v>
      </c>
      <c r="B47" t="str">
        <f t="shared" si="5"/>
        <v>Set_ram_from_d000_to_dfff_to_0</v>
      </c>
      <c r="C47" t="str">
        <f>_xlfn.SWITCH(LEFT(H47,1),";",B47,"b",_xlfn.CONCAT(".data:",E47),"c",_xlfn.CONCAT(".code:",E47),"")</f>
        <v>Set_ram_from_d000_to_dfff_to_0</v>
      </c>
      <c r="D47" t="str">
        <f t="shared" si="2"/>
        <v>020c</v>
      </c>
      <c r="E47" t="str">
        <f t="shared" si="3"/>
        <v>000f</v>
      </c>
      <c r="F47">
        <f t="shared" si="4"/>
        <v>15</v>
      </c>
      <c r="G47">
        <f>HEX2DEC("020c")</f>
        <v>524</v>
      </c>
      <c r="H47" t="s">
        <v>29</v>
      </c>
    </row>
    <row r="48" spans="1:8" x14ac:dyDescent="0.25">
      <c r="A48" t="str">
        <f t="shared" si="1"/>
        <v>00:021b Clear_Interrupt_Flag_&amp;_Enable_Registers</v>
      </c>
      <c r="B48" t="str">
        <f t="shared" si="5"/>
        <v>Clear_Interrupt_Flag_&amp;_Enable_Registers</v>
      </c>
      <c r="C48" t="str">
        <f>_xlfn.SWITCH(LEFT(H48,1),";",B48,"b",_xlfn.CONCAT(".data:",E48),"c",_xlfn.CONCAT(".code:",E48),"")</f>
        <v>Clear_Interrupt_Flag_&amp;_Enable_Registers</v>
      </c>
      <c r="D48" t="str">
        <f t="shared" si="2"/>
        <v>021b</v>
      </c>
      <c r="E48" t="str">
        <f t="shared" si="3"/>
        <v>0007</v>
      </c>
      <c r="F48">
        <f t="shared" si="4"/>
        <v>7</v>
      </c>
      <c r="G48">
        <f>HEX2DEC("021b")</f>
        <v>539</v>
      </c>
      <c r="H48" t="s">
        <v>30</v>
      </c>
    </row>
    <row r="49" spans="1:8" x14ac:dyDescent="0.25">
      <c r="A49" t="str">
        <f t="shared" si="1"/>
        <v>00:0222 Set_scroll_regs,_LCDC_Status,_&amp;_Serial_port_to_0</v>
      </c>
      <c r="B49" t="str">
        <f t="shared" si="5"/>
        <v>Set_scroll_regs,_LCDC_Status,_&amp;_Serial_port_to_0</v>
      </c>
      <c r="C49" t="str">
        <f>_xlfn.SWITCH(LEFT(H49,1),";",B49,"b",_xlfn.CONCAT(".data:",E49),"c",_xlfn.CONCAT(".code:",E49),"")</f>
        <v>Set_scroll_regs,_LCDC_Status,_&amp;_Serial_port_to_0</v>
      </c>
      <c r="D49" t="str">
        <f t="shared" si="2"/>
        <v>0222</v>
      </c>
      <c r="E49" t="str">
        <f t="shared" si="3"/>
        <v>000d</v>
      </c>
      <c r="F49">
        <f t="shared" si="4"/>
        <v>13</v>
      </c>
      <c r="G49">
        <f>HEX2DEC("0222")</f>
        <v>546</v>
      </c>
      <c r="H49" t="s">
        <v>31</v>
      </c>
    </row>
    <row r="50" spans="1:8" x14ac:dyDescent="0.25">
      <c r="A50" t="str">
        <f t="shared" si="1"/>
        <v>00:022f Set_LCD_control_to_Operation</v>
      </c>
      <c r="B50" t="str">
        <f t="shared" si="5"/>
        <v>Set_LCD_control_to_Operation</v>
      </c>
      <c r="C50" t="str">
        <f>_xlfn.SWITCH(LEFT(H50,1),";",B50,"b",_xlfn.CONCAT(".data:",E50),"c",_xlfn.CONCAT(".code:",E50),"")</f>
        <v>Set_LCD_control_to_Operation</v>
      </c>
      <c r="D50" t="str">
        <f t="shared" si="2"/>
        <v>022f</v>
      </c>
      <c r="E50" t="str">
        <f t="shared" si="3"/>
        <v>0004</v>
      </c>
      <c r="F50">
        <f t="shared" si="4"/>
        <v>4</v>
      </c>
      <c r="G50">
        <f>HEX2DEC("022f")</f>
        <v>559</v>
      </c>
      <c r="H50" t="s">
        <v>32</v>
      </c>
    </row>
    <row r="51" spans="1:8" x14ac:dyDescent="0.25">
      <c r="A51" t="str">
        <f t="shared" si="1"/>
        <v>00:0233 Loop_until_LCDC_Y-Coord_=_148</v>
      </c>
      <c r="B51" t="str">
        <f t="shared" si="5"/>
        <v>Loop_until_LCDC_Y-Coord_=_148</v>
      </c>
      <c r="C51" t="str">
        <f>_xlfn.SWITCH(LEFT(H51,1),";",B51,"b",_xlfn.CONCAT(".data:",E51),"c",_xlfn.CONCAT(".code:",E51),"")</f>
        <v>Loop_until_LCDC_Y-Coord_=_148</v>
      </c>
      <c r="D51" t="str">
        <f t="shared" si="2"/>
        <v>0233</v>
      </c>
      <c r="E51" t="str">
        <f t="shared" si="3"/>
        <v>0006</v>
      </c>
      <c r="F51">
        <f t="shared" si="4"/>
        <v>6</v>
      </c>
      <c r="G51">
        <f>HEX2DEC("0233")</f>
        <v>563</v>
      </c>
      <c r="H51" t="s">
        <v>33</v>
      </c>
    </row>
    <row r="52" spans="1:8" x14ac:dyDescent="0.25">
      <c r="A52" t="str">
        <f t="shared" si="1"/>
        <v>00:0239 Set_LCD_control_to_Stop_completely</v>
      </c>
      <c r="B52" t="str">
        <f t="shared" si="5"/>
        <v>Set_LCD_control_to_Stop_completely</v>
      </c>
      <c r="C52" t="str">
        <f>_xlfn.SWITCH(LEFT(H52,1),";",B52,"b",_xlfn.CONCAT(".data:",E52),"c",_xlfn.CONCAT(".code:",E52),"")</f>
        <v>Set_LCD_control_to_Stop_completely</v>
      </c>
      <c r="D52" t="str">
        <f t="shared" si="2"/>
        <v>0239</v>
      </c>
      <c r="E52" t="str">
        <f t="shared" si="3"/>
        <v>0004</v>
      </c>
      <c r="F52">
        <f t="shared" si="4"/>
        <v>4</v>
      </c>
      <c r="G52">
        <f>HEX2DEC("0239")</f>
        <v>569</v>
      </c>
      <c r="H52" t="s">
        <v>34</v>
      </c>
    </row>
    <row r="53" spans="1:8" x14ac:dyDescent="0.25">
      <c r="A53" t="str">
        <f t="shared" si="1"/>
        <v>00:023d Setup_colors_for_Background_&amp;_Sprites</v>
      </c>
      <c r="B53" t="str">
        <f t="shared" si="5"/>
        <v>Setup_colors_for_Background_&amp;_Sprites</v>
      </c>
      <c r="C53" t="str">
        <f>_xlfn.SWITCH(LEFT(H53,1),";",B53,"b",_xlfn.CONCAT(".data:",E53),"c",_xlfn.CONCAT(".code:",E53),"")</f>
        <v>Setup_colors_for_Background_&amp;_Sprites</v>
      </c>
      <c r="D53" t="str">
        <f t="shared" si="2"/>
        <v>023d</v>
      </c>
      <c r="E53" t="str">
        <f t="shared" si="3"/>
        <v>000a</v>
      </c>
      <c r="F53">
        <f t="shared" si="4"/>
        <v>10</v>
      </c>
      <c r="G53">
        <f>HEX2DEC("023d")</f>
        <v>573</v>
      </c>
      <c r="H53" t="s">
        <v>35</v>
      </c>
    </row>
    <row r="54" spans="1:8" x14ac:dyDescent="0.25">
      <c r="A54" t="str">
        <f t="shared" si="1"/>
        <v>00:0247 Setup_sound_channel_outputs</v>
      </c>
      <c r="B54" t="str">
        <f t="shared" si="5"/>
        <v>Setup_sound_channel_outputs</v>
      </c>
      <c r="C54" t="str">
        <f>_xlfn.SWITCH(LEFT(H54,1),";",B54,"b",_xlfn.CONCAT(".data:",E54),"c",_xlfn.CONCAT(".code:",E54),"")</f>
        <v>Setup_sound_channel_outputs</v>
      </c>
      <c r="D54" t="str">
        <f t="shared" si="2"/>
        <v>0247</v>
      </c>
      <c r="E54" t="str">
        <f t="shared" si="3"/>
        <v>000b</v>
      </c>
      <c r="F54">
        <f t="shared" si="4"/>
        <v>11</v>
      </c>
      <c r="G54">
        <f>HEX2DEC("0247")</f>
        <v>583</v>
      </c>
      <c r="H54" t="s">
        <v>36</v>
      </c>
    </row>
    <row r="55" spans="1:8" x14ac:dyDescent="0.25">
      <c r="A55" t="str">
        <f t="shared" si="1"/>
        <v>00:0252 Set_Rom_bank_to_zero</v>
      </c>
      <c r="B55" t="str">
        <f t="shared" si="5"/>
        <v>Set_Rom_bank_to_zero</v>
      </c>
      <c r="C55" t="str">
        <f>_xlfn.SWITCH(LEFT(H55,1),";",B55,"b",_xlfn.CONCAT(".data:",E55),"c",_xlfn.CONCAT(".code:",E55),"")</f>
        <v>Set_Rom_bank_to_zero</v>
      </c>
      <c r="D55" t="str">
        <f t="shared" si="2"/>
        <v>0252</v>
      </c>
      <c r="E55" t="str">
        <f t="shared" si="3"/>
        <v>0005</v>
      </c>
      <c r="F55">
        <f t="shared" si="4"/>
        <v>5</v>
      </c>
      <c r="G55">
        <f>HEX2DEC("0252")</f>
        <v>594</v>
      </c>
      <c r="H55" t="s">
        <v>37</v>
      </c>
    </row>
    <row r="56" spans="1:8" x14ac:dyDescent="0.25">
      <c r="A56" t="str">
        <f t="shared" si="1"/>
        <v>00:0252 (Not_needed_since_the_original_has_no_MBC.)</v>
      </c>
      <c r="B56" t="str">
        <f t="shared" si="5"/>
        <v>(Not_needed_since_the_original_has_no_MBC.)</v>
      </c>
      <c r="C56" t="str">
        <f>_xlfn.SWITCH(LEFT(H56,1),";",B56,"b",_xlfn.CONCAT(".data:",E56),"c",_xlfn.CONCAT(".code:",E56),"")</f>
        <v>(Not_needed_since_the_original_has_no_MBC.)</v>
      </c>
      <c r="D56" t="str">
        <f t="shared" si="2"/>
        <v>0252</v>
      </c>
      <c r="E56" t="str">
        <f t="shared" si="3"/>
        <v>0005</v>
      </c>
      <c r="F56">
        <f t="shared" si="4"/>
        <v>5</v>
      </c>
      <c r="G56">
        <f>HEX2DEC("0252")</f>
        <v>594</v>
      </c>
      <c r="H56" t="s">
        <v>38</v>
      </c>
    </row>
    <row r="57" spans="1:8" x14ac:dyDescent="0.25">
      <c r="A57" t="str">
        <f t="shared" si="1"/>
        <v>00:0257 Initialize_stack_pointer</v>
      </c>
      <c r="B57" t="str">
        <f t="shared" si="5"/>
        <v>Initialize_stack_pointer</v>
      </c>
      <c r="C57" t="str">
        <f>_xlfn.SWITCH(LEFT(H57,1),";",B57,"b",_xlfn.CONCAT(".data:",E57),"c",_xlfn.CONCAT(".code:",E57),"")</f>
        <v>Initialize_stack_pointer</v>
      </c>
      <c r="D57" t="str">
        <f t="shared" si="2"/>
        <v>0257</v>
      </c>
      <c r="E57" t="str">
        <f t="shared" si="3"/>
        <v>0003</v>
      </c>
      <c r="F57">
        <f t="shared" si="4"/>
        <v>3</v>
      </c>
      <c r="G57">
        <f>HEX2DEC("0257")</f>
        <v>599</v>
      </c>
      <c r="H57" t="s">
        <v>39</v>
      </c>
    </row>
    <row r="58" spans="1:8" x14ac:dyDescent="0.25">
      <c r="A58" t="str">
        <f t="shared" si="1"/>
        <v>00:025a Set_ram_from_df00_to_dfff_to_0</v>
      </c>
      <c r="B58" t="str">
        <f t="shared" si="5"/>
        <v>Set_ram_from_df00_to_dfff_to_0</v>
      </c>
      <c r="C58" t="str">
        <f>_xlfn.SWITCH(LEFT(H58,1),";",B58,"b",_xlfn.CONCAT(".data:",E58),"c",_xlfn.CONCAT(".code:",E58),"")</f>
        <v>Set_ram_from_df00_to_dfff_to_0</v>
      </c>
      <c r="D58" t="str">
        <f t="shared" si="2"/>
        <v>025a</v>
      </c>
      <c r="E58" t="str">
        <f t="shared" si="3"/>
        <v>000a</v>
      </c>
      <c r="F58">
        <f t="shared" si="4"/>
        <v>10</v>
      </c>
      <c r="G58">
        <f>HEX2DEC("025a")</f>
        <v>602</v>
      </c>
      <c r="H58" t="s">
        <v>40</v>
      </c>
    </row>
    <row r="59" spans="1:8" x14ac:dyDescent="0.25">
      <c r="A59" t="str">
        <f t="shared" si="1"/>
        <v>00:0264 Set_ram_from_c000_to_cfff_to_0</v>
      </c>
      <c r="B59" t="str">
        <f t="shared" si="5"/>
        <v>Set_ram_from_c000_to_cfff_to_0</v>
      </c>
      <c r="C59" t="str">
        <f>_xlfn.SWITCH(LEFT(H59,1),";",B59,"b",_xlfn.CONCAT(".data:",E59),"c",_xlfn.CONCAT(".code:",E59),"")</f>
        <v>Set_ram_from_c000_to_cfff_to_0</v>
      </c>
      <c r="D59" t="str">
        <f t="shared" si="2"/>
        <v>0264</v>
      </c>
      <c r="E59" t="str">
        <f t="shared" si="3"/>
        <v>000e</v>
      </c>
      <c r="F59">
        <f t="shared" si="4"/>
        <v>14</v>
      </c>
      <c r="G59">
        <f>HEX2DEC("0264")</f>
        <v>612</v>
      </c>
      <c r="H59" t="s">
        <v>41</v>
      </c>
    </row>
    <row r="60" spans="1:8" x14ac:dyDescent="0.25">
      <c r="A60" t="str">
        <f t="shared" si="1"/>
        <v>00:0272 Set_ram_from_8000_to_9fff_to_0</v>
      </c>
      <c r="B60" t="str">
        <f t="shared" si="5"/>
        <v>Set_ram_from_8000_to_9fff_to_0</v>
      </c>
      <c r="C60" t="str">
        <f>_xlfn.SWITCH(LEFT(H60,1),";",B60,"b",_xlfn.CONCAT(".data:",E60),"c",_xlfn.CONCAT(".code:",E60),"")</f>
        <v>Set_ram_from_8000_to_9fff_to_0</v>
      </c>
      <c r="D60" t="str">
        <f t="shared" si="2"/>
        <v>0272</v>
      </c>
      <c r="E60" t="str">
        <f t="shared" si="3"/>
        <v>000f</v>
      </c>
      <c r="F60">
        <f t="shared" si="4"/>
        <v>15</v>
      </c>
      <c r="G60">
        <f>HEX2DEC("0272")</f>
        <v>626</v>
      </c>
      <c r="H60" t="s">
        <v>42</v>
      </c>
    </row>
    <row r="61" spans="1:8" x14ac:dyDescent="0.25">
      <c r="A61" t="str">
        <f t="shared" si="1"/>
        <v>00:0281 Set_ram_from_fe00_to_feff_to_0</v>
      </c>
      <c r="B61" t="str">
        <f t="shared" si="5"/>
        <v>Set_ram_from_fe00_to_feff_to_0</v>
      </c>
      <c r="C61" t="str">
        <f>_xlfn.SWITCH(LEFT(H61,1),";",B61,"b",_xlfn.CONCAT(".data:",E61),"c",_xlfn.CONCAT(".code:",E61),"")</f>
        <v>Set_ram_from_fe00_to_feff_to_0</v>
      </c>
      <c r="D61" t="str">
        <f t="shared" si="2"/>
        <v>0281</v>
      </c>
      <c r="E61" t="str">
        <f t="shared" si="3"/>
        <v>0009</v>
      </c>
      <c r="F61">
        <f t="shared" si="4"/>
        <v>9</v>
      </c>
      <c r="G61">
        <f>HEX2DEC("0281")</f>
        <v>641</v>
      </c>
      <c r="H61" t="s">
        <v>43</v>
      </c>
    </row>
    <row r="62" spans="1:8" x14ac:dyDescent="0.25">
      <c r="A62" t="str">
        <f t="shared" si="1"/>
        <v>00:028a Set_ram_from_ff7f_to_fffe_to_0</v>
      </c>
      <c r="B62" t="str">
        <f t="shared" si="5"/>
        <v>Set_ram_from_ff7f_to_fffe_to_0</v>
      </c>
      <c r="C62" t="str">
        <f>_xlfn.SWITCH(LEFT(H62,1),";",B62,"b",_xlfn.CONCAT(".data:",E62),"c",_xlfn.CONCAT(".code:",E62),"")</f>
        <v>Set_ram_from_ff7f_to_fffe_to_0</v>
      </c>
      <c r="D62" t="str">
        <f t="shared" si="2"/>
        <v>028a</v>
      </c>
      <c r="E62" t="str">
        <f t="shared" si="3"/>
        <v>0009</v>
      </c>
      <c r="F62">
        <f t="shared" si="4"/>
        <v>9</v>
      </c>
      <c r="G62">
        <f>HEX2DEC("028a")</f>
        <v>650</v>
      </c>
      <c r="H62" t="s">
        <v>44</v>
      </c>
    </row>
    <row r="63" spans="1:8" x14ac:dyDescent="0.25">
      <c r="A63" t="str">
        <f t="shared" si="1"/>
        <v>00:0293 Copy_DMA_transfer_routine_to_ffb6</v>
      </c>
      <c r="B63" t="str">
        <f t="shared" si="5"/>
        <v>Copy_DMA_transfer_routine_to_ffb6</v>
      </c>
      <c r="C63" t="str">
        <f>_xlfn.SWITCH(LEFT(H63,1),";",B63,"b",_xlfn.CONCAT(".data:",E63),"c",_xlfn.CONCAT(".code:",E63),"")</f>
        <v>Copy_DMA_transfer_routine_to_ffb6</v>
      </c>
      <c r="D63" t="str">
        <f t="shared" si="2"/>
        <v>0293</v>
      </c>
      <c r="E63" t="str">
        <f t="shared" si="3"/>
        <v>000d</v>
      </c>
      <c r="F63">
        <f t="shared" si="4"/>
        <v>13</v>
      </c>
      <c r="G63">
        <f>HEX2DEC("0293")</f>
        <v>659</v>
      </c>
      <c r="H63" t="s">
        <v>45</v>
      </c>
    </row>
    <row r="64" spans="1:8" x14ac:dyDescent="0.25">
      <c r="A64" t="str">
        <f t="shared" si="1"/>
        <v>00:02a0 Fill_screen_with_2f</v>
      </c>
      <c r="B64" t="str">
        <f t="shared" si="5"/>
        <v>Fill_screen_with_2f</v>
      </c>
      <c r="C64" t="str">
        <f>_xlfn.SWITCH(LEFT(H64,1),";",B64,"b",_xlfn.CONCAT(".data:",E64),"c",_xlfn.CONCAT(".code:",E64),"")</f>
        <v>Fill_screen_with_2f</v>
      </c>
      <c r="D64" t="str">
        <f t="shared" si="2"/>
        <v>02a0</v>
      </c>
      <c r="E64" t="str">
        <f t="shared" si="3"/>
        <v>0003</v>
      </c>
      <c r="F64">
        <f t="shared" si="4"/>
        <v>3</v>
      </c>
      <c r="G64">
        <f>HEX2DEC("02a0")</f>
        <v>672</v>
      </c>
      <c r="H64" t="s">
        <v>46</v>
      </c>
    </row>
    <row r="65" spans="1:8" x14ac:dyDescent="0.25">
      <c r="A65" t="str">
        <f t="shared" si="1"/>
        <v>00:02a3 Reset_sound_registers</v>
      </c>
      <c r="B65" t="str">
        <f t="shared" si="5"/>
        <v>Reset_sound_registers</v>
      </c>
      <c r="C65" t="str">
        <f>_xlfn.SWITCH(LEFT(H65,1),";",B65,"b",_xlfn.CONCAT(".data:",E65),"c",_xlfn.CONCAT(".code:",E65),"")</f>
        <v>Reset_sound_registers</v>
      </c>
      <c r="D65" t="str">
        <f t="shared" si="2"/>
        <v>02a3</v>
      </c>
      <c r="E65" t="str">
        <f t="shared" si="3"/>
        <v>0003</v>
      </c>
      <c r="F65">
        <f t="shared" si="4"/>
        <v>3</v>
      </c>
      <c r="G65">
        <f>HEX2DEC("02a3")</f>
        <v>675</v>
      </c>
      <c r="H65" t="s">
        <v>47</v>
      </c>
    </row>
    <row r="66" spans="1:8" x14ac:dyDescent="0.25">
      <c r="A66" t="str">
        <f t="shared" ref="A66:A129" si="6">IF(LEN(C66)&gt;0,_xlfn.CONCAT("00:",D66," ",C66),"")</f>
        <v>00:02a6 Enable_serial_i/o_&amp;_v_blank_interrupts</v>
      </c>
      <c r="B66" t="str">
        <f t="shared" si="5"/>
        <v>Enable_serial_i/o_&amp;_v_blank_interrupts</v>
      </c>
      <c r="C66" t="str">
        <f>_xlfn.SWITCH(LEFT(H66,1),";",B66,"b",_xlfn.CONCAT(".data:",E66),"c",_xlfn.CONCAT(".code:",E66),"")</f>
        <v>Enable_serial_i/o_&amp;_v_blank_interrupts</v>
      </c>
      <c r="D66" t="str">
        <f t="shared" ref="D66:D129" si="7">LOWER(DEC2HEX(G66,4))</f>
        <v>02a6</v>
      </c>
      <c r="E66" t="str">
        <f t="shared" ref="E66:E129" si="8">LOWER(DEC2HEX(F66,4))</f>
        <v>000c</v>
      </c>
      <c r="F66">
        <f t="shared" ref="F66:F129" si="9">IF(G67-G66&gt;0,G67-G66,F67)</f>
        <v>12</v>
      </c>
      <c r="G66">
        <f>HEX2DEC("02a6")</f>
        <v>678</v>
      </c>
      <c r="H66" t="s">
        <v>48</v>
      </c>
    </row>
    <row r="67" spans="1:8" x14ac:dyDescent="0.25">
      <c r="A67" t="str">
        <f t="shared" si="6"/>
        <v>00:02b2 Setup_branch_point_for_routine_at_2f8</v>
      </c>
      <c r="B67" t="str">
        <f t="shared" si="5"/>
        <v>Setup_branch_point_for_routine_at_2f8</v>
      </c>
      <c r="C67" t="str">
        <f>_xlfn.SWITCH(LEFT(H67,1),";",B67,"b",_xlfn.CONCAT(".data:",E67),"c",_xlfn.CONCAT(".code:",E67),"")</f>
        <v>Setup_branch_point_for_routine_at_2f8</v>
      </c>
      <c r="D67" t="str">
        <f t="shared" si="7"/>
        <v>02b2</v>
      </c>
      <c r="E67" t="str">
        <f t="shared" si="8"/>
        <v>0004</v>
      </c>
      <c r="F67">
        <f t="shared" si="9"/>
        <v>4</v>
      </c>
      <c r="G67">
        <f>HEX2DEC("02b2")</f>
        <v>690</v>
      </c>
      <c r="H67" t="s">
        <v>49</v>
      </c>
    </row>
    <row r="68" spans="1:8" x14ac:dyDescent="0.25">
      <c r="A68" t="str">
        <f t="shared" si="6"/>
        <v>00:02b6 Set_LCD_control_to_Operation</v>
      </c>
      <c r="B68" t="str">
        <f t="shared" si="5"/>
        <v>Set_LCD_control_to_Operation</v>
      </c>
      <c r="C68" t="str">
        <f>_xlfn.SWITCH(LEFT(H68,1),";",B68,"b",_xlfn.CONCAT(".data:",E68),"c",_xlfn.CONCAT(".code:",E68),"")</f>
        <v>Set_LCD_control_to_Operation</v>
      </c>
      <c r="D68" t="str">
        <f t="shared" si="7"/>
        <v>02b6</v>
      </c>
      <c r="E68" t="str">
        <f t="shared" si="8"/>
        <v>0006</v>
      </c>
      <c r="F68">
        <f t="shared" si="9"/>
        <v>6</v>
      </c>
      <c r="G68">
        <f>HEX2DEC("02b6")</f>
        <v>694</v>
      </c>
      <c r="H68" t="s">
        <v>32</v>
      </c>
    </row>
    <row r="69" spans="1:8" x14ac:dyDescent="0.25">
      <c r="A69" t="str">
        <f t="shared" si="6"/>
        <v>00:02bc Clear_all_interrupt_flags</v>
      </c>
      <c r="B69" t="str">
        <f t="shared" si="5"/>
        <v>Clear_all_interrupt_flags</v>
      </c>
      <c r="C69" t="str">
        <f>_xlfn.SWITCH(LEFT(H69,1),";",B69,"b",_xlfn.CONCAT(".data:",E69),"c",_xlfn.CONCAT(".code:",E69),"")</f>
        <v>Clear_all_interrupt_flags</v>
      </c>
      <c r="D69" t="str">
        <f t="shared" si="7"/>
        <v>02bc</v>
      </c>
      <c r="E69" t="str">
        <f t="shared" si="8"/>
        <v>0002</v>
      </c>
      <c r="F69">
        <f t="shared" si="9"/>
        <v>2</v>
      </c>
      <c r="G69">
        <f>HEX2DEC("02bc")</f>
        <v>700</v>
      </c>
      <c r="H69" t="s">
        <v>50</v>
      </c>
    </row>
    <row r="70" spans="1:8" x14ac:dyDescent="0.25">
      <c r="A70" t="str">
        <f t="shared" si="6"/>
        <v>00:02be Set_window_x_&amp;_y_position_to_0</v>
      </c>
      <c r="B70" t="str">
        <f t="shared" si="5"/>
        <v>Set_window_x_&amp;_y_position_to_0</v>
      </c>
      <c r="C70" t="str">
        <f>_xlfn.SWITCH(LEFT(H70,1),";",B70,"b",_xlfn.CONCAT(".data:",E70),"c",_xlfn.CONCAT(".code:",E70),"")</f>
        <v>Set_window_x_&amp;_y_position_to_0</v>
      </c>
      <c r="D70" t="str">
        <f t="shared" si="7"/>
        <v>02be</v>
      </c>
      <c r="E70" t="str">
        <f t="shared" si="8"/>
        <v>0004</v>
      </c>
      <c r="F70">
        <f t="shared" si="9"/>
        <v>4</v>
      </c>
      <c r="G70">
        <f>HEX2DEC("02be")</f>
        <v>702</v>
      </c>
      <c r="H70" t="s">
        <v>51</v>
      </c>
    </row>
    <row r="71" spans="1:8" x14ac:dyDescent="0.25">
      <c r="A71" t="str">
        <f t="shared" si="6"/>
        <v>00:02c2 Set_timer_modulo_to_0</v>
      </c>
      <c r="B71" t="str">
        <f t="shared" si="5"/>
        <v>Set_timer_modulo_to_0</v>
      </c>
      <c r="C71" t="str">
        <f>_xlfn.SWITCH(LEFT(H71,1),";",B71,"b",_xlfn.CONCAT(".data:",E71),"c",_xlfn.CONCAT(".code:",E71),"")</f>
        <v>Set_timer_modulo_to_0</v>
      </c>
      <c r="D71" t="str">
        <f t="shared" si="7"/>
        <v>02c2</v>
      </c>
      <c r="E71" t="str">
        <f t="shared" si="8"/>
        <v>0002</v>
      </c>
      <c r="F71">
        <f t="shared" si="9"/>
        <v>2</v>
      </c>
      <c r="G71">
        <f>HEX2DEC("02c2")</f>
        <v>706</v>
      </c>
      <c r="H71" t="s">
        <v>52</v>
      </c>
    </row>
    <row r="72" spans="1:8" x14ac:dyDescent="0.25">
      <c r="A72" t="str">
        <f t="shared" si="6"/>
        <v>00:02c4 Read_buttons_&amp;_return_values</v>
      </c>
      <c r="B72" t="str">
        <f t="shared" si="5"/>
        <v>Read_buttons_&amp;_return_values</v>
      </c>
      <c r="C72" t="str">
        <f>_xlfn.SWITCH(LEFT(H72,1),";",B72,"b",_xlfn.CONCAT(".data:",E72),"c",_xlfn.CONCAT(".code:",E72),"")</f>
        <v>Read_buttons_&amp;_return_values</v>
      </c>
      <c r="D72" t="str">
        <f t="shared" si="7"/>
        <v>02c4</v>
      </c>
      <c r="E72" t="str">
        <f t="shared" si="8"/>
        <v>0009</v>
      </c>
      <c r="F72">
        <f t="shared" si="9"/>
        <v>9</v>
      </c>
      <c r="G72">
        <f>HEX2DEC("02c4")</f>
        <v>708</v>
      </c>
      <c r="H72" t="s">
        <v>53</v>
      </c>
    </row>
    <row r="73" spans="1:8" x14ac:dyDescent="0.25">
      <c r="A73" t="str">
        <f t="shared" si="6"/>
        <v>00:02cd If_all_arrow_keys_are_down_at_the</v>
      </c>
      <c r="B73" t="str">
        <f t="shared" si="5"/>
        <v>If_all_arrow_keys_are_down_at_the</v>
      </c>
      <c r="C73" t="str">
        <f>_xlfn.SWITCH(LEFT(H73,1),";",B73,"b",_xlfn.CONCAT(".data:",E73),"c",_xlfn.CONCAT(".code:",E73),"")</f>
        <v>If_all_arrow_keys_are_down_at_the</v>
      </c>
      <c r="D73" t="str">
        <f t="shared" si="7"/>
        <v>02cd</v>
      </c>
      <c r="E73" t="str">
        <f t="shared" si="8"/>
        <v>0020</v>
      </c>
      <c r="F73">
        <f t="shared" si="9"/>
        <v>32</v>
      </c>
      <c r="G73">
        <f>HEX2DEC("02cd")</f>
        <v>717</v>
      </c>
      <c r="H73" t="s">
        <v>54</v>
      </c>
    </row>
    <row r="74" spans="1:8" x14ac:dyDescent="0.25">
      <c r="A74" t="str">
        <f t="shared" si="6"/>
        <v>00:02cd same_time,_then_jump_to_21b</v>
      </c>
      <c r="B74" t="str">
        <f t="shared" si="5"/>
        <v>same_time,_then_jump_to_21b</v>
      </c>
      <c r="C74" t="str">
        <f>_xlfn.SWITCH(LEFT(H74,1),";",B74,"b",_xlfn.CONCAT(".data:",E74),"c",_xlfn.CONCAT(".code:",E74),"")</f>
        <v>same_time,_then_jump_to_21b</v>
      </c>
      <c r="D74" t="str">
        <f t="shared" si="7"/>
        <v>02cd</v>
      </c>
      <c r="E74" t="str">
        <f t="shared" si="8"/>
        <v>0020</v>
      </c>
      <c r="F74">
        <f t="shared" si="9"/>
        <v>32</v>
      </c>
      <c r="G74">
        <f>HEX2DEC("02cd")</f>
        <v>717</v>
      </c>
      <c r="H74" t="s">
        <v>55</v>
      </c>
    </row>
    <row r="75" spans="1:8" x14ac:dyDescent="0.25">
      <c r="A75" t="str">
        <f t="shared" si="6"/>
        <v>00:02ed Wait_for_a_VBlank_interrupt_to_occur</v>
      </c>
      <c r="B75" t="str">
        <f t="shared" si="5"/>
        <v>Wait_for_a_VBlank_interrupt_to_occur</v>
      </c>
      <c r="C75" t="str">
        <f>_xlfn.SWITCH(LEFT(H75,1),";",B75,"b",_xlfn.CONCAT(".data:",E75),"c",_xlfn.CONCAT(".code:",E75),"")</f>
        <v>Wait_for_a_VBlank_interrupt_to_occur</v>
      </c>
      <c r="D75" t="str">
        <f t="shared" si="7"/>
        <v>02ed</v>
      </c>
      <c r="E75" t="str">
        <f t="shared" si="8"/>
        <v>007c</v>
      </c>
      <c r="F75">
        <f t="shared" si="9"/>
        <v>124</v>
      </c>
      <c r="G75">
        <f>HEX2DEC("02ed")</f>
        <v>749</v>
      </c>
      <c r="H75" t="s">
        <v>56</v>
      </c>
    </row>
    <row r="76" spans="1:8" x14ac:dyDescent="0.25">
      <c r="A76" t="str">
        <f t="shared" si="6"/>
        <v>00:0369 .code:0021</v>
      </c>
      <c r="B76" t="str">
        <f t="shared" si="5"/>
        <v/>
      </c>
      <c r="C76" t="str">
        <f>_xlfn.SWITCH(LEFT(H76,1),";",B76,"b",_xlfn.CONCAT(".data:",E76),"c",_xlfn.CONCAT(".code:",E76),"")</f>
        <v>.code:0021</v>
      </c>
      <c r="D76" t="str">
        <f t="shared" si="7"/>
        <v>0369</v>
      </c>
      <c r="E76" t="str">
        <f t="shared" si="8"/>
        <v>0021</v>
      </c>
      <c r="F76">
        <f t="shared" si="9"/>
        <v>33</v>
      </c>
      <c r="G76">
        <f>HEX2DEC("0369")</f>
        <v>873</v>
      </c>
      <c r="H76" t="s">
        <v>9</v>
      </c>
    </row>
    <row r="77" spans="1:8" x14ac:dyDescent="0.25">
      <c r="A77" t="str">
        <f t="shared" si="6"/>
        <v>00:0369 Display_credits_screen</v>
      </c>
      <c r="B77" t="str">
        <f t="shared" si="5"/>
        <v>Display_credits_screen</v>
      </c>
      <c r="C77" t="str">
        <f>_xlfn.SWITCH(LEFT(H77,1),";",B77,"b",_xlfn.CONCAT(".data:",E77),"c",_xlfn.CONCAT(".code:",E77),"")</f>
        <v>Display_credits_screen</v>
      </c>
      <c r="D77" t="str">
        <f t="shared" si="7"/>
        <v>0369</v>
      </c>
      <c r="E77" t="str">
        <f t="shared" si="8"/>
        <v>0021</v>
      </c>
      <c r="F77">
        <f t="shared" si="9"/>
        <v>33</v>
      </c>
      <c r="G77">
        <f>HEX2DEC("0369")</f>
        <v>873</v>
      </c>
      <c r="H77" t="s">
        <v>57</v>
      </c>
    </row>
    <row r="78" spans="1:8" x14ac:dyDescent="0.25">
      <c r="A78" t="str">
        <f t="shared" si="6"/>
        <v>00:038a This_is_responsible_for_the_credit_screen_ignoring_the_start</v>
      </c>
      <c r="B78" t="str">
        <f t="shared" si="5"/>
        <v>This_is_responsible_for_the_credit_screen_ignoring_the_start</v>
      </c>
      <c r="C78" t="str">
        <f>_xlfn.SWITCH(LEFT(H78,1),";",B78,"b",_xlfn.CONCAT(".data:",E78),"c",_xlfn.CONCAT(".code:",E78),"")</f>
        <v>This_is_responsible_for_the_credit_screen_ignoring_the_start</v>
      </c>
      <c r="D78" t="str">
        <f t="shared" si="7"/>
        <v>038a</v>
      </c>
      <c r="E78" t="str">
        <f t="shared" si="8"/>
        <v>0009</v>
      </c>
      <c r="F78">
        <f t="shared" si="9"/>
        <v>9</v>
      </c>
      <c r="G78">
        <f>HEX2DEC("038a")</f>
        <v>906</v>
      </c>
      <c r="H78" t="s">
        <v>58</v>
      </c>
    </row>
    <row r="79" spans="1:8" x14ac:dyDescent="0.25">
      <c r="A79" t="str">
        <f t="shared" si="6"/>
        <v>00:038a button_for_so_long._Lower_this_value_to_make_it_respond_sooner.</v>
      </c>
      <c r="B79" t="str">
        <f t="shared" si="5"/>
        <v>button_for_so_long._Lower_this_value_to_make_it_respond_sooner.</v>
      </c>
      <c r="C79" t="str">
        <f>_xlfn.SWITCH(LEFT(H79,1),";",B79,"b",_xlfn.CONCAT(".data:",E79),"c",_xlfn.CONCAT(".code:",E79),"")</f>
        <v>button_for_so_long._Lower_this_value_to_make_it_respond_sooner.</v>
      </c>
      <c r="D79" t="str">
        <f t="shared" si="7"/>
        <v>038a</v>
      </c>
      <c r="E79" t="str">
        <f t="shared" si="8"/>
        <v>0009</v>
      </c>
      <c r="F79">
        <f t="shared" si="9"/>
        <v>9</v>
      </c>
      <c r="G79">
        <f>HEX2DEC("038a")</f>
        <v>906</v>
      </c>
      <c r="H79" t="s">
        <v>59</v>
      </c>
    </row>
    <row r="80" spans="1:8" x14ac:dyDescent="0.25">
      <c r="A80" t="str">
        <f t="shared" si="6"/>
        <v>00:0393 Wait_for_initial_credit_screen_timer_to_run_out.</v>
      </c>
      <c r="B80" t="str">
        <f t="shared" si="5"/>
        <v>Wait_for_initial_credit_screen_timer_to_run_out.</v>
      </c>
      <c r="C80" t="str">
        <f>_xlfn.SWITCH(LEFT(H80,1),";",B80,"b",_xlfn.CONCAT(".data:",E80),"c",_xlfn.CONCAT(".code:",E80),"")</f>
        <v>Wait_for_initial_credit_screen_timer_to_run_out.</v>
      </c>
      <c r="D80" t="str">
        <f t="shared" si="7"/>
        <v>0393</v>
      </c>
      <c r="E80" t="str">
        <f t="shared" si="8"/>
        <v>000d</v>
      </c>
      <c r="F80">
        <f t="shared" si="9"/>
        <v>13</v>
      </c>
      <c r="G80">
        <f>HEX2DEC("0393")</f>
        <v>915</v>
      </c>
      <c r="H80" t="s">
        <v>60</v>
      </c>
    </row>
    <row r="81" spans="1:8" x14ac:dyDescent="0.25">
      <c r="A81" t="str">
        <f t="shared" si="6"/>
        <v>00:03a0 Look_for_user_pressing_a_button._If_not_found,_continue_credit</v>
      </c>
      <c r="B81" t="str">
        <f t="shared" si="5"/>
        <v>Look_for_user_pressing_a_button._If_not_found,_continue_credit</v>
      </c>
      <c r="C81" t="str">
        <f>_xlfn.SWITCH(LEFT(H81,1),";",B81,"b",_xlfn.CONCAT(".data:",E81),"c",_xlfn.CONCAT(".code:",E81),"")</f>
        <v>Look_for_user_pressing_a_button._If_not_found,_continue_credit</v>
      </c>
      <c r="D81" t="str">
        <f t="shared" si="7"/>
        <v>03a0</v>
      </c>
      <c r="E81" t="str">
        <f t="shared" si="8"/>
        <v>000e</v>
      </c>
      <c r="F81">
        <f t="shared" si="9"/>
        <v>14</v>
      </c>
      <c r="G81">
        <f>HEX2DEC("03a0")</f>
        <v>928</v>
      </c>
      <c r="H81" t="s">
        <v>61</v>
      </c>
    </row>
    <row r="82" spans="1:8" x14ac:dyDescent="0.25">
      <c r="A82" t="str">
        <f t="shared" si="6"/>
        <v>00:03a0 screen_for_another_delay_period.</v>
      </c>
      <c r="B82" t="str">
        <f t="shared" si="5"/>
        <v>screen_for_another_delay_period.</v>
      </c>
      <c r="C82" t="str">
        <f>_xlfn.SWITCH(LEFT(H82,1),";",B82,"b",_xlfn.CONCAT(".data:",E82),"c",_xlfn.CONCAT(".code:",E82),"")</f>
        <v>screen_for_another_delay_period.</v>
      </c>
      <c r="D82" t="str">
        <f t="shared" si="7"/>
        <v>03a0</v>
      </c>
      <c r="E82" t="str">
        <f t="shared" si="8"/>
        <v>000e</v>
      </c>
      <c r="F82">
        <f t="shared" si="9"/>
        <v>14</v>
      </c>
      <c r="G82">
        <f>HEX2DEC("03a0")</f>
        <v>928</v>
      </c>
      <c r="H82" t="s">
        <v>62</v>
      </c>
    </row>
    <row r="83" spans="1:8" x14ac:dyDescent="0.25">
      <c r="A83" t="str">
        <f t="shared" si="6"/>
        <v>00:03ae Display_Intro_Select_Players_Screen</v>
      </c>
      <c r="B83" t="str">
        <f t="shared" ref="B83:B146" si="10">SUBSTITUTE(TRIM(RIGHT(H83,LEN(H83)-1)), " ", "_")</f>
        <v>Display_Intro_Select_Players_Screen</v>
      </c>
      <c r="C83" t="str">
        <f>_xlfn.SWITCH(LEFT(H83,1),";",B83,"b",_xlfn.CONCAT(".data:",E83),"c",_xlfn.CONCAT(".code:",E83),"")</f>
        <v>Display_Intro_Select_Players_Screen</v>
      </c>
      <c r="D83" t="str">
        <f t="shared" si="7"/>
        <v>03ae</v>
      </c>
      <c r="E83" t="str">
        <f t="shared" si="8"/>
        <v>0071</v>
      </c>
      <c r="F83">
        <f t="shared" si="9"/>
        <v>113</v>
      </c>
      <c r="G83">
        <f>HEX2DEC("03ae")</f>
        <v>942</v>
      </c>
      <c r="H83" t="s">
        <v>63</v>
      </c>
    </row>
    <row r="84" spans="1:8" x14ac:dyDescent="0.25">
      <c r="A84" t="str">
        <f t="shared" si="6"/>
        <v>00:041f Start_demo_mode</v>
      </c>
      <c r="B84" t="str">
        <f t="shared" si="10"/>
        <v>Start_demo_mode</v>
      </c>
      <c r="C84" t="str">
        <f>_xlfn.SWITCH(LEFT(H84,1),";",B84,"b",_xlfn.CONCAT(".data:",E84),"c",_xlfn.CONCAT(".code:",E84),"")</f>
        <v>Start_demo_mode</v>
      </c>
      <c r="D84" t="str">
        <f t="shared" si="7"/>
        <v>041f</v>
      </c>
      <c r="E84" t="str">
        <f t="shared" si="8"/>
        <v>0055</v>
      </c>
      <c r="F84">
        <f t="shared" si="9"/>
        <v>85</v>
      </c>
      <c r="G84">
        <f>HEX2DEC("041f")</f>
        <v>1055</v>
      </c>
      <c r="H84" t="s">
        <v>64</v>
      </c>
    </row>
    <row r="85" spans="1:8" x14ac:dyDescent="0.25">
      <c r="A85" t="str">
        <f t="shared" si="6"/>
        <v>00:0474 This_routine_is_not_used.</v>
      </c>
      <c r="B85" t="str">
        <f t="shared" si="10"/>
        <v>This_routine_is_not_used.</v>
      </c>
      <c r="C85" t="str">
        <f>_xlfn.SWITCH(LEFT(H85,1),";",B85,"b",_xlfn.CONCAT(".data:",E85),"c",_xlfn.CONCAT(".code:",E85),"")</f>
        <v>This_routine_is_not_used.</v>
      </c>
      <c r="D85" t="str">
        <f t="shared" si="7"/>
        <v>0474</v>
      </c>
      <c r="E85" t="str">
        <f t="shared" si="8"/>
        <v>0017</v>
      </c>
      <c r="F85">
        <f t="shared" si="9"/>
        <v>23</v>
      </c>
      <c r="G85">
        <f>HEX2DEC("0474")</f>
        <v>1140</v>
      </c>
      <c r="H85" t="s">
        <v>14</v>
      </c>
    </row>
    <row r="86" spans="1:8" x14ac:dyDescent="0.25">
      <c r="A86" t="str">
        <f t="shared" si="6"/>
        <v>00:048b Send_55h_out_serial_port_using_external_clock.</v>
      </c>
      <c r="B86" t="str">
        <f t="shared" si="10"/>
        <v>Send_55h_out_serial_port_using_external_clock.</v>
      </c>
      <c r="C86" t="str">
        <f>_xlfn.SWITCH(LEFT(H86,1),";",B86,"b",_xlfn.CONCAT(".data:",E86),"c",_xlfn.CONCAT(".code:",E86),"")</f>
        <v>Send_55h_out_serial_port_using_external_clock.</v>
      </c>
      <c r="D86" t="str">
        <f t="shared" si="7"/>
        <v>048b</v>
      </c>
      <c r="E86" t="str">
        <f t="shared" si="8"/>
        <v>000d</v>
      </c>
      <c r="F86">
        <f t="shared" si="9"/>
        <v>13</v>
      </c>
      <c r="G86">
        <f>HEX2DEC("048b")</f>
        <v>1163</v>
      </c>
      <c r="H86" t="s">
        <v>65</v>
      </c>
    </row>
    <row r="87" spans="1:8" x14ac:dyDescent="0.25">
      <c r="A87" t="str">
        <f t="shared" si="6"/>
        <v>00:0498 Serial_Transfer_is_complete</v>
      </c>
      <c r="B87" t="str">
        <f t="shared" si="10"/>
        <v>Serial_Transfer_is_complete</v>
      </c>
      <c r="C87" t="str">
        <f>_xlfn.SWITCH(LEFT(H87,1),";",B87,"b",_xlfn.CONCAT(".data:",E87),"c",_xlfn.CONCAT(".code:",E87),"")</f>
        <v>Serial_Transfer_is_complete</v>
      </c>
      <c r="D87" t="str">
        <f t="shared" si="7"/>
        <v>0498</v>
      </c>
      <c r="E87" t="str">
        <f t="shared" si="8"/>
        <v>000f</v>
      </c>
      <c r="F87">
        <f t="shared" si="9"/>
        <v>15</v>
      </c>
      <c r="G87">
        <f>HEX2DEC("0498")</f>
        <v>1176</v>
      </c>
      <c r="H87" t="s">
        <v>66</v>
      </c>
    </row>
    <row r="88" spans="1:8" x14ac:dyDescent="0.25">
      <c r="A88" t="str">
        <f t="shared" si="6"/>
        <v>00:04a7 Test_for_Up_button</v>
      </c>
      <c r="B88" t="str">
        <f t="shared" si="10"/>
        <v>Test_for_Up_button</v>
      </c>
      <c r="C88" t="str">
        <f>_xlfn.SWITCH(LEFT(H88,1),";",B88,"b",_xlfn.CONCAT(".data:",E88),"c",_xlfn.CONCAT(".code:",E88),"")</f>
        <v>Test_for_Up_button</v>
      </c>
      <c r="D88" t="str">
        <f t="shared" si="7"/>
        <v>04a7</v>
      </c>
      <c r="E88" t="str">
        <f t="shared" si="8"/>
        <v>0004</v>
      </c>
      <c r="F88">
        <f t="shared" si="9"/>
        <v>4</v>
      </c>
      <c r="G88">
        <f>HEX2DEC("04a7")</f>
        <v>1191</v>
      </c>
      <c r="H88" t="s">
        <v>67</v>
      </c>
    </row>
    <row r="89" spans="1:8" x14ac:dyDescent="0.25">
      <c r="A89" t="str">
        <f t="shared" si="6"/>
        <v>00:04ab Test_for_A_button</v>
      </c>
      <c r="B89" t="str">
        <f t="shared" si="10"/>
        <v>Test_for_A_button</v>
      </c>
      <c r="C89" t="str">
        <f>_xlfn.SWITCH(LEFT(H89,1),";",B89,"b",_xlfn.CONCAT(".data:",E89),"c",_xlfn.CONCAT(".code:",E89),"")</f>
        <v>Test_for_A_button</v>
      </c>
      <c r="D89" t="str">
        <f t="shared" si="7"/>
        <v>04ab</v>
      </c>
      <c r="E89" t="str">
        <f t="shared" si="8"/>
        <v>0004</v>
      </c>
      <c r="F89">
        <f t="shared" si="9"/>
        <v>4</v>
      </c>
      <c r="G89">
        <f>HEX2DEC("04ab")</f>
        <v>1195</v>
      </c>
      <c r="H89" t="s">
        <v>68</v>
      </c>
    </row>
    <row r="90" spans="1:8" x14ac:dyDescent="0.25">
      <c r="A90" t="str">
        <f t="shared" si="6"/>
        <v>00:04af Test_for_B_button</v>
      </c>
      <c r="B90" t="str">
        <f t="shared" si="10"/>
        <v>Test_for_B_button</v>
      </c>
      <c r="C90" t="str">
        <f>_xlfn.SWITCH(LEFT(H90,1),";",B90,"b",_xlfn.CONCAT(".data:",E90),"c",_xlfn.CONCAT(".code:",E90),"")</f>
        <v>Test_for_B_button</v>
      </c>
      <c r="D90" t="str">
        <f t="shared" si="7"/>
        <v>04af</v>
      </c>
      <c r="E90" t="str">
        <f t="shared" si="8"/>
        <v>0004</v>
      </c>
      <c r="F90">
        <f t="shared" si="9"/>
        <v>4</v>
      </c>
      <c r="G90">
        <f>HEX2DEC("04af")</f>
        <v>1199</v>
      </c>
      <c r="H90" t="s">
        <v>69</v>
      </c>
    </row>
    <row r="91" spans="1:8" x14ac:dyDescent="0.25">
      <c r="A91" t="str">
        <f t="shared" si="6"/>
        <v>00:04b3 Test_for_Down_button</v>
      </c>
      <c r="B91" t="str">
        <f t="shared" si="10"/>
        <v>Test_for_Down_button</v>
      </c>
      <c r="C91" t="str">
        <f>_xlfn.SWITCH(LEFT(H91,1),";",B91,"b",_xlfn.CONCAT(".data:",E91),"c",_xlfn.CONCAT(".code:",E91),"")</f>
        <v>Test_for_Down_button</v>
      </c>
      <c r="D91" t="str">
        <f t="shared" si="7"/>
        <v>04b3</v>
      </c>
      <c r="E91" t="str">
        <f t="shared" si="8"/>
        <v>0012</v>
      </c>
      <c r="F91">
        <f t="shared" si="9"/>
        <v>18</v>
      </c>
      <c r="G91">
        <f>HEX2DEC("04b3")</f>
        <v>1203</v>
      </c>
      <c r="H91" t="s">
        <v>70</v>
      </c>
    </row>
    <row r="92" spans="1:8" x14ac:dyDescent="0.25">
      <c r="A92" t="str">
        <f t="shared" si="6"/>
        <v>00:04c5 Send_29h_out_serial_port_using_internal_clock.</v>
      </c>
      <c r="B92" t="str">
        <f t="shared" si="10"/>
        <v>Send_29h_out_serial_port_using_internal_clock.</v>
      </c>
      <c r="C92" t="str">
        <f>_xlfn.SWITCH(LEFT(H92,1),";",B92,"b",_xlfn.CONCAT(".data:",E92),"c",_xlfn.CONCAT(".code:",E92),"")</f>
        <v>Send_29h_out_serial_port_using_internal_clock.</v>
      </c>
      <c r="D92" t="str">
        <f t="shared" si="7"/>
        <v>04c5</v>
      </c>
      <c r="E92" t="str">
        <f t="shared" si="8"/>
        <v>00b8</v>
      </c>
      <c r="F92">
        <f t="shared" si="9"/>
        <v>184</v>
      </c>
      <c r="G92">
        <f>HEX2DEC("04c5")</f>
        <v>1221</v>
      </c>
      <c r="H92" t="s">
        <v>71</v>
      </c>
    </row>
    <row r="93" spans="1:8" x14ac:dyDescent="0.25">
      <c r="A93" t="str">
        <f t="shared" si="6"/>
        <v>00:057d This_routine_is_not_used.</v>
      </c>
      <c r="B93" t="str">
        <f t="shared" si="10"/>
        <v>This_routine_is_not_used.</v>
      </c>
      <c r="C93" t="str">
        <f>_xlfn.SWITCH(LEFT(H93,1),";",B93,"b",_xlfn.CONCAT(".data:",E93),"c",_xlfn.CONCAT(".code:",E93),"")</f>
        <v>This_routine_is_not_used.</v>
      </c>
      <c r="D93" t="str">
        <f t="shared" si="7"/>
        <v>057d</v>
      </c>
      <c r="E93" t="str">
        <f t="shared" si="8"/>
        <v>0005</v>
      </c>
      <c r="F93">
        <f t="shared" si="9"/>
        <v>5</v>
      </c>
      <c r="G93">
        <f>HEX2DEC("057d")</f>
        <v>1405</v>
      </c>
      <c r="H93" t="s">
        <v>14</v>
      </c>
    </row>
    <row r="94" spans="1:8" x14ac:dyDescent="0.25">
      <c r="A94" t="str">
        <f t="shared" si="6"/>
        <v>00:0582 This_instruction_is_not_used.</v>
      </c>
      <c r="B94" t="str">
        <f t="shared" si="10"/>
        <v>This_instruction_is_not_used.</v>
      </c>
      <c r="C94" t="str">
        <f>_xlfn.SWITCH(LEFT(H94,1),";",B94,"b",_xlfn.CONCAT(".data:",E94),"c",_xlfn.CONCAT(".code:",E94),"")</f>
        <v>This_instruction_is_not_used.</v>
      </c>
      <c r="D94" t="str">
        <f t="shared" si="7"/>
        <v>0582</v>
      </c>
      <c r="E94" t="str">
        <f t="shared" si="8"/>
        <v>00f5</v>
      </c>
      <c r="F94">
        <f t="shared" si="9"/>
        <v>245</v>
      </c>
      <c r="G94">
        <f>HEX2DEC("0582")</f>
        <v>1410</v>
      </c>
      <c r="H94" t="s">
        <v>72</v>
      </c>
    </row>
    <row r="95" spans="1:8" x14ac:dyDescent="0.25">
      <c r="A95" t="str">
        <f t="shared" si="6"/>
        <v>00:0677 Display_Mario_VS_Luigi_screen</v>
      </c>
      <c r="B95" t="str">
        <f t="shared" si="10"/>
        <v>Display_Mario_VS_Luigi_screen</v>
      </c>
      <c r="C95" t="str">
        <f>_xlfn.SWITCH(LEFT(H95,1),";",B95,"b",_xlfn.CONCAT(".data:",E95),"c",_xlfn.CONCAT(".code:",E95),"")</f>
        <v>Display_Mario_VS_Luigi_screen</v>
      </c>
      <c r="D95" t="str">
        <f t="shared" si="7"/>
        <v>0677</v>
      </c>
      <c r="E95" t="str">
        <f t="shared" si="8"/>
        <v>008e</v>
      </c>
      <c r="F95">
        <f t="shared" si="9"/>
        <v>142</v>
      </c>
      <c r="G95">
        <f>HEX2DEC("0677")</f>
        <v>1655</v>
      </c>
      <c r="H95" t="s">
        <v>73</v>
      </c>
    </row>
    <row r="96" spans="1:8" x14ac:dyDescent="0.25">
      <c r="A96" t="str">
        <f t="shared" si="6"/>
        <v>00:0705 .data:0020</v>
      </c>
      <c r="B96" t="str">
        <f t="shared" si="10"/>
        <v/>
      </c>
      <c r="C96" t="str">
        <f>_xlfn.SWITCH(LEFT(H96,1),";",B96,"b",_xlfn.CONCAT(".data:",E96),"c",_xlfn.CONCAT(".code:",E96),"")</f>
        <v>.data:0020</v>
      </c>
      <c r="D96" t="str">
        <f t="shared" si="7"/>
        <v>0705</v>
      </c>
      <c r="E96" t="str">
        <f t="shared" si="8"/>
        <v>0020</v>
      </c>
      <c r="F96">
        <f t="shared" si="9"/>
        <v>32</v>
      </c>
      <c r="G96">
        <f>HEX2DEC("0705")</f>
        <v>1797</v>
      </c>
      <c r="H96" t="s">
        <v>7</v>
      </c>
    </row>
    <row r="97" spans="1:8" x14ac:dyDescent="0.25">
      <c r="A97" t="str">
        <f t="shared" si="6"/>
        <v>00:0725 .code:00d1</v>
      </c>
      <c r="B97" t="str">
        <f t="shared" si="10"/>
        <v/>
      </c>
      <c r="C97" t="str">
        <f>_xlfn.SWITCH(LEFT(H97,1),";",B97,"b",_xlfn.CONCAT(".data:",E97),"c",_xlfn.CONCAT(".code:",E97),"")</f>
        <v>.code:00d1</v>
      </c>
      <c r="D97" t="str">
        <f t="shared" si="7"/>
        <v>0725</v>
      </c>
      <c r="E97" t="str">
        <f t="shared" si="8"/>
        <v>00d1</v>
      </c>
      <c r="F97">
        <f t="shared" si="9"/>
        <v>209</v>
      </c>
      <c r="G97">
        <f>HEX2DEC("0725")</f>
        <v>1829</v>
      </c>
      <c r="H97" t="s">
        <v>9</v>
      </c>
    </row>
    <row r="98" spans="1:8" x14ac:dyDescent="0.25">
      <c r="A98" t="str">
        <f t="shared" si="6"/>
        <v>00:0725 Move_a_block_of_memory</v>
      </c>
      <c r="B98" t="str">
        <f t="shared" si="10"/>
        <v>Move_a_block_of_memory</v>
      </c>
      <c r="C98" t="str">
        <f>_xlfn.SWITCH(LEFT(H98,1),";",B98,"b",_xlfn.CONCAT(".data:",E98),"c",_xlfn.CONCAT(".code:",E98),"")</f>
        <v>Move_a_block_of_memory</v>
      </c>
      <c r="D98" t="str">
        <f t="shared" si="7"/>
        <v>0725</v>
      </c>
      <c r="E98" t="str">
        <f t="shared" si="8"/>
        <v>00d1</v>
      </c>
      <c r="F98">
        <f t="shared" si="9"/>
        <v>209</v>
      </c>
      <c r="G98">
        <f>HEX2DEC("0725")</f>
        <v>1829</v>
      </c>
      <c r="H98" t="s">
        <v>74</v>
      </c>
    </row>
    <row r="99" spans="1:8" x14ac:dyDescent="0.25">
      <c r="A99" t="str">
        <f t="shared" si="6"/>
        <v>00:0725 HL_=_Start_Addr</v>
      </c>
      <c r="B99" t="str">
        <f t="shared" si="10"/>
        <v>HL_=_Start_Addr</v>
      </c>
      <c r="C99" t="str">
        <f>_xlfn.SWITCH(LEFT(H99,1),";",B99,"b",_xlfn.CONCAT(".data:",E99),"c",_xlfn.CONCAT(".code:",E99),"")</f>
        <v>HL_=_Start_Addr</v>
      </c>
      <c r="D99" t="str">
        <f t="shared" si="7"/>
        <v>0725</v>
      </c>
      <c r="E99" t="str">
        <f t="shared" si="8"/>
        <v>00d1</v>
      </c>
      <c r="F99">
        <f t="shared" si="9"/>
        <v>209</v>
      </c>
      <c r="G99">
        <f>HEX2DEC("0725")</f>
        <v>1829</v>
      </c>
      <c r="H99" t="s">
        <v>75</v>
      </c>
    </row>
    <row r="100" spans="1:8" x14ac:dyDescent="0.25">
      <c r="A100" t="str">
        <f t="shared" si="6"/>
        <v>00:0725 DE_=_End_Addr</v>
      </c>
      <c r="B100" t="str">
        <f t="shared" si="10"/>
        <v>DE_=_End_Addr</v>
      </c>
      <c r="C100" t="str">
        <f>_xlfn.SWITCH(LEFT(H100,1),";",B100,"b",_xlfn.CONCAT(".data:",E100),"c",_xlfn.CONCAT(".code:",E100),"")</f>
        <v>DE_=_End_Addr</v>
      </c>
      <c r="D100" t="str">
        <f t="shared" si="7"/>
        <v>0725</v>
      </c>
      <c r="E100" t="str">
        <f t="shared" si="8"/>
        <v>00d1</v>
      </c>
      <c r="F100">
        <f t="shared" si="9"/>
        <v>209</v>
      </c>
      <c r="G100">
        <f>HEX2DEC("0725")</f>
        <v>1829</v>
      </c>
      <c r="H100" t="s">
        <v>76</v>
      </c>
    </row>
    <row r="101" spans="1:8" x14ac:dyDescent="0.25">
      <c r="A101" t="str">
        <f t="shared" si="6"/>
        <v>00:0725 B_=_Length_of_data</v>
      </c>
      <c r="B101" t="str">
        <f t="shared" si="10"/>
        <v>B_=_Length_of_data</v>
      </c>
      <c r="C101" t="str">
        <f>_xlfn.SWITCH(LEFT(H101,1),";",B101,"b",_xlfn.CONCAT(".data:",E101),"c",_xlfn.CONCAT(".code:",E101),"")</f>
        <v>B_=_Length_of_data</v>
      </c>
      <c r="D101" t="str">
        <f t="shared" si="7"/>
        <v>0725</v>
      </c>
      <c r="E101" t="str">
        <f t="shared" si="8"/>
        <v>00d1</v>
      </c>
      <c r="F101">
        <f t="shared" si="9"/>
        <v>209</v>
      </c>
      <c r="G101">
        <f>HEX2DEC("0725")</f>
        <v>1829</v>
      </c>
      <c r="H101" t="s">
        <v>77</v>
      </c>
    </row>
    <row r="102" spans="1:8" x14ac:dyDescent="0.25">
      <c r="A102" t="str">
        <f t="shared" si="6"/>
        <v>00:07f6 .data:0018</v>
      </c>
      <c r="B102" t="str">
        <f t="shared" si="10"/>
        <v/>
      </c>
      <c r="C102" t="str">
        <f>_xlfn.SWITCH(LEFT(H102,1),";",B102,"b",_xlfn.CONCAT(".data:",E102),"c",_xlfn.CONCAT(".code:",E102),"")</f>
        <v>.data:0018</v>
      </c>
      <c r="D102" t="str">
        <f t="shared" si="7"/>
        <v>07f6</v>
      </c>
      <c r="E102" t="str">
        <f t="shared" si="8"/>
        <v>0018</v>
      </c>
      <c r="F102">
        <f t="shared" si="9"/>
        <v>24</v>
      </c>
      <c r="G102">
        <f>HEX2DEC("07f6")</f>
        <v>2038</v>
      </c>
      <c r="H102" t="s">
        <v>7</v>
      </c>
    </row>
    <row r="103" spans="1:8" x14ac:dyDescent="0.25">
      <c r="A103" t="str">
        <f t="shared" si="6"/>
        <v>00:080e .code:00b6</v>
      </c>
      <c r="B103" t="str">
        <f t="shared" si="10"/>
        <v/>
      </c>
      <c r="C103" t="str">
        <f>_xlfn.SWITCH(LEFT(H103,1),";",B103,"b",_xlfn.CONCAT(".data:",E103),"c",_xlfn.CONCAT(".code:",E103),"")</f>
        <v>.code:00b6</v>
      </c>
      <c r="D103" t="str">
        <f t="shared" si="7"/>
        <v>080e</v>
      </c>
      <c r="E103" t="str">
        <f t="shared" si="8"/>
        <v>00b6</v>
      </c>
      <c r="F103">
        <f t="shared" si="9"/>
        <v>182</v>
      </c>
      <c r="G103">
        <f>HEX2DEC("080e")</f>
        <v>2062</v>
      </c>
      <c r="H103" t="s">
        <v>9</v>
      </c>
    </row>
    <row r="104" spans="1:8" x14ac:dyDescent="0.25">
      <c r="A104" t="str">
        <f t="shared" si="6"/>
        <v>00:08c4 .data:0020</v>
      </c>
      <c r="B104" t="str">
        <f t="shared" si="10"/>
        <v/>
      </c>
      <c r="C104" t="str">
        <f>_xlfn.SWITCH(LEFT(H104,1),";",B104,"b",_xlfn.CONCAT(".data:",E104),"c",_xlfn.CONCAT(".code:",E104),"")</f>
        <v>.data:0020</v>
      </c>
      <c r="D104" t="str">
        <f t="shared" si="7"/>
        <v>08c4</v>
      </c>
      <c r="E104" t="str">
        <f t="shared" si="8"/>
        <v>0020</v>
      </c>
      <c r="F104">
        <f t="shared" si="9"/>
        <v>32</v>
      </c>
      <c r="G104">
        <f>HEX2DEC("08c4")</f>
        <v>2244</v>
      </c>
      <c r="H104" t="s">
        <v>7</v>
      </c>
    </row>
    <row r="105" spans="1:8" x14ac:dyDescent="0.25">
      <c r="A105" t="str">
        <f t="shared" si="6"/>
        <v>00:08e4 .code:01b4</v>
      </c>
      <c r="B105" t="str">
        <f t="shared" si="10"/>
        <v/>
      </c>
      <c r="C105" t="str">
        <f>_xlfn.SWITCH(LEFT(H105,1),";",B105,"b",_xlfn.CONCAT(".data:",E105),"c",_xlfn.CONCAT(".code:",E105),"")</f>
        <v>.code:01b4</v>
      </c>
      <c r="D105" t="str">
        <f t="shared" si="7"/>
        <v>08e4</v>
      </c>
      <c r="E105" t="str">
        <f t="shared" si="8"/>
        <v>01b4</v>
      </c>
      <c r="F105">
        <f t="shared" si="9"/>
        <v>436</v>
      </c>
      <c r="G105">
        <f>HEX2DEC("08e4")</f>
        <v>2276</v>
      </c>
      <c r="H105" t="s">
        <v>9</v>
      </c>
    </row>
    <row r="106" spans="1:8" x14ac:dyDescent="0.25">
      <c r="A106" t="str">
        <f t="shared" si="6"/>
        <v>00:0a98 Delay_routine_?</v>
      </c>
      <c r="B106" t="str">
        <f t="shared" si="10"/>
        <v>Delay_routine_?</v>
      </c>
      <c r="C106" t="str">
        <f>_xlfn.SWITCH(LEFT(H106,1),";",B106,"b",_xlfn.CONCAT(".data:",E106),"c",_xlfn.CONCAT(".code:",E106),"")</f>
        <v>Delay_routine_?</v>
      </c>
      <c r="D106" t="str">
        <f t="shared" si="7"/>
        <v>0a98</v>
      </c>
      <c r="E106" t="str">
        <f t="shared" si="8"/>
        <v>04a4</v>
      </c>
      <c r="F106">
        <f t="shared" si="9"/>
        <v>1188</v>
      </c>
      <c r="G106">
        <f>HEX2DEC("0a98")</f>
        <v>2712</v>
      </c>
      <c r="H106" t="s">
        <v>78</v>
      </c>
    </row>
    <row r="107" spans="1:8" x14ac:dyDescent="0.25">
      <c r="A107" t="str">
        <f t="shared" si="6"/>
        <v>00:0f3c .data:0024</v>
      </c>
      <c r="B107" t="str">
        <f t="shared" si="10"/>
        <v/>
      </c>
      <c r="C107" t="str">
        <f>_xlfn.SWITCH(LEFT(H107,1),";",B107,"b",_xlfn.CONCAT(".data:",E107),"c",_xlfn.CONCAT(".code:",E107),"")</f>
        <v>.data:0024</v>
      </c>
      <c r="D107" t="str">
        <f t="shared" si="7"/>
        <v>0f3c</v>
      </c>
      <c r="E107" t="str">
        <f t="shared" si="8"/>
        <v>0024</v>
      </c>
      <c r="F107">
        <f t="shared" si="9"/>
        <v>36</v>
      </c>
      <c r="G107">
        <f>HEX2DEC("0f3c")</f>
        <v>3900</v>
      </c>
      <c r="H107" t="s">
        <v>7</v>
      </c>
    </row>
    <row r="108" spans="1:8" x14ac:dyDescent="0.25">
      <c r="A108" t="str">
        <f t="shared" si="6"/>
        <v>00:0f60 .code:0148</v>
      </c>
      <c r="B108" t="str">
        <f t="shared" si="10"/>
        <v/>
      </c>
      <c r="C108" t="str">
        <f>_xlfn.SWITCH(LEFT(H108,1),";",B108,"b",_xlfn.CONCAT(".data:",E108),"c",_xlfn.CONCAT(".code:",E108),"")</f>
        <v>.code:0148</v>
      </c>
      <c r="D108" t="str">
        <f t="shared" si="7"/>
        <v>0f60</v>
      </c>
      <c r="E108" t="str">
        <f t="shared" si="8"/>
        <v>0148</v>
      </c>
      <c r="F108">
        <f t="shared" si="9"/>
        <v>328</v>
      </c>
      <c r="G108">
        <f>HEX2DEC("0f60")</f>
        <v>3936</v>
      </c>
      <c r="H108" t="s">
        <v>9</v>
      </c>
    </row>
    <row r="109" spans="1:8" x14ac:dyDescent="0.25">
      <c r="A109" t="str">
        <f t="shared" si="6"/>
        <v>00:10a8 The_next_3_instructions_are_not_used.</v>
      </c>
      <c r="B109" t="str">
        <f t="shared" si="10"/>
        <v>The_next_3_instructions_are_not_used.</v>
      </c>
      <c r="C109" t="str">
        <f>_xlfn.SWITCH(LEFT(H109,1),";",B109,"b",_xlfn.CONCAT(".data:",E109),"c",_xlfn.CONCAT(".code:",E109),"")</f>
        <v>The_next_3_instructions_are_not_used.</v>
      </c>
      <c r="D109" t="str">
        <f t="shared" si="7"/>
        <v>10a8</v>
      </c>
      <c r="E109" t="str">
        <f t="shared" si="8"/>
        <v>0045</v>
      </c>
      <c r="F109">
        <f t="shared" si="9"/>
        <v>69</v>
      </c>
      <c r="G109">
        <f>HEX2DEC("10a8")</f>
        <v>4264</v>
      </c>
      <c r="H109" t="s">
        <v>79</v>
      </c>
    </row>
    <row r="110" spans="1:8" x14ac:dyDescent="0.25">
      <c r="A110" t="str">
        <f t="shared" si="6"/>
        <v>00:10ed .data:0025</v>
      </c>
      <c r="B110" t="str">
        <f t="shared" si="10"/>
        <v/>
      </c>
      <c r="C110" t="str">
        <f>_xlfn.SWITCH(LEFT(H110,1),";",B110,"b",_xlfn.CONCAT(".data:",E110),"c",_xlfn.CONCAT(".code:",E110),"")</f>
        <v>.data:0025</v>
      </c>
      <c r="D110" t="str">
        <f t="shared" si="7"/>
        <v>10ed</v>
      </c>
      <c r="E110" t="str">
        <f t="shared" si="8"/>
        <v>0025</v>
      </c>
      <c r="F110">
        <f t="shared" si="9"/>
        <v>37</v>
      </c>
      <c r="G110">
        <f>HEX2DEC("10ed")</f>
        <v>4333</v>
      </c>
      <c r="H110" t="s">
        <v>7</v>
      </c>
    </row>
    <row r="111" spans="1:8" x14ac:dyDescent="0.25">
      <c r="A111" t="str">
        <f t="shared" si="6"/>
        <v>00:1112 .code:01e3</v>
      </c>
      <c r="B111" t="str">
        <f t="shared" si="10"/>
        <v/>
      </c>
      <c r="C111" t="str">
        <f>_xlfn.SWITCH(LEFT(H111,1),";",B111,"b",_xlfn.CONCAT(".data:",E111),"c",_xlfn.CONCAT(".code:",E111),"")</f>
        <v>.code:01e3</v>
      </c>
      <c r="D111" t="str">
        <f t="shared" si="7"/>
        <v>1112</v>
      </c>
      <c r="E111" t="str">
        <f t="shared" si="8"/>
        <v>01e3</v>
      </c>
      <c r="F111">
        <f t="shared" si="9"/>
        <v>483</v>
      </c>
      <c r="G111">
        <f>HEX2DEC("1112")</f>
        <v>4370</v>
      </c>
      <c r="H111" t="s">
        <v>9</v>
      </c>
    </row>
    <row r="112" spans="1:8" x14ac:dyDescent="0.25">
      <c r="A112" t="str">
        <f t="shared" si="6"/>
        <v>00:12f5 .data:0010</v>
      </c>
      <c r="B112" t="str">
        <f t="shared" si="10"/>
        <v/>
      </c>
      <c r="C112" t="str">
        <f>_xlfn.SWITCH(LEFT(H112,1),";",B112,"b",_xlfn.CONCAT(".data:",E112),"c",_xlfn.CONCAT(".code:",E112),"")</f>
        <v>.data:0010</v>
      </c>
      <c r="D112" t="str">
        <f t="shared" si="7"/>
        <v>12f5</v>
      </c>
      <c r="E112" t="str">
        <f t="shared" si="8"/>
        <v>0010</v>
      </c>
      <c r="F112">
        <f t="shared" si="9"/>
        <v>16</v>
      </c>
      <c r="G112">
        <f>HEX2DEC("12f5")</f>
        <v>4853</v>
      </c>
      <c r="H112" t="s">
        <v>7</v>
      </c>
    </row>
    <row r="113" spans="1:8" x14ac:dyDescent="0.25">
      <c r="A113" t="str">
        <f t="shared" si="6"/>
        <v>00:1305 .code:0116</v>
      </c>
      <c r="B113" t="str">
        <f t="shared" si="10"/>
        <v/>
      </c>
      <c r="C113" t="str">
        <f>_xlfn.SWITCH(LEFT(H113,1),";",B113,"b",_xlfn.CONCAT(".data:",E113),"c",_xlfn.CONCAT(".code:",E113),"")</f>
        <v>.code:0116</v>
      </c>
      <c r="D113" t="str">
        <f t="shared" si="7"/>
        <v>1305</v>
      </c>
      <c r="E113" t="str">
        <f t="shared" si="8"/>
        <v>0116</v>
      </c>
      <c r="F113">
        <f t="shared" si="9"/>
        <v>278</v>
      </c>
      <c r="G113">
        <f>HEX2DEC("1305")</f>
        <v>4869</v>
      </c>
      <c r="H113" t="s">
        <v>9</v>
      </c>
    </row>
    <row r="114" spans="1:8" x14ac:dyDescent="0.25">
      <c r="A114" t="str">
        <f t="shared" si="6"/>
        <v>00:141b .data:001c</v>
      </c>
      <c r="B114" t="str">
        <f t="shared" si="10"/>
        <v/>
      </c>
      <c r="C114" t="str">
        <f>_xlfn.SWITCH(LEFT(H114,1),";",B114,"b",_xlfn.CONCAT(".data:",E114),"c",_xlfn.CONCAT(".code:",E114),"")</f>
        <v>.data:001c</v>
      </c>
      <c r="D114" t="str">
        <f t="shared" si="7"/>
        <v>141b</v>
      </c>
      <c r="E114" t="str">
        <f t="shared" si="8"/>
        <v>001c</v>
      </c>
      <c r="F114">
        <f t="shared" si="9"/>
        <v>28</v>
      </c>
      <c r="G114">
        <f>HEX2DEC("141b")</f>
        <v>5147</v>
      </c>
      <c r="H114" t="s">
        <v>7</v>
      </c>
    </row>
    <row r="115" spans="1:8" x14ac:dyDescent="0.25">
      <c r="A115" t="str">
        <f t="shared" si="6"/>
        <v>00:1437 .code:000d</v>
      </c>
      <c r="B115" t="str">
        <f t="shared" si="10"/>
        <v/>
      </c>
      <c r="C115" t="str">
        <f>_xlfn.SWITCH(LEFT(H115,1),";",B115,"b",_xlfn.CONCAT(".data:",E115),"c",_xlfn.CONCAT(".code:",E115),"")</f>
        <v>.code:000d</v>
      </c>
      <c r="D115" t="str">
        <f t="shared" si="7"/>
        <v>1437</v>
      </c>
      <c r="E115" t="str">
        <f t="shared" si="8"/>
        <v>000d</v>
      </c>
      <c r="F115">
        <f t="shared" si="9"/>
        <v>13</v>
      </c>
      <c r="G115">
        <f>HEX2DEC("1437")</f>
        <v>5175</v>
      </c>
      <c r="H115" t="s">
        <v>9</v>
      </c>
    </row>
    <row r="116" spans="1:8" x14ac:dyDescent="0.25">
      <c r="A116" t="str">
        <f t="shared" si="6"/>
        <v>00:1444 Select_Game_&amp;_Music_Type_screen</v>
      </c>
      <c r="B116" t="str">
        <f t="shared" si="10"/>
        <v>Select_Game_&amp;_Music_Type_screen</v>
      </c>
      <c r="C116" t="str">
        <f>_xlfn.SWITCH(LEFT(H116,1),";",B116,"b",_xlfn.CONCAT(".data:",E116),"c",_xlfn.CONCAT(".code:",E116),"")</f>
        <v>Select_Game_&amp;_Music_Type_screen</v>
      </c>
      <c r="D116" t="str">
        <f t="shared" si="7"/>
        <v>1444</v>
      </c>
      <c r="E116" t="str">
        <f t="shared" si="8"/>
        <v>0064</v>
      </c>
      <c r="F116">
        <f t="shared" si="9"/>
        <v>100</v>
      </c>
      <c r="G116">
        <f>HEX2DEC("1444")</f>
        <v>5188</v>
      </c>
      <c r="H116" t="s">
        <v>80</v>
      </c>
    </row>
    <row r="117" spans="1:8" x14ac:dyDescent="0.25">
      <c r="A117" t="str">
        <f t="shared" si="6"/>
        <v>00:14a8 .data:0008</v>
      </c>
      <c r="B117" t="str">
        <f t="shared" si="10"/>
        <v/>
      </c>
      <c r="C117" t="str">
        <f>_xlfn.SWITCH(LEFT(H117,1),";",B117,"b",_xlfn.CONCAT(".data:",E117),"c",_xlfn.CONCAT(".code:",E117),"")</f>
        <v>.data:0008</v>
      </c>
      <c r="D117" t="str">
        <f t="shared" si="7"/>
        <v>14a8</v>
      </c>
      <c r="E117" t="str">
        <f t="shared" si="8"/>
        <v>0008</v>
      </c>
      <c r="F117">
        <f t="shared" si="9"/>
        <v>8</v>
      </c>
      <c r="G117">
        <f>HEX2DEC("14a8")</f>
        <v>5288</v>
      </c>
      <c r="H117" t="s">
        <v>7</v>
      </c>
    </row>
    <row r="118" spans="1:8" x14ac:dyDescent="0.25">
      <c r="A118" t="str">
        <f t="shared" si="6"/>
        <v>00:14b0 .code:00cb</v>
      </c>
      <c r="B118" t="str">
        <f t="shared" si="10"/>
        <v/>
      </c>
      <c r="C118" t="str">
        <f>_xlfn.SWITCH(LEFT(H118,1),";",B118,"b",_xlfn.CONCAT(".data:",E118),"c",_xlfn.CONCAT(".code:",E118),"")</f>
        <v>.code:00cb</v>
      </c>
      <c r="D118" t="str">
        <f t="shared" si="7"/>
        <v>14b0</v>
      </c>
      <c r="E118" t="str">
        <f t="shared" si="8"/>
        <v>00cb</v>
      </c>
      <c r="F118">
        <f t="shared" si="9"/>
        <v>203</v>
      </c>
      <c r="G118">
        <f>HEX2DEC("14b0")</f>
        <v>5296</v>
      </c>
      <c r="H118" t="s">
        <v>9</v>
      </c>
    </row>
    <row r="119" spans="1:8" x14ac:dyDescent="0.25">
      <c r="A119" t="str">
        <f t="shared" si="6"/>
        <v>00:157b Display_Type-A_Level_Select_/_Top_Score_screen</v>
      </c>
      <c r="B119" t="str">
        <f t="shared" si="10"/>
        <v>Display_Type-A_Level_Select_/_Top_Score_screen</v>
      </c>
      <c r="C119" t="str">
        <f>_xlfn.SWITCH(LEFT(H119,1),";",B119,"b",_xlfn.CONCAT(".data:",E119),"c",_xlfn.CONCAT(".code:",E119),"")</f>
        <v>Display_Type-A_Level_Select_/_Top_Score_screen</v>
      </c>
      <c r="D119" t="str">
        <f t="shared" si="7"/>
        <v>157b</v>
      </c>
      <c r="E119" t="str">
        <f t="shared" si="8"/>
        <v>009a</v>
      </c>
      <c r="F119">
        <f t="shared" si="9"/>
        <v>154</v>
      </c>
      <c r="G119">
        <f>HEX2DEC("157b")</f>
        <v>5499</v>
      </c>
      <c r="H119" t="s">
        <v>81</v>
      </c>
    </row>
    <row r="120" spans="1:8" x14ac:dyDescent="0.25">
      <c r="A120" t="str">
        <f t="shared" si="6"/>
        <v>00:1615 .data:0014</v>
      </c>
      <c r="B120" t="str">
        <f t="shared" si="10"/>
        <v/>
      </c>
      <c r="C120" t="str">
        <f>_xlfn.SWITCH(LEFT(H120,1),";",B120,"b",_xlfn.CONCAT(".data:",E120),"c",_xlfn.CONCAT(".code:",E120),"")</f>
        <v>.data:0014</v>
      </c>
      <c r="D120" t="str">
        <f t="shared" si="7"/>
        <v>1615</v>
      </c>
      <c r="E120" t="str">
        <f t="shared" si="8"/>
        <v>0014</v>
      </c>
      <c r="F120">
        <f t="shared" si="9"/>
        <v>20</v>
      </c>
      <c r="G120">
        <f>HEX2DEC("1615")</f>
        <v>5653</v>
      </c>
      <c r="H120" t="s">
        <v>7</v>
      </c>
    </row>
    <row r="121" spans="1:8" x14ac:dyDescent="0.25">
      <c r="A121" t="str">
        <f t="shared" si="6"/>
        <v>00:1629 .code:00a9</v>
      </c>
      <c r="B121" t="str">
        <f t="shared" si="10"/>
        <v/>
      </c>
      <c r="C121" t="str">
        <f>_xlfn.SWITCH(LEFT(H121,1),";",B121,"b",_xlfn.CONCAT(".data:",E121),"c",_xlfn.CONCAT(".code:",E121),"")</f>
        <v>.code:00a9</v>
      </c>
      <c r="D121" t="str">
        <f t="shared" si="7"/>
        <v>1629</v>
      </c>
      <c r="E121" t="str">
        <f t="shared" si="8"/>
        <v>00a9</v>
      </c>
      <c r="F121">
        <f t="shared" si="9"/>
        <v>169</v>
      </c>
      <c r="G121">
        <f>HEX2DEC("1629")</f>
        <v>5673</v>
      </c>
      <c r="H121" t="s">
        <v>9</v>
      </c>
    </row>
    <row r="122" spans="1:8" x14ac:dyDescent="0.25">
      <c r="A122" t="str">
        <f t="shared" si="6"/>
        <v>00:1629 Display_Type-B_Level_Select_/_High_/_Top_Score_screen</v>
      </c>
      <c r="B122" t="str">
        <f t="shared" si="10"/>
        <v>Display_Type-B_Level_Select_/_High_/_Top_Score_screen</v>
      </c>
      <c r="C122" t="str">
        <f>_xlfn.SWITCH(LEFT(H122,1),";",B122,"b",_xlfn.CONCAT(".data:",E122),"c",_xlfn.CONCAT(".code:",E122),"")</f>
        <v>Display_Type-B_Level_Select_/_High_/_Top_Score_screen</v>
      </c>
      <c r="D122" t="str">
        <f t="shared" si="7"/>
        <v>1629</v>
      </c>
      <c r="E122" t="str">
        <f t="shared" si="8"/>
        <v>00a9</v>
      </c>
      <c r="F122">
        <f t="shared" si="9"/>
        <v>169</v>
      </c>
      <c r="G122">
        <f>HEX2DEC("1629")</f>
        <v>5673</v>
      </c>
      <c r="H122" t="s">
        <v>82</v>
      </c>
    </row>
    <row r="123" spans="1:8" x14ac:dyDescent="0.25">
      <c r="A123" t="str">
        <f t="shared" si="6"/>
        <v>00:16d2 .data:0014</v>
      </c>
      <c r="B123" t="str">
        <f t="shared" si="10"/>
        <v/>
      </c>
      <c r="C123" t="str">
        <f>_xlfn.SWITCH(LEFT(H123,1),";",B123,"b",_xlfn.CONCAT(".data:",E123),"c",_xlfn.CONCAT(".code:",E123),"")</f>
        <v>.data:0014</v>
      </c>
      <c r="D123" t="str">
        <f t="shared" si="7"/>
        <v>16d2</v>
      </c>
      <c r="E123" t="str">
        <f t="shared" si="8"/>
        <v>0014</v>
      </c>
      <c r="F123">
        <f t="shared" si="9"/>
        <v>20</v>
      </c>
      <c r="G123">
        <f>HEX2DEC("16d2")</f>
        <v>5842</v>
      </c>
      <c r="H123" t="s">
        <v>7</v>
      </c>
    </row>
    <row r="124" spans="1:8" x14ac:dyDescent="0.25">
      <c r="A124" t="str">
        <f t="shared" si="6"/>
        <v>00:16e6 .code:005b</v>
      </c>
      <c r="B124" t="str">
        <f t="shared" si="10"/>
        <v/>
      </c>
      <c r="C124" t="str">
        <f>_xlfn.SWITCH(LEFT(H124,1),";",B124,"b",_xlfn.CONCAT(".data:",E124),"c",_xlfn.CONCAT(".code:",E124),"")</f>
        <v>.code:005b</v>
      </c>
      <c r="D124" t="str">
        <f t="shared" si="7"/>
        <v>16e6</v>
      </c>
      <c r="E124" t="str">
        <f t="shared" si="8"/>
        <v>005b</v>
      </c>
      <c r="F124">
        <f t="shared" si="9"/>
        <v>91</v>
      </c>
      <c r="G124">
        <f>HEX2DEC("16e6")</f>
        <v>5862</v>
      </c>
      <c r="H124" t="s">
        <v>9</v>
      </c>
    </row>
    <row r="125" spans="1:8" x14ac:dyDescent="0.25">
      <c r="A125" t="str">
        <f t="shared" si="6"/>
        <v>00:1741 .data:000d</v>
      </c>
      <c r="B125" t="str">
        <f t="shared" si="10"/>
        <v/>
      </c>
      <c r="C125" t="str">
        <f>_xlfn.SWITCH(LEFT(H125,1),";",B125,"b",_xlfn.CONCAT(".data:",E125),"c",_xlfn.CONCAT(".code:",E125),"")</f>
        <v>.data:000d</v>
      </c>
      <c r="D125" t="str">
        <f t="shared" si="7"/>
        <v>1741</v>
      </c>
      <c r="E125" t="str">
        <f t="shared" si="8"/>
        <v>000d</v>
      </c>
      <c r="F125">
        <f t="shared" si="9"/>
        <v>13</v>
      </c>
      <c r="G125">
        <f>HEX2DEC("1741")</f>
        <v>5953</v>
      </c>
      <c r="H125" t="s">
        <v>7</v>
      </c>
    </row>
    <row r="126" spans="1:8" x14ac:dyDescent="0.25">
      <c r="A126" t="str">
        <f t="shared" si="6"/>
        <v>00:174e .code:003c</v>
      </c>
      <c r="B126" t="str">
        <f t="shared" si="10"/>
        <v/>
      </c>
      <c r="C126" t="str">
        <f>_xlfn.SWITCH(LEFT(H126,1),";",B126,"b",_xlfn.CONCAT(".data:",E126),"c",_xlfn.CONCAT(".code:",E126),"")</f>
        <v>.code:003c</v>
      </c>
      <c r="D126" t="str">
        <f t="shared" si="7"/>
        <v>174e</v>
      </c>
      <c r="E126" t="str">
        <f t="shared" si="8"/>
        <v>003c</v>
      </c>
      <c r="F126">
        <f t="shared" si="9"/>
        <v>60</v>
      </c>
      <c r="G126">
        <f>HEX2DEC("174e")</f>
        <v>5966</v>
      </c>
      <c r="H126" t="s">
        <v>9</v>
      </c>
    </row>
    <row r="127" spans="1:8" x14ac:dyDescent="0.25">
      <c r="A127" t="str">
        <f t="shared" si="6"/>
        <v>00:178a Fill_c000_to_c09f_with_0</v>
      </c>
      <c r="B127" t="str">
        <f t="shared" si="10"/>
        <v>Fill_c000_to_c09f_with_0</v>
      </c>
      <c r="C127" t="str">
        <f>_xlfn.SWITCH(LEFT(H127,1),";",B127,"b",_xlfn.CONCAT(".data:",E127),"c",_xlfn.CONCAT(".code:",E127),"")</f>
        <v>Fill_c000_to_c09f_with_0</v>
      </c>
      <c r="D127" t="str">
        <f t="shared" si="7"/>
        <v>178a</v>
      </c>
      <c r="E127" t="str">
        <f t="shared" si="8"/>
        <v>027d</v>
      </c>
      <c r="F127">
        <f t="shared" si="9"/>
        <v>637</v>
      </c>
      <c r="G127">
        <f>HEX2DEC("178a")</f>
        <v>6026</v>
      </c>
      <c r="H127" t="s">
        <v>83</v>
      </c>
    </row>
    <row r="128" spans="1:8" x14ac:dyDescent="0.25">
      <c r="A128" t="str">
        <f t="shared" si="6"/>
        <v>00:1a07 Display_Falling_Blocks_screen</v>
      </c>
      <c r="B128" t="str">
        <f t="shared" si="10"/>
        <v>Display_Falling_Blocks_screen</v>
      </c>
      <c r="C128" t="str">
        <f>_xlfn.SWITCH(LEFT(H128,1),";",B128,"b",_xlfn.CONCAT(".data:",E128),"c",_xlfn.CONCAT(".code:",E128),"")</f>
        <v>Display_Falling_Blocks_screen</v>
      </c>
      <c r="D128" t="str">
        <f t="shared" si="7"/>
        <v>1a07</v>
      </c>
      <c r="E128" t="str">
        <f t="shared" si="8"/>
        <v>00ff</v>
      </c>
      <c r="F128">
        <f t="shared" si="9"/>
        <v>255</v>
      </c>
      <c r="G128">
        <f>HEX2DEC("1a07")</f>
        <v>6663</v>
      </c>
      <c r="H128" t="s">
        <v>84</v>
      </c>
    </row>
    <row r="129" spans="1:8" x14ac:dyDescent="0.25">
      <c r="A129" t="str">
        <f t="shared" si="6"/>
        <v>00:1b06 .data:0015</v>
      </c>
      <c r="B129" t="str">
        <f t="shared" si="10"/>
        <v/>
      </c>
      <c r="C129" t="str">
        <f>_xlfn.SWITCH(LEFT(H129,1),";",B129,"b",_xlfn.CONCAT(".data:",E129),"c",_xlfn.CONCAT(".code:",E129),"")</f>
        <v>.data:0015</v>
      </c>
      <c r="D129" t="str">
        <f t="shared" si="7"/>
        <v>1b06</v>
      </c>
      <c r="E129" t="str">
        <f t="shared" si="8"/>
        <v>0015</v>
      </c>
      <c r="F129">
        <f t="shared" si="9"/>
        <v>21</v>
      </c>
      <c r="G129">
        <f>HEX2DEC("1b06")</f>
        <v>6918</v>
      </c>
      <c r="H129" t="s">
        <v>7</v>
      </c>
    </row>
    <row r="130" spans="1:8" x14ac:dyDescent="0.25">
      <c r="A130" t="str">
        <f t="shared" ref="A130:A193" si="11">IF(LEN(C130)&gt;0,_xlfn.CONCAT("00:",D130," ",C130),"")</f>
        <v>00:1b1b .code:0025</v>
      </c>
      <c r="B130" t="str">
        <f t="shared" si="10"/>
        <v/>
      </c>
      <c r="C130" t="str">
        <f>_xlfn.SWITCH(LEFT(H130,1),";",B130,"b",_xlfn.CONCAT(".data:",E130),"c",_xlfn.CONCAT(".code:",E130),"")</f>
        <v>.code:0025</v>
      </c>
      <c r="D130" t="str">
        <f t="shared" ref="D130:D193" si="12">LOWER(DEC2HEX(G130,4))</f>
        <v>1b1b</v>
      </c>
      <c r="E130" t="str">
        <f t="shared" ref="E130:E193" si="13">LOWER(DEC2HEX(F130,4))</f>
        <v>0025</v>
      </c>
      <c r="F130">
        <f t="shared" ref="F130:F193" si="14">IF(G131-G130&gt;0,G131-G130,F131)</f>
        <v>37</v>
      </c>
      <c r="G130">
        <f>HEX2DEC("1b1b")</f>
        <v>6939</v>
      </c>
      <c r="H130" t="s">
        <v>9</v>
      </c>
    </row>
    <row r="131" spans="1:8" x14ac:dyDescent="0.25">
      <c r="A131" t="str">
        <f t="shared" si="11"/>
        <v>00:1b40 .data:0028</v>
      </c>
      <c r="B131" t="str">
        <f t="shared" si="10"/>
        <v/>
      </c>
      <c r="C131" t="str">
        <f>_xlfn.SWITCH(LEFT(H131,1),";",B131,"b",_xlfn.CONCAT(".data:",E131),"c",_xlfn.CONCAT(".code:",E131),"")</f>
        <v>.data:0028</v>
      </c>
      <c r="D131" t="str">
        <f t="shared" si="12"/>
        <v>1b40</v>
      </c>
      <c r="E131" t="str">
        <f t="shared" si="13"/>
        <v>0028</v>
      </c>
      <c r="F131">
        <f t="shared" si="14"/>
        <v>40</v>
      </c>
      <c r="G131">
        <f>HEX2DEC("1b40")</f>
        <v>6976</v>
      </c>
      <c r="H131" t="s">
        <v>7</v>
      </c>
    </row>
    <row r="132" spans="1:8" x14ac:dyDescent="0.25">
      <c r="A132" t="str">
        <f t="shared" si="11"/>
        <v>00:1b68 .code:0175</v>
      </c>
      <c r="B132" t="str">
        <f t="shared" si="10"/>
        <v/>
      </c>
      <c r="C132" t="str">
        <f>_xlfn.SWITCH(LEFT(H132,1),";",B132,"b",_xlfn.CONCAT(".data:",E132),"c",_xlfn.CONCAT(".code:",E132),"")</f>
        <v>.code:0175</v>
      </c>
      <c r="D132" t="str">
        <f t="shared" si="12"/>
        <v>1b68</v>
      </c>
      <c r="E132" t="str">
        <f t="shared" si="13"/>
        <v>0175</v>
      </c>
      <c r="F132">
        <f t="shared" si="14"/>
        <v>373</v>
      </c>
      <c r="G132">
        <f>HEX2DEC("1b68")</f>
        <v>7016</v>
      </c>
      <c r="H132" t="s">
        <v>9</v>
      </c>
    </row>
    <row r="133" spans="1:8" x14ac:dyDescent="0.25">
      <c r="A133" t="str">
        <f t="shared" si="11"/>
        <v>00:1cdd .data:0005</v>
      </c>
      <c r="B133" t="str">
        <f t="shared" si="10"/>
        <v/>
      </c>
      <c r="C133" t="str">
        <f>_xlfn.SWITCH(LEFT(H133,1),";",B133,"b",_xlfn.CONCAT(".data:",E133),"c",_xlfn.CONCAT(".code:",E133),"")</f>
        <v>.data:0005</v>
      </c>
      <c r="D133" t="str">
        <f t="shared" si="12"/>
        <v>1cdd</v>
      </c>
      <c r="E133" t="str">
        <f t="shared" si="13"/>
        <v>0005</v>
      </c>
      <c r="F133">
        <f t="shared" si="14"/>
        <v>5</v>
      </c>
      <c r="G133">
        <f>HEX2DEC("1cdd")</f>
        <v>7389</v>
      </c>
      <c r="H133" t="s">
        <v>7</v>
      </c>
    </row>
    <row r="134" spans="1:8" x14ac:dyDescent="0.25">
      <c r="A134" t="str">
        <f t="shared" si="11"/>
        <v>00:1ce2 .code:0983</v>
      </c>
      <c r="B134" t="str">
        <f t="shared" si="10"/>
        <v/>
      </c>
      <c r="C134" t="str">
        <f>_xlfn.SWITCH(LEFT(H134,1),";",B134,"b",_xlfn.CONCAT(".data:",E134),"c",_xlfn.CONCAT(".code:",E134),"")</f>
        <v>.code:0983</v>
      </c>
      <c r="D134" t="str">
        <f t="shared" si="12"/>
        <v>1ce2</v>
      </c>
      <c r="E134" t="str">
        <f t="shared" si="13"/>
        <v>0983</v>
      </c>
      <c r="F134">
        <f t="shared" si="14"/>
        <v>2435</v>
      </c>
      <c r="G134">
        <f>HEX2DEC("1ce2")</f>
        <v>7394</v>
      </c>
      <c r="H134" t="s">
        <v>9</v>
      </c>
    </row>
    <row r="135" spans="1:8" x14ac:dyDescent="0.25">
      <c r="A135" t="str">
        <f t="shared" si="11"/>
        <v>00:2665 This_routine_is_not_used.</v>
      </c>
      <c r="B135" t="str">
        <f t="shared" si="10"/>
        <v>This_routine_is_not_used.</v>
      </c>
      <c r="C135" t="str">
        <f>_xlfn.SWITCH(LEFT(H135,1),";",B135,"b",_xlfn.CONCAT(".data:",E135),"c",_xlfn.CONCAT(".code:",E135),"")</f>
        <v>This_routine_is_not_used.</v>
      </c>
      <c r="D135" t="str">
        <f t="shared" si="12"/>
        <v>2665</v>
      </c>
      <c r="E135" t="str">
        <f t="shared" si="13"/>
        <v>005a</v>
      </c>
      <c r="F135">
        <f t="shared" si="14"/>
        <v>90</v>
      </c>
      <c r="G135">
        <f>HEX2DEC("2665")</f>
        <v>9829</v>
      </c>
      <c r="H135" t="s">
        <v>14</v>
      </c>
    </row>
    <row r="136" spans="1:8" x14ac:dyDescent="0.25">
      <c r="A136" t="str">
        <f t="shared" si="11"/>
        <v>00:26bf .data:00d6</v>
      </c>
      <c r="B136" t="str">
        <f t="shared" si="10"/>
        <v/>
      </c>
      <c r="C136" t="str">
        <f>_xlfn.SWITCH(LEFT(H136,1),";",B136,"b",_xlfn.CONCAT(".data:",E136),"c",_xlfn.CONCAT(".code:",E136),"")</f>
        <v>.data:00d6</v>
      </c>
      <c r="D136" t="str">
        <f t="shared" si="12"/>
        <v>26bf</v>
      </c>
      <c r="E136" t="str">
        <f t="shared" si="13"/>
        <v>00d6</v>
      </c>
      <c r="F136">
        <f t="shared" si="14"/>
        <v>214</v>
      </c>
      <c r="G136">
        <f>HEX2DEC("26bf")</f>
        <v>9919</v>
      </c>
      <c r="H136" t="s">
        <v>7</v>
      </c>
    </row>
    <row r="137" spans="1:8" x14ac:dyDescent="0.25">
      <c r="A137" t="str">
        <f t="shared" si="11"/>
        <v>00:2795 .code:000f</v>
      </c>
      <c r="B137" t="str">
        <f t="shared" si="10"/>
        <v/>
      </c>
      <c r="C137" t="str">
        <f>_xlfn.SWITCH(LEFT(H137,1),";",B137,"b",_xlfn.CONCAT(".data:",E137),"c",_xlfn.CONCAT(".code:",E137),"")</f>
        <v>.code:000f</v>
      </c>
      <c r="D137" t="str">
        <f t="shared" si="12"/>
        <v>2795</v>
      </c>
      <c r="E137" t="str">
        <f t="shared" si="13"/>
        <v>000f</v>
      </c>
      <c r="F137">
        <f t="shared" si="14"/>
        <v>15</v>
      </c>
      <c r="G137">
        <f>HEX2DEC("2795")</f>
        <v>10133</v>
      </c>
      <c r="H137" t="s">
        <v>9</v>
      </c>
    </row>
    <row r="138" spans="1:8" x14ac:dyDescent="0.25">
      <c r="A138" t="str">
        <f t="shared" si="11"/>
        <v>00:2795 Fill_9800_to_9bff_with_2f</v>
      </c>
      <c r="B138" t="str">
        <f t="shared" si="10"/>
        <v>Fill_9800_to_9bff_with_2f</v>
      </c>
      <c r="C138" t="str">
        <f>_xlfn.SWITCH(LEFT(H138,1),";",B138,"b",_xlfn.CONCAT(".data:",E138),"c",_xlfn.CONCAT(".code:",E138),"")</f>
        <v>Fill_9800_to_9bff_with_2f</v>
      </c>
      <c r="D138" t="str">
        <f t="shared" si="12"/>
        <v>2795</v>
      </c>
      <c r="E138" t="str">
        <f t="shared" si="13"/>
        <v>000f</v>
      </c>
      <c r="F138">
        <f t="shared" si="14"/>
        <v>15</v>
      </c>
      <c r="G138">
        <f>HEX2DEC("2795")</f>
        <v>10133</v>
      </c>
      <c r="H138" t="s">
        <v>85</v>
      </c>
    </row>
    <row r="139" spans="1:8" x14ac:dyDescent="0.25">
      <c r="A139" t="str">
        <f t="shared" si="11"/>
        <v>00:27a4 Move_a_block_of_memory_(Same_as_z80_LDIR)</v>
      </c>
      <c r="B139" t="str">
        <f t="shared" si="10"/>
        <v>Move_a_block_of_memory_(Same_as_z80_LDIR)</v>
      </c>
      <c r="C139" t="str">
        <f>_xlfn.SWITCH(LEFT(H139,1),";",B139,"b",_xlfn.CONCAT(".data:",E139),"c",_xlfn.CONCAT(".code:",E139),"")</f>
        <v>Move_a_block_of_memory_(Same_as_z80_LDIR)</v>
      </c>
      <c r="D139" t="str">
        <f t="shared" si="12"/>
        <v>27a4</v>
      </c>
      <c r="E139" t="str">
        <f t="shared" si="13"/>
        <v>001f</v>
      </c>
      <c r="F139">
        <f t="shared" si="14"/>
        <v>31</v>
      </c>
      <c r="G139">
        <f>HEX2DEC("27a4")</f>
        <v>10148</v>
      </c>
      <c r="H139" t="s">
        <v>86</v>
      </c>
    </row>
    <row r="140" spans="1:8" x14ac:dyDescent="0.25">
      <c r="A140" t="str">
        <f t="shared" si="11"/>
        <v>00:27a4 HL_=_Start_Addr</v>
      </c>
      <c r="B140" t="str">
        <f t="shared" si="10"/>
        <v>HL_=_Start_Addr</v>
      </c>
      <c r="C140" t="str">
        <f>_xlfn.SWITCH(LEFT(H140,1),";",B140,"b",_xlfn.CONCAT(".data:",E140),"c",_xlfn.CONCAT(".code:",E140),"")</f>
        <v>HL_=_Start_Addr</v>
      </c>
      <c r="D140" t="str">
        <f t="shared" si="12"/>
        <v>27a4</v>
      </c>
      <c r="E140" t="str">
        <f t="shared" si="13"/>
        <v>001f</v>
      </c>
      <c r="F140">
        <f t="shared" si="14"/>
        <v>31</v>
      </c>
      <c r="G140">
        <f>HEX2DEC("27a4")</f>
        <v>10148</v>
      </c>
      <c r="H140" t="s">
        <v>75</v>
      </c>
    </row>
    <row r="141" spans="1:8" x14ac:dyDescent="0.25">
      <c r="A141" t="str">
        <f t="shared" si="11"/>
        <v>00:27a4 DE_=_End_Addr</v>
      </c>
      <c r="B141" t="str">
        <f t="shared" si="10"/>
        <v>DE_=_End_Addr</v>
      </c>
      <c r="C141" t="str">
        <f>_xlfn.SWITCH(LEFT(H141,1),";",B141,"b",_xlfn.CONCAT(".data:",E141),"c",_xlfn.CONCAT(".code:",E141),"")</f>
        <v>DE_=_End_Addr</v>
      </c>
      <c r="D141" t="str">
        <f t="shared" si="12"/>
        <v>27a4</v>
      </c>
      <c r="E141" t="str">
        <f t="shared" si="13"/>
        <v>001f</v>
      </c>
      <c r="F141">
        <f t="shared" si="14"/>
        <v>31</v>
      </c>
      <c r="G141">
        <f>HEX2DEC("27a4")</f>
        <v>10148</v>
      </c>
      <c r="H141" t="s">
        <v>76</v>
      </c>
    </row>
    <row r="142" spans="1:8" x14ac:dyDescent="0.25">
      <c r="A142" t="str">
        <f t="shared" si="11"/>
        <v>00:27a4 BC_=_Length_of_data</v>
      </c>
      <c r="B142" t="str">
        <f t="shared" si="10"/>
        <v>BC_=_Length_of_data</v>
      </c>
      <c r="C142" t="str">
        <f>_xlfn.SWITCH(LEFT(H142,1),";",B142,"b",_xlfn.CONCAT(".data:",E142),"c",_xlfn.CONCAT(".code:",E142),"")</f>
        <v>BC_=_Length_of_data</v>
      </c>
      <c r="D142" t="str">
        <f t="shared" si="12"/>
        <v>27a4</v>
      </c>
      <c r="E142" t="str">
        <f t="shared" si="13"/>
        <v>001f</v>
      </c>
      <c r="F142">
        <f t="shared" si="14"/>
        <v>31</v>
      </c>
      <c r="G142">
        <f>HEX2DEC("27a4")</f>
        <v>10148</v>
      </c>
      <c r="H142" t="s">
        <v>87</v>
      </c>
    </row>
    <row r="143" spans="1:8" x14ac:dyDescent="0.25">
      <c r="A143" t="str">
        <f t="shared" si="11"/>
        <v>00:27c3 Copy_characters_with_only_two_colors</v>
      </c>
      <c r="B143" t="str">
        <f t="shared" si="10"/>
        <v>Copy_characters_with_only_two_colors</v>
      </c>
      <c r="C143" t="str">
        <f>_xlfn.SWITCH(LEFT(H143,1),";",B143,"b",_xlfn.CONCAT(".data:",E143),"c",_xlfn.CONCAT(".code:",E143),"")</f>
        <v>Copy_characters_with_only_two_colors</v>
      </c>
      <c r="D143" t="str">
        <f t="shared" si="12"/>
        <v>27c3</v>
      </c>
      <c r="E143" t="str">
        <f t="shared" si="13"/>
        <v>0014</v>
      </c>
      <c r="F143">
        <f t="shared" si="14"/>
        <v>20</v>
      </c>
      <c r="G143">
        <f>HEX2DEC("27c3")</f>
        <v>10179</v>
      </c>
      <c r="H143" t="s">
        <v>88</v>
      </c>
    </row>
    <row r="144" spans="1:8" x14ac:dyDescent="0.25">
      <c r="A144" t="str">
        <f t="shared" si="11"/>
        <v>00:27d7 Copy_character_set_to_character_ram</v>
      </c>
      <c r="B144" t="str">
        <f t="shared" si="10"/>
        <v>Copy_character_set_to_character_ram</v>
      </c>
      <c r="C144" t="str">
        <f>_xlfn.SWITCH(LEFT(H144,1),";",B144,"b",_xlfn.CONCAT(".data:",E144),"c",_xlfn.CONCAT(".code:",E144),"")</f>
        <v>Copy_character_set_to_character_ram</v>
      </c>
      <c r="D144" t="str">
        <f t="shared" si="12"/>
        <v>27d7</v>
      </c>
      <c r="E144" t="str">
        <f t="shared" si="13"/>
        <v>000a</v>
      </c>
      <c r="F144">
        <f t="shared" si="14"/>
        <v>10</v>
      </c>
      <c r="G144">
        <f>HEX2DEC("27d7")</f>
        <v>10199</v>
      </c>
      <c r="H144" t="s">
        <v>89</v>
      </c>
    </row>
    <row r="145" spans="1:8" x14ac:dyDescent="0.25">
      <c r="A145" t="str">
        <f t="shared" si="11"/>
        <v>00:27e1 This_instruction_is_not_used.</v>
      </c>
      <c r="B145" t="str">
        <f t="shared" si="10"/>
        <v>This_instruction_is_not_used.</v>
      </c>
      <c r="C145" t="str">
        <f>_xlfn.SWITCH(LEFT(H145,1),";",B145,"b",_xlfn.CONCAT(".data:",E145),"c",_xlfn.CONCAT(".code:",E145),"")</f>
        <v>This_instruction_is_not_used.</v>
      </c>
      <c r="D145" t="str">
        <f t="shared" si="12"/>
        <v>27e1</v>
      </c>
      <c r="E145" t="str">
        <f t="shared" si="13"/>
        <v>000a</v>
      </c>
      <c r="F145">
        <f t="shared" si="14"/>
        <v>10</v>
      </c>
      <c r="G145">
        <f>HEX2DEC("27e1")</f>
        <v>10209</v>
      </c>
      <c r="H145" t="s">
        <v>72</v>
      </c>
    </row>
    <row r="146" spans="1:8" x14ac:dyDescent="0.25">
      <c r="A146" t="str">
        <f t="shared" si="11"/>
        <v>00:27eb Copy_a_screen_from_DE_to_screen_ram</v>
      </c>
      <c r="B146" t="str">
        <f t="shared" si="10"/>
        <v>Copy_a_screen_from_DE_to_screen_ram</v>
      </c>
      <c r="C146" t="str">
        <f>_xlfn.SWITCH(LEFT(H146,1),";",B146,"b",_xlfn.CONCAT(".data:",E146),"c",_xlfn.CONCAT(".code:",E146),"")</f>
        <v>Copy_a_screen_from_DE_to_screen_ram</v>
      </c>
      <c r="D146" t="str">
        <f t="shared" si="12"/>
        <v>27eb</v>
      </c>
      <c r="E146" t="str">
        <f t="shared" si="13"/>
        <v>0035</v>
      </c>
      <c r="F146">
        <f t="shared" si="14"/>
        <v>53</v>
      </c>
      <c r="G146">
        <f>HEX2DEC("27eb")</f>
        <v>10219</v>
      </c>
      <c r="H146" t="s">
        <v>90</v>
      </c>
    </row>
    <row r="147" spans="1:8" x14ac:dyDescent="0.25">
      <c r="A147" t="str">
        <f t="shared" si="11"/>
        <v>00:2820 Prepare_for_screen_memory_update_by_halting_LCD_controller</v>
      </c>
      <c r="B147" t="str">
        <f t="shared" ref="B147:B210" si="15">SUBSTITUTE(TRIM(RIGHT(H147,LEN(H147)-1)), " ", "_")</f>
        <v>Prepare_for_screen_memory_update_by_halting_LCD_controller</v>
      </c>
      <c r="C147" t="str">
        <f>_xlfn.SWITCH(LEFT(H147,1),";",B147,"b",_xlfn.CONCAT(".data:",E147),"c",_xlfn.CONCAT(".code:",E147),"")</f>
        <v>Prepare_for_screen_memory_update_by_halting_LCD_controller</v>
      </c>
      <c r="D147" t="str">
        <f t="shared" si="12"/>
        <v>2820</v>
      </c>
      <c r="E147" t="str">
        <f t="shared" si="13"/>
        <v>0019</v>
      </c>
      <c r="F147">
        <f t="shared" si="14"/>
        <v>25</v>
      </c>
      <c r="G147">
        <f>HEX2DEC("2820")</f>
        <v>10272</v>
      </c>
      <c r="H147" t="s">
        <v>91</v>
      </c>
    </row>
    <row r="148" spans="1:8" x14ac:dyDescent="0.25">
      <c r="A148" t="str">
        <f t="shared" si="11"/>
        <v>00:2839 .data:0180</v>
      </c>
      <c r="B148" t="str">
        <f t="shared" si="15"/>
        <v/>
      </c>
      <c r="C148" t="str">
        <f>_xlfn.SWITCH(LEFT(H148,1),";",B148,"b",_xlfn.CONCAT(".data:",E148),"c",_xlfn.CONCAT(".code:",E148),"")</f>
        <v>.data:0180</v>
      </c>
      <c r="D148" t="str">
        <f t="shared" si="12"/>
        <v>2839</v>
      </c>
      <c r="E148" t="str">
        <f t="shared" si="13"/>
        <v>0180</v>
      </c>
      <c r="F148">
        <f t="shared" si="14"/>
        <v>384</v>
      </c>
      <c r="G148">
        <f>HEX2DEC("2839")</f>
        <v>10297</v>
      </c>
      <c r="H148" t="s">
        <v>7</v>
      </c>
    </row>
    <row r="149" spans="1:8" x14ac:dyDescent="0.25">
      <c r="A149" t="str">
        <f t="shared" si="11"/>
        <v>00:2826 Disable_VBlank_interrupt</v>
      </c>
      <c r="B149" t="str">
        <f t="shared" si="15"/>
        <v>Disable_VBlank_interrupt</v>
      </c>
      <c r="C149" t="str">
        <f>_xlfn.SWITCH(LEFT(H149,1),";",B149,"b",_xlfn.CONCAT(".data:",E149),"c",_xlfn.CONCAT(".code:",E149),"")</f>
        <v>Disable_VBlank_interrupt</v>
      </c>
      <c r="D149" t="str">
        <f t="shared" si="12"/>
        <v>2826</v>
      </c>
      <c r="E149" t="str">
        <f t="shared" si="13"/>
        <v>0180</v>
      </c>
      <c r="F149">
        <f t="shared" si="14"/>
        <v>384</v>
      </c>
      <c r="G149">
        <f>HEX2DEC("2826")</f>
        <v>10278</v>
      </c>
      <c r="H149" t="s">
        <v>92</v>
      </c>
    </row>
    <row r="150" spans="1:8" x14ac:dyDescent="0.25">
      <c r="A150" t="str">
        <f t="shared" si="11"/>
        <v>00:29a6 .code:002e</v>
      </c>
      <c r="B150" t="str">
        <f t="shared" si="15"/>
        <v/>
      </c>
      <c r="C150" t="str">
        <f>_xlfn.SWITCH(LEFT(H150,1),";",B150,"b",_xlfn.CONCAT(".data:",E150),"c",_xlfn.CONCAT(".code:",E150),"")</f>
        <v>.code:002e</v>
      </c>
      <c r="D150" t="str">
        <f t="shared" si="12"/>
        <v>29a6</v>
      </c>
      <c r="E150" t="str">
        <f t="shared" si="13"/>
        <v>002e</v>
      </c>
      <c r="F150">
        <f t="shared" si="14"/>
        <v>46</v>
      </c>
      <c r="G150">
        <f>HEX2DEC("29a6")</f>
        <v>10662</v>
      </c>
      <c r="H150" t="s">
        <v>9</v>
      </c>
    </row>
    <row r="151" spans="1:8" x14ac:dyDescent="0.25">
      <c r="A151" t="str">
        <f t="shared" si="11"/>
        <v>00:29a6 Read_buttons_&amp;_return_value_at_ff81</v>
      </c>
      <c r="B151" t="str">
        <f t="shared" si="15"/>
        <v>Read_buttons_&amp;_return_value_at_ff81</v>
      </c>
      <c r="C151" t="str">
        <f>_xlfn.SWITCH(LEFT(H151,1),";",B151,"b",_xlfn.CONCAT(".data:",E151),"c",_xlfn.CONCAT(".code:",E151),"")</f>
        <v>Read_buttons_&amp;_return_value_at_ff81</v>
      </c>
      <c r="D151" t="str">
        <f t="shared" si="12"/>
        <v>29a6</v>
      </c>
      <c r="E151" t="str">
        <f t="shared" si="13"/>
        <v>002e</v>
      </c>
      <c r="F151">
        <f t="shared" si="14"/>
        <v>46</v>
      </c>
      <c r="G151">
        <f>HEX2DEC("29a6")</f>
        <v>10662</v>
      </c>
      <c r="H151" t="s">
        <v>93</v>
      </c>
    </row>
    <row r="152" spans="1:8" x14ac:dyDescent="0.25">
      <c r="A152" t="str">
        <f t="shared" si="11"/>
        <v>00:29a6 $80_-_Start_$8_-_Down</v>
      </c>
      <c r="B152" t="str">
        <f t="shared" si="15"/>
        <v>$80_-_Start_$8_-_Down</v>
      </c>
      <c r="C152" t="str">
        <f>_xlfn.SWITCH(LEFT(H152,1),";",B152,"b",_xlfn.CONCAT(".data:",E152),"c",_xlfn.CONCAT(".code:",E152),"")</f>
        <v>$80_-_Start_$8_-_Down</v>
      </c>
      <c r="D152" t="str">
        <f t="shared" si="12"/>
        <v>29a6</v>
      </c>
      <c r="E152" t="str">
        <f t="shared" si="13"/>
        <v>002e</v>
      </c>
      <c r="F152">
        <f t="shared" si="14"/>
        <v>46</v>
      </c>
      <c r="G152">
        <f>HEX2DEC("29a6")</f>
        <v>10662</v>
      </c>
      <c r="H152" t="s">
        <v>94</v>
      </c>
    </row>
    <row r="153" spans="1:8" x14ac:dyDescent="0.25">
      <c r="A153" t="str">
        <f t="shared" si="11"/>
        <v>00:29a6 $40_-_Select_$4_-_Up</v>
      </c>
      <c r="B153" t="str">
        <f t="shared" si="15"/>
        <v>$40_-_Select_$4_-_Up</v>
      </c>
      <c r="C153" t="str">
        <f>_xlfn.SWITCH(LEFT(H153,1),";",B153,"b",_xlfn.CONCAT(".data:",E153),"c",_xlfn.CONCAT(".code:",E153),"")</f>
        <v>$40_-_Select_$4_-_Up</v>
      </c>
      <c r="D153" t="str">
        <f t="shared" si="12"/>
        <v>29a6</v>
      </c>
      <c r="E153" t="str">
        <f t="shared" si="13"/>
        <v>002e</v>
      </c>
      <c r="F153">
        <f t="shared" si="14"/>
        <v>46</v>
      </c>
      <c r="G153">
        <f>HEX2DEC("29a6")</f>
        <v>10662</v>
      </c>
      <c r="H153" t="s">
        <v>95</v>
      </c>
    </row>
    <row r="154" spans="1:8" x14ac:dyDescent="0.25">
      <c r="A154" t="str">
        <f t="shared" si="11"/>
        <v>00:29a6 $20_-_B_$2_-_Left</v>
      </c>
      <c r="B154" t="str">
        <f t="shared" si="15"/>
        <v>$20_-_B_$2_-_Left</v>
      </c>
      <c r="C154" t="str">
        <f>_xlfn.SWITCH(LEFT(H154,1),";",B154,"b",_xlfn.CONCAT(".data:",E154),"c",_xlfn.CONCAT(".code:",E154),"")</f>
        <v>$20_-_B_$2_-_Left</v>
      </c>
      <c r="D154" t="str">
        <f t="shared" si="12"/>
        <v>29a6</v>
      </c>
      <c r="E154" t="str">
        <f t="shared" si="13"/>
        <v>002e</v>
      </c>
      <c r="F154">
        <f t="shared" si="14"/>
        <v>46</v>
      </c>
      <c r="G154">
        <f>HEX2DEC("29a6")</f>
        <v>10662</v>
      </c>
      <c r="H154" t="s">
        <v>96</v>
      </c>
    </row>
    <row r="155" spans="1:8" x14ac:dyDescent="0.25">
      <c r="A155" t="str">
        <f t="shared" si="11"/>
        <v>00:29a6 $10_-_A_$1_-_Right</v>
      </c>
      <c r="B155" t="str">
        <f t="shared" si="15"/>
        <v>$10_-_A_$1_-_Right</v>
      </c>
      <c r="C155" t="str">
        <f>_xlfn.SWITCH(LEFT(H155,1),";",B155,"b",_xlfn.CONCAT(".data:",E155),"c",_xlfn.CONCAT(".code:",E155),"")</f>
        <v>$10_-_A_$1_-_Right</v>
      </c>
      <c r="D155" t="str">
        <f t="shared" si="12"/>
        <v>29a6</v>
      </c>
      <c r="E155" t="str">
        <f t="shared" si="13"/>
        <v>002e</v>
      </c>
      <c r="F155">
        <f t="shared" si="14"/>
        <v>46</v>
      </c>
      <c r="G155">
        <f>HEX2DEC("29a6")</f>
        <v>10662</v>
      </c>
      <c r="H155" t="s">
        <v>97</v>
      </c>
    </row>
    <row r="156" spans="1:8" x14ac:dyDescent="0.25">
      <c r="A156" t="str">
        <f t="shared" si="11"/>
        <v>00:29d4 debounce_keys_to_minimize_errors</v>
      </c>
      <c r="B156" t="str">
        <f t="shared" si="15"/>
        <v>debounce_keys_to_minimize_errors</v>
      </c>
      <c r="C156" t="str">
        <f>_xlfn.SWITCH(LEFT(H156,1),";",B156,"b",_xlfn.CONCAT(".data:",E156),"c",_xlfn.CONCAT(".code:",E156),"")</f>
        <v>debounce_keys_to_minimize_errors</v>
      </c>
      <c r="D156" t="str">
        <f t="shared" si="12"/>
        <v>29d4</v>
      </c>
      <c r="E156" t="str">
        <f t="shared" si="13"/>
        <v>003c</v>
      </c>
      <c r="F156">
        <f t="shared" si="14"/>
        <v>60</v>
      </c>
      <c r="G156">
        <f>HEX2DEC("29d4")</f>
        <v>10708</v>
      </c>
      <c r="H156" t="s">
        <v>98</v>
      </c>
    </row>
    <row r="157" spans="1:8" x14ac:dyDescent="0.25">
      <c r="A157" t="str">
        <f t="shared" si="11"/>
        <v>00:2a10 This_routine_is_not_used.</v>
      </c>
      <c r="B157" t="str">
        <f t="shared" si="15"/>
        <v>This_routine_is_not_used.</v>
      </c>
      <c r="C157" t="str">
        <f>_xlfn.SWITCH(LEFT(H157,1),";",B157,"b",_xlfn.CONCAT(".data:",E157),"c",_xlfn.CONCAT(".code:",E157),"")</f>
        <v>This_routine_is_not_used.</v>
      </c>
      <c r="D157" t="str">
        <f t="shared" si="12"/>
        <v>2a10</v>
      </c>
      <c r="E157" t="str">
        <f t="shared" si="13"/>
        <v>006f</v>
      </c>
      <c r="F157">
        <f t="shared" si="14"/>
        <v>111</v>
      </c>
      <c r="G157">
        <f>HEX2DEC("2a10")</f>
        <v>10768</v>
      </c>
      <c r="H157" t="s">
        <v>14</v>
      </c>
    </row>
    <row r="158" spans="1:8" x14ac:dyDescent="0.25">
      <c r="A158" t="str">
        <f t="shared" si="11"/>
        <v>00:2a7f Initiate_DMA_transfer_from_c000_to_fe00</v>
      </c>
      <c r="B158" t="str">
        <f t="shared" si="15"/>
        <v>Initiate_DMA_transfer_from_c000_to_fe00</v>
      </c>
      <c r="C158" t="str">
        <f>_xlfn.SWITCH(LEFT(H158,1),";",B158,"b",_xlfn.CONCAT(".data:",E158),"c",_xlfn.CONCAT(".code:",E158),"")</f>
        <v>Initiate_DMA_transfer_from_c000_to_fe00</v>
      </c>
      <c r="D158" t="str">
        <f t="shared" si="12"/>
        <v>2a7f</v>
      </c>
      <c r="E158" t="str">
        <f t="shared" si="13"/>
        <v>02db</v>
      </c>
      <c r="F158">
        <f t="shared" si="14"/>
        <v>731</v>
      </c>
      <c r="G158">
        <f>HEX2DEC("2a7f")</f>
        <v>10879</v>
      </c>
      <c r="H158" t="s">
        <v>99</v>
      </c>
    </row>
    <row r="159" spans="1:8" x14ac:dyDescent="0.25">
      <c r="A159" t="str">
        <f t="shared" si="11"/>
        <v>00:2d5a .data:0010</v>
      </c>
      <c r="B159" t="str">
        <f t="shared" si="15"/>
        <v/>
      </c>
      <c r="C159" t="str">
        <f>_xlfn.SWITCH(LEFT(H159,1),";",B159,"b",_xlfn.CONCAT(".data:",E159),"c",_xlfn.CONCAT(".code:",E159),"")</f>
        <v>.data:0010</v>
      </c>
      <c r="D159" t="str">
        <f t="shared" si="12"/>
        <v>2d5a</v>
      </c>
      <c r="E159" t="str">
        <f t="shared" si="13"/>
        <v>0010</v>
      </c>
      <c r="F159">
        <f t="shared" si="14"/>
        <v>16</v>
      </c>
      <c r="G159">
        <f>HEX2DEC("2d5a")</f>
        <v>11610</v>
      </c>
      <c r="H159" t="s">
        <v>7</v>
      </c>
    </row>
    <row r="160" spans="1:8" x14ac:dyDescent="0.25">
      <c r="A160" t="str">
        <f t="shared" si="11"/>
        <v>00:2d6a .data:0012</v>
      </c>
      <c r="B160" t="str">
        <f t="shared" si="15"/>
        <v/>
      </c>
      <c r="C160" t="str">
        <f>_xlfn.SWITCH(LEFT(H160,1),";",B160,"b",_xlfn.CONCAT(".data:",E160),"c",_xlfn.CONCAT(".code:",E160),"")</f>
        <v>.data:0012</v>
      </c>
      <c r="D160" t="str">
        <f t="shared" si="12"/>
        <v>2d6a</v>
      </c>
      <c r="E160" t="str">
        <f t="shared" si="13"/>
        <v>0012</v>
      </c>
      <c r="F160">
        <f t="shared" si="14"/>
        <v>18</v>
      </c>
      <c r="G160">
        <f>HEX2DEC("2d6a")</f>
        <v>11626</v>
      </c>
      <c r="H160" t="s">
        <v>7</v>
      </c>
    </row>
    <row r="161" spans="1:8" x14ac:dyDescent="0.25">
      <c r="A161" t="str">
        <f t="shared" si="11"/>
        <v>00:2d7c .data:000f</v>
      </c>
      <c r="B161" t="str">
        <f t="shared" si="15"/>
        <v/>
      </c>
      <c r="C161" t="str">
        <f>_xlfn.SWITCH(LEFT(H161,1),";",B161,"b",_xlfn.CONCAT(".data:",E161),"c",_xlfn.CONCAT(".code:",E161),"")</f>
        <v>.data:000f</v>
      </c>
      <c r="D161" t="str">
        <f t="shared" si="12"/>
        <v>2d7c</v>
      </c>
      <c r="E161" t="str">
        <f t="shared" si="13"/>
        <v>000f</v>
      </c>
      <c r="F161">
        <f t="shared" si="14"/>
        <v>15</v>
      </c>
      <c r="G161">
        <f>HEX2DEC("2d7c")</f>
        <v>11644</v>
      </c>
      <c r="H161" t="s">
        <v>7</v>
      </c>
    </row>
    <row r="162" spans="1:8" x14ac:dyDescent="0.25">
      <c r="A162" t="str">
        <f t="shared" si="11"/>
        <v>00:2d8b .data:0011</v>
      </c>
      <c r="B162" t="str">
        <f t="shared" si="15"/>
        <v/>
      </c>
      <c r="C162" t="str">
        <f>_xlfn.SWITCH(LEFT(H162,1),";",B162,"b",_xlfn.CONCAT(".data:",E162),"c",_xlfn.CONCAT(".code:",E162),"")</f>
        <v>.data:0011</v>
      </c>
      <c r="D162" t="str">
        <f t="shared" si="12"/>
        <v>2d8b</v>
      </c>
      <c r="E162" t="str">
        <f t="shared" si="13"/>
        <v>0011</v>
      </c>
      <c r="F162">
        <f t="shared" si="14"/>
        <v>17</v>
      </c>
      <c r="G162">
        <f>HEX2DEC("2d8b")</f>
        <v>11659</v>
      </c>
      <c r="H162" t="s">
        <v>7</v>
      </c>
    </row>
    <row r="163" spans="1:8" x14ac:dyDescent="0.25">
      <c r="A163" t="str">
        <f t="shared" si="11"/>
        <v>00:2d9c .data:0012</v>
      </c>
      <c r="B163" t="str">
        <f t="shared" si="15"/>
        <v/>
      </c>
      <c r="C163" t="str">
        <f>_xlfn.SWITCH(LEFT(H163,1),";",B163,"b",_xlfn.CONCAT(".data:",E163),"c",_xlfn.CONCAT(".code:",E163),"")</f>
        <v>.data:0012</v>
      </c>
      <c r="D163" t="str">
        <f t="shared" si="12"/>
        <v>2d9c</v>
      </c>
      <c r="E163" t="str">
        <f t="shared" si="13"/>
        <v>0012</v>
      </c>
      <c r="F163">
        <f t="shared" si="14"/>
        <v>18</v>
      </c>
      <c r="G163">
        <f>HEX2DEC("2d9c")</f>
        <v>11676</v>
      </c>
      <c r="H163" t="s">
        <v>7</v>
      </c>
    </row>
    <row r="164" spans="1:8" x14ac:dyDescent="0.25">
      <c r="A164" t="str">
        <f t="shared" si="11"/>
        <v>00:2dae .data:0011</v>
      </c>
      <c r="B164" t="str">
        <f t="shared" si="15"/>
        <v/>
      </c>
      <c r="C164" t="str">
        <f>_xlfn.SWITCH(LEFT(H164,1),";",B164,"b",_xlfn.CONCAT(".data:",E164),"c",_xlfn.CONCAT(".code:",E164),"")</f>
        <v>.data:0011</v>
      </c>
      <c r="D164" t="str">
        <f t="shared" si="12"/>
        <v>2dae</v>
      </c>
      <c r="E164" t="str">
        <f t="shared" si="13"/>
        <v>0011</v>
      </c>
      <c r="F164">
        <f t="shared" si="14"/>
        <v>17</v>
      </c>
      <c r="G164">
        <f>HEX2DEC("2dae")</f>
        <v>11694</v>
      </c>
      <c r="H164" t="s">
        <v>7</v>
      </c>
    </row>
    <row r="165" spans="1:8" x14ac:dyDescent="0.25">
      <c r="A165" t="str">
        <f t="shared" si="11"/>
        <v>00:2dbf .data:000e</v>
      </c>
      <c r="B165" t="str">
        <f t="shared" si="15"/>
        <v/>
      </c>
      <c r="C165" t="str">
        <f>_xlfn.SWITCH(LEFT(H165,1),";",B165,"b",_xlfn.CONCAT(".data:",E165),"c",_xlfn.CONCAT(".code:",E165),"")</f>
        <v>.data:000e</v>
      </c>
      <c r="D165" t="str">
        <f t="shared" si="12"/>
        <v>2dbf</v>
      </c>
      <c r="E165" t="str">
        <f t="shared" si="13"/>
        <v>000e</v>
      </c>
      <c r="F165">
        <f t="shared" si="14"/>
        <v>14</v>
      </c>
      <c r="G165">
        <f>HEX2DEC("2dbf")</f>
        <v>11711</v>
      </c>
      <c r="H165" t="s">
        <v>7</v>
      </c>
    </row>
    <row r="166" spans="1:8" x14ac:dyDescent="0.25">
      <c r="A166" t="str">
        <f t="shared" si="11"/>
        <v>00:2dcd .data:0011</v>
      </c>
      <c r="B166" t="str">
        <f t="shared" si="15"/>
        <v/>
      </c>
      <c r="C166" t="str">
        <f>_xlfn.SWITCH(LEFT(H166,1),";",B166,"b",_xlfn.CONCAT(".data:",E166),"c",_xlfn.CONCAT(".code:",E166),"")</f>
        <v>.data:0011</v>
      </c>
      <c r="D166" t="str">
        <f t="shared" si="12"/>
        <v>2dcd</v>
      </c>
      <c r="E166" t="str">
        <f t="shared" si="13"/>
        <v>0011</v>
      </c>
      <c r="F166">
        <f t="shared" si="14"/>
        <v>17</v>
      </c>
      <c r="G166">
        <f>HEX2DEC("2dcd")</f>
        <v>11725</v>
      </c>
      <c r="H166" t="s">
        <v>7</v>
      </c>
    </row>
    <row r="167" spans="1:8" x14ac:dyDescent="0.25">
      <c r="A167" t="str">
        <f t="shared" si="11"/>
        <v>00:2dde .data:000f</v>
      </c>
      <c r="B167" t="str">
        <f t="shared" si="15"/>
        <v/>
      </c>
      <c r="C167" t="str">
        <f>_xlfn.SWITCH(LEFT(H167,1),";",B167,"b",_xlfn.CONCAT(".data:",E167),"c",_xlfn.CONCAT(".code:",E167),"")</f>
        <v>.data:000f</v>
      </c>
      <c r="D167" t="str">
        <f t="shared" si="12"/>
        <v>2dde</v>
      </c>
      <c r="E167" t="str">
        <f t="shared" si="13"/>
        <v>000f</v>
      </c>
      <c r="F167">
        <f t="shared" si="14"/>
        <v>15</v>
      </c>
      <c r="G167">
        <f>HEX2DEC("2dde")</f>
        <v>11742</v>
      </c>
      <c r="H167" t="s">
        <v>7</v>
      </c>
    </row>
    <row r="168" spans="1:8" x14ac:dyDescent="0.25">
      <c r="A168" t="str">
        <f t="shared" si="11"/>
        <v>00:2ded .data:0011</v>
      </c>
      <c r="B168" t="str">
        <f t="shared" si="15"/>
        <v/>
      </c>
      <c r="C168" t="str">
        <f>_xlfn.SWITCH(LEFT(H168,1),";",B168,"b",_xlfn.CONCAT(".data:",E168),"c",_xlfn.CONCAT(".code:",E168),"")</f>
        <v>.data:0011</v>
      </c>
      <c r="D168" t="str">
        <f t="shared" si="12"/>
        <v>2ded</v>
      </c>
      <c r="E168" t="str">
        <f t="shared" si="13"/>
        <v>0011</v>
      </c>
      <c r="F168">
        <f t="shared" si="14"/>
        <v>17</v>
      </c>
      <c r="G168">
        <f>HEX2DEC("2ded")</f>
        <v>11757</v>
      </c>
      <c r="H168" t="s">
        <v>7</v>
      </c>
    </row>
    <row r="169" spans="1:8" x14ac:dyDescent="0.25">
      <c r="A169" t="str">
        <f t="shared" si="11"/>
        <v>00:2dfe .data:000f</v>
      </c>
      <c r="B169" t="str">
        <f t="shared" si="15"/>
        <v/>
      </c>
      <c r="C169" t="str">
        <f>_xlfn.SWITCH(LEFT(H169,1),";",B169,"b",_xlfn.CONCAT(".data:",E169),"c",_xlfn.CONCAT(".code:",E169),"")</f>
        <v>.data:000f</v>
      </c>
      <c r="D169" t="str">
        <f t="shared" si="12"/>
        <v>2dfe</v>
      </c>
      <c r="E169" t="str">
        <f t="shared" si="13"/>
        <v>000f</v>
      </c>
      <c r="F169">
        <f t="shared" si="14"/>
        <v>15</v>
      </c>
      <c r="G169">
        <f>HEX2DEC("2dfe")</f>
        <v>11774</v>
      </c>
      <c r="H169" t="s">
        <v>7</v>
      </c>
    </row>
    <row r="170" spans="1:8" x14ac:dyDescent="0.25">
      <c r="A170" t="str">
        <f t="shared" si="11"/>
        <v>00:2e0d .data:0011</v>
      </c>
      <c r="B170" t="str">
        <f t="shared" si="15"/>
        <v/>
      </c>
      <c r="C170" t="str">
        <f>_xlfn.SWITCH(LEFT(H170,1),";",B170,"b",_xlfn.CONCAT(".data:",E170),"c",_xlfn.CONCAT(".code:",E170),"")</f>
        <v>.data:0011</v>
      </c>
      <c r="D170" t="str">
        <f t="shared" si="12"/>
        <v>2e0d</v>
      </c>
      <c r="E170" t="str">
        <f t="shared" si="13"/>
        <v>0011</v>
      </c>
      <c r="F170">
        <f t="shared" si="14"/>
        <v>17</v>
      </c>
      <c r="G170">
        <f>HEX2DEC("2e0d")</f>
        <v>11789</v>
      </c>
      <c r="H170" t="s">
        <v>7</v>
      </c>
    </row>
    <row r="171" spans="1:8" x14ac:dyDescent="0.25">
      <c r="A171" t="str">
        <f t="shared" si="11"/>
        <v>00:2e1e .data:0012</v>
      </c>
      <c r="B171" t="str">
        <f t="shared" si="15"/>
        <v/>
      </c>
      <c r="C171" t="str">
        <f>_xlfn.SWITCH(LEFT(H171,1),";",B171,"b",_xlfn.CONCAT(".data:",E171),"c",_xlfn.CONCAT(".code:",E171),"")</f>
        <v>.data:0012</v>
      </c>
      <c r="D171" t="str">
        <f t="shared" si="12"/>
        <v>2e1e</v>
      </c>
      <c r="E171" t="str">
        <f t="shared" si="13"/>
        <v>0012</v>
      </c>
      <c r="F171">
        <f t="shared" si="14"/>
        <v>18</v>
      </c>
      <c r="G171">
        <f>HEX2DEC("2e1e")</f>
        <v>11806</v>
      </c>
      <c r="H171" t="s">
        <v>7</v>
      </c>
    </row>
    <row r="172" spans="1:8" x14ac:dyDescent="0.25">
      <c r="A172" t="str">
        <f t="shared" si="11"/>
        <v>00:2e30 .data:0012</v>
      </c>
      <c r="B172" t="str">
        <f t="shared" si="15"/>
        <v/>
      </c>
      <c r="C172" t="str">
        <f>_xlfn.SWITCH(LEFT(H172,1),";",B172,"b",_xlfn.CONCAT(".data:",E172),"c",_xlfn.CONCAT(".code:",E172),"")</f>
        <v>.data:0012</v>
      </c>
      <c r="D172" t="str">
        <f t="shared" si="12"/>
        <v>2e30</v>
      </c>
      <c r="E172" t="str">
        <f t="shared" si="13"/>
        <v>0012</v>
      </c>
      <c r="F172">
        <f t="shared" si="14"/>
        <v>18</v>
      </c>
      <c r="G172">
        <f>HEX2DEC("2e30")</f>
        <v>11824</v>
      </c>
      <c r="H172" t="s">
        <v>7</v>
      </c>
    </row>
    <row r="173" spans="1:8" x14ac:dyDescent="0.25">
      <c r="A173" t="str">
        <f t="shared" si="11"/>
        <v>00:2e42 .data:0012</v>
      </c>
      <c r="B173" t="str">
        <f t="shared" si="15"/>
        <v/>
      </c>
      <c r="C173" t="str">
        <f>_xlfn.SWITCH(LEFT(H173,1),";",B173,"b",_xlfn.CONCAT(".data:",E173),"c",_xlfn.CONCAT(".code:",E173),"")</f>
        <v>.data:0012</v>
      </c>
      <c r="D173" t="str">
        <f t="shared" si="12"/>
        <v>2e42</v>
      </c>
      <c r="E173" t="str">
        <f t="shared" si="13"/>
        <v>0012</v>
      </c>
      <c r="F173">
        <f t="shared" si="14"/>
        <v>18</v>
      </c>
      <c r="G173">
        <f>HEX2DEC("2e42")</f>
        <v>11842</v>
      </c>
      <c r="H173" t="s">
        <v>7</v>
      </c>
    </row>
    <row r="174" spans="1:8" x14ac:dyDescent="0.25">
      <c r="A174" t="str">
        <f t="shared" si="11"/>
        <v>00:2e54 .data:0012</v>
      </c>
      <c r="B174" t="str">
        <f t="shared" si="15"/>
        <v/>
      </c>
      <c r="C174" t="str">
        <f>_xlfn.SWITCH(LEFT(H174,1),";",B174,"b",_xlfn.CONCAT(".data:",E174),"c",_xlfn.CONCAT(".code:",E174),"")</f>
        <v>.data:0012</v>
      </c>
      <c r="D174" t="str">
        <f t="shared" si="12"/>
        <v>2e54</v>
      </c>
      <c r="E174" t="str">
        <f t="shared" si="13"/>
        <v>0012</v>
      </c>
      <c r="F174">
        <f t="shared" si="14"/>
        <v>18</v>
      </c>
      <c r="G174">
        <f>HEX2DEC("2e54")</f>
        <v>11860</v>
      </c>
      <c r="H174" t="s">
        <v>7</v>
      </c>
    </row>
    <row r="175" spans="1:8" x14ac:dyDescent="0.25">
      <c r="A175" t="str">
        <f t="shared" si="11"/>
        <v>00:2e66 .data:0012</v>
      </c>
      <c r="B175" t="str">
        <f t="shared" si="15"/>
        <v/>
      </c>
      <c r="C175" t="str">
        <f>_xlfn.SWITCH(LEFT(H175,1),";",B175,"b",_xlfn.CONCAT(".data:",E175),"c",_xlfn.CONCAT(".code:",E175),"")</f>
        <v>.data:0012</v>
      </c>
      <c r="D175" t="str">
        <f t="shared" si="12"/>
        <v>2e66</v>
      </c>
      <c r="E175" t="str">
        <f t="shared" si="13"/>
        <v>0012</v>
      </c>
      <c r="F175">
        <f t="shared" si="14"/>
        <v>18</v>
      </c>
      <c r="G175">
        <f>HEX2DEC("2e66")</f>
        <v>11878</v>
      </c>
      <c r="H175" t="s">
        <v>7</v>
      </c>
    </row>
    <row r="176" spans="1:8" x14ac:dyDescent="0.25">
      <c r="A176" t="str">
        <f t="shared" si="11"/>
        <v>00:2e78 .data:0010</v>
      </c>
      <c r="B176" t="str">
        <f t="shared" si="15"/>
        <v/>
      </c>
      <c r="C176" t="str">
        <f>_xlfn.SWITCH(LEFT(H176,1),";",B176,"b",_xlfn.CONCAT(".data:",E176),"c",_xlfn.CONCAT(".code:",E176),"")</f>
        <v>.data:0010</v>
      </c>
      <c r="D176" t="str">
        <f t="shared" si="12"/>
        <v>2e78</v>
      </c>
      <c r="E176" t="str">
        <f t="shared" si="13"/>
        <v>0010</v>
      </c>
      <c r="F176">
        <f t="shared" si="14"/>
        <v>16</v>
      </c>
      <c r="G176">
        <f>HEX2DEC("2e78")</f>
        <v>11896</v>
      </c>
      <c r="H176" t="s">
        <v>7</v>
      </c>
    </row>
    <row r="177" spans="1:8" x14ac:dyDescent="0.25">
      <c r="A177" t="str">
        <f t="shared" si="11"/>
        <v>00:2e88 .data:0012</v>
      </c>
      <c r="B177" t="str">
        <f t="shared" si="15"/>
        <v/>
      </c>
      <c r="C177" t="str">
        <f>_xlfn.SWITCH(LEFT(H177,1),";",B177,"b",_xlfn.CONCAT(".data:",E177),"c",_xlfn.CONCAT(".code:",E177),"")</f>
        <v>.data:0012</v>
      </c>
      <c r="D177" t="str">
        <f t="shared" si="12"/>
        <v>2e88</v>
      </c>
      <c r="E177" t="str">
        <f t="shared" si="13"/>
        <v>0012</v>
      </c>
      <c r="F177">
        <f t="shared" si="14"/>
        <v>18</v>
      </c>
      <c r="G177">
        <f>HEX2DEC("2e88")</f>
        <v>11912</v>
      </c>
      <c r="H177" t="s">
        <v>7</v>
      </c>
    </row>
    <row r="178" spans="1:8" x14ac:dyDescent="0.25">
      <c r="A178" t="str">
        <f t="shared" si="11"/>
        <v>00:2e9a .data:0010</v>
      </c>
      <c r="B178" t="str">
        <f t="shared" si="15"/>
        <v/>
      </c>
      <c r="C178" t="str">
        <f>_xlfn.SWITCH(LEFT(H178,1),";",B178,"b",_xlfn.CONCAT(".data:",E178),"c",_xlfn.CONCAT(".code:",E178),"")</f>
        <v>.data:0010</v>
      </c>
      <c r="D178" t="str">
        <f t="shared" si="12"/>
        <v>2e9a</v>
      </c>
      <c r="E178" t="str">
        <f t="shared" si="13"/>
        <v>0010</v>
      </c>
      <c r="F178">
        <f t="shared" si="14"/>
        <v>16</v>
      </c>
      <c r="G178">
        <f>HEX2DEC("2e9a")</f>
        <v>11930</v>
      </c>
      <c r="H178" t="s">
        <v>7</v>
      </c>
    </row>
    <row r="179" spans="1:8" x14ac:dyDescent="0.25">
      <c r="A179" t="str">
        <f t="shared" si="11"/>
        <v>00:2eaa .data:0011</v>
      </c>
      <c r="B179" t="str">
        <f t="shared" si="15"/>
        <v/>
      </c>
      <c r="C179" t="str">
        <f>_xlfn.SWITCH(LEFT(H179,1),";",B179,"b",_xlfn.CONCAT(".data:",E179),"c",_xlfn.CONCAT(".code:",E179),"")</f>
        <v>.data:0011</v>
      </c>
      <c r="D179" t="str">
        <f t="shared" si="12"/>
        <v>2eaa</v>
      </c>
      <c r="E179" t="str">
        <f t="shared" si="13"/>
        <v>0011</v>
      </c>
      <c r="F179">
        <f t="shared" si="14"/>
        <v>17</v>
      </c>
      <c r="G179">
        <f>HEX2DEC("2eaa")</f>
        <v>11946</v>
      </c>
      <c r="H179" t="s">
        <v>7</v>
      </c>
    </row>
    <row r="180" spans="1:8" x14ac:dyDescent="0.25">
      <c r="A180" t="str">
        <f t="shared" si="11"/>
        <v>00:2ebb .data:0011</v>
      </c>
      <c r="B180" t="str">
        <f t="shared" si="15"/>
        <v/>
      </c>
      <c r="C180" t="str">
        <f>_xlfn.SWITCH(LEFT(H180,1),";",B180,"b",_xlfn.CONCAT(".data:",E180),"c",_xlfn.CONCAT(".code:",E180),"")</f>
        <v>.data:0011</v>
      </c>
      <c r="D180" t="str">
        <f t="shared" si="12"/>
        <v>2ebb</v>
      </c>
      <c r="E180" t="str">
        <f t="shared" si="13"/>
        <v>0011</v>
      </c>
      <c r="F180">
        <f t="shared" si="14"/>
        <v>17</v>
      </c>
      <c r="G180">
        <f>HEX2DEC("2ebb")</f>
        <v>11963</v>
      </c>
      <c r="H180" t="s">
        <v>7</v>
      </c>
    </row>
    <row r="181" spans="1:8" x14ac:dyDescent="0.25">
      <c r="A181" t="str">
        <f t="shared" si="11"/>
        <v>00:2ecc .data:0011</v>
      </c>
      <c r="B181" t="str">
        <f t="shared" si="15"/>
        <v/>
      </c>
      <c r="C181" t="str">
        <f>_xlfn.SWITCH(LEFT(H181,1),";",B181,"b",_xlfn.CONCAT(".data:",E181),"c",_xlfn.CONCAT(".code:",E181),"")</f>
        <v>.data:0011</v>
      </c>
      <c r="D181" t="str">
        <f t="shared" si="12"/>
        <v>2ecc</v>
      </c>
      <c r="E181" t="str">
        <f t="shared" si="13"/>
        <v>0011</v>
      </c>
      <c r="F181">
        <f t="shared" si="14"/>
        <v>17</v>
      </c>
      <c r="G181">
        <f>HEX2DEC("2ecc")</f>
        <v>11980</v>
      </c>
      <c r="H181" t="s">
        <v>7</v>
      </c>
    </row>
    <row r="182" spans="1:8" x14ac:dyDescent="0.25">
      <c r="A182" t="str">
        <f t="shared" si="11"/>
        <v>00:2edd .data:0011</v>
      </c>
      <c r="B182" t="str">
        <f t="shared" si="15"/>
        <v/>
      </c>
      <c r="C182" t="str">
        <f>_xlfn.SWITCH(LEFT(H182,1),";",B182,"b",_xlfn.CONCAT(".data:",E182),"c",_xlfn.CONCAT(".code:",E182),"")</f>
        <v>.data:0011</v>
      </c>
      <c r="D182" t="str">
        <f t="shared" si="12"/>
        <v>2edd</v>
      </c>
      <c r="E182" t="str">
        <f t="shared" si="13"/>
        <v>0011</v>
      </c>
      <c r="F182">
        <f t="shared" si="14"/>
        <v>17</v>
      </c>
      <c r="G182">
        <f>HEX2DEC("2edd")</f>
        <v>11997</v>
      </c>
      <c r="H182" t="s">
        <v>7</v>
      </c>
    </row>
    <row r="183" spans="1:8" x14ac:dyDescent="0.25">
      <c r="A183" t="str">
        <f t="shared" si="11"/>
        <v>00:2eee .data:000e</v>
      </c>
      <c r="B183" t="str">
        <f t="shared" si="15"/>
        <v/>
      </c>
      <c r="C183" t="str">
        <f>_xlfn.SWITCH(LEFT(H183,1),";",B183,"b",_xlfn.CONCAT(".data:",E183),"c",_xlfn.CONCAT(".code:",E183),"")</f>
        <v>.data:000e</v>
      </c>
      <c r="D183" t="str">
        <f t="shared" si="12"/>
        <v>2eee</v>
      </c>
      <c r="E183" t="str">
        <f t="shared" si="13"/>
        <v>000e</v>
      </c>
      <c r="F183">
        <f t="shared" si="14"/>
        <v>14</v>
      </c>
      <c r="G183">
        <f>HEX2DEC("2eee")</f>
        <v>12014</v>
      </c>
      <c r="H183" t="s">
        <v>7</v>
      </c>
    </row>
    <row r="184" spans="1:8" x14ac:dyDescent="0.25">
      <c r="A184" t="str">
        <f t="shared" si="11"/>
        <v>00:2efc .data:0011</v>
      </c>
      <c r="B184" t="str">
        <f t="shared" si="15"/>
        <v/>
      </c>
      <c r="C184" t="str">
        <f>_xlfn.SWITCH(LEFT(H184,1),";",B184,"b",_xlfn.CONCAT(".data:",E184),"c",_xlfn.CONCAT(".code:",E184),"")</f>
        <v>.data:0011</v>
      </c>
      <c r="D184" t="str">
        <f t="shared" si="12"/>
        <v>2efc</v>
      </c>
      <c r="E184" t="str">
        <f t="shared" si="13"/>
        <v>0011</v>
      </c>
      <c r="F184">
        <f t="shared" si="14"/>
        <v>17</v>
      </c>
      <c r="G184">
        <f>HEX2DEC("2efc")</f>
        <v>12028</v>
      </c>
      <c r="H184" t="s">
        <v>7</v>
      </c>
    </row>
    <row r="185" spans="1:8" x14ac:dyDescent="0.25">
      <c r="A185" t="str">
        <f t="shared" si="11"/>
        <v>00:2f0d .data:0011</v>
      </c>
      <c r="B185" t="str">
        <f t="shared" si="15"/>
        <v/>
      </c>
      <c r="C185" t="str">
        <f>_xlfn.SWITCH(LEFT(H185,1),";",B185,"b",_xlfn.CONCAT(".data:",E185),"c",_xlfn.CONCAT(".code:",E185),"")</f>
        <v>.data:0011</v>
      </c>
      <c r="D185" t="str">
        <f t="shared" si="12"/>
        <v>2f0d</v>
      </c>
      <c r="E185" t="str">
        <f t="shared" si="13"/>
        <v>0011</v>
      </c>
      <c r="F185">
        <f t="shared" si="14"/>
        <v>17</v>
      </c>
      <c r="G185">
        <f>HEX2DEC("2f0d")</f>
        <v>12045</v>
      </c>
      <c r="H185" t="s">
        <v>7</v>
      </c>
    </row>
    <row r="186" spans="1:8" x14ac:dyDescent="0.25">
      <c r="A186" t="str">
        <f t="shared" si="11"/>
        <v>00:2f1e .data:0011</v>
      </c>
      <c r="B186" t="str">
        <f t="shared" si="15"/>
        <v/>
      </c>
      <c r="C186" t="str">
        <f>_xlfn.SWITCH(LEFT(H186,1),";",B186,"b",_xlfn.CONCAT(".data:",E186),"c",_xlfn.CONCAT(".code:",E186),"")</f>
        <v>.data:0011</v>
      </c>
      <c r="D186" t="str">
        <f t="shared" si="12"/>
        <v>2f1e</v>
      </c>
      <c r="E186" t="str">
        <f t="shared" si="13"/>
        <v>0011</v>
      </c>
      <c r="F186">
        <f t="shared" si="14"/>
        <v>17</v>
      </c>
      <c r="G186">
        <f>HEX2DEC("2f1e")</f>
        <v>12062</v>
      </c>
      <c r="H186" t="s">
        <v>7</v>
      </c>
    </row>
    <row r="187" spans="1:8" x14ac:dyDescent="0.25">
      <c r="A187" t="str">
        <f t="shared" si="11"/>
        <v>00:2f2f .data:0009</v>
      </c>
      <c r="B187" t="str">
        <f t="shared" si="15"/>
        <v/>
      </c>
      <c r="C187" t="str">
        <f>_xlfn.SWITCH(LEFT(H187,1),";",B187,"b",_xlfn.CONCAT(".data:",E187),"c",_xlfn.CONCAT(".code:",E187),"")</f>
        <v>.data:0009</v>
      </c>
      <c r="D187" t="str">
        <f t="shared" si="12"/>
        <v>2f2f</v>
      </c>
      <c r="E187" t="str">
        <f t="shared" si="13"/>
        <v>0009</v>
      </c>
      <c r="F187">
        <f t="shared" si="14"/>
        <v>9</v>
      </c>
      <c r="G187">
        <f>HEX2DEC("2f2f")</f>
        <v>12079</v>
      </c>
      <c r="H187" t="s">
        <v>7</v>
      </c>
    </row>
    <row r="188" spans="1:8" x14ac:dyDescent="0.25">
      <c r="A188" t="str">
        <f t="shared" si="11"/>
        <v>00:2f38 .data:0009</v>
      </c>
      <c r="B188" t="str">
        <f t="shared" si="15"/>
        <v/>
      </c>
      <c r="C188" t="str">
        <f>_xlfn.SWITCH(LEFT(H188,1),";",B188,"b",_xlfn.CONCAT(".data:",E188),"c",_xlfn.CONCAT(".code:",E188),"")</f>
        <v>.data:0009</v>
      </c>
      <c r="D188" t="str">
        <f t="shared" si="12"/>
        <v>2f38</v>
      </c>
      <c r="E188" t="str">
        <f t="shared" si="13"/>
        <v>0009</v>
      </c>
      <c r="F188">
        <f t="shared" si="14"/>
        <v>9</v>
      </c>
      <c r="G188">
        <f>HEX2DEC("2f38")</f>
        <v>12088</v>
      </c>
      <c r="H188" t="s">
        <v>7</v>
      </c>
    </row>
    <row r="189" spans="1:8" x14ac:dyDescent="0.25">
      <c r="A189" t="str">
        <f t="shared" si="11"/>
        <v>00:2f41 .data:0009</v>
      </c>
      <c r="B189" t="str">
        <f t="shared" si="15"/>
        <v/>
      </c>
      <c r="C189" t="str">
        <f>_xlfn.SWITCH(LEFT(H189,1),";",B189,"b",_xlfn.CONCAT(".data:",E189),"c",_xlfn.CONCAT(".code:",E189),"")</f>
        <v>.data:0009</v>
      </c>
      <c r="D189" t="str">
        <f t="shared" si="12"/>
        <v>2f41</v>
      </c>
      <c r="E189" t="str">
        <f t="shared" si="13"/>
        <v>0009</v>
      </c>
      <c r="F189">
        <f t="shared" si="14"/>
        <v>9</v>
      </c>
      <c r="G189">
        <f>HEX2DEC("2f41")</f>
        <v>12097</v>
      </c>
      <c r="H189" t="s">
        <v>7</v>
      </c>
    </row>
    <row r="190" spans="1:8" x14ac:dyDescent="0.25">
      <c r="A190" t="str">
        <f t="shared" si="11"/>
        <v>00:2f4a .data:0009</v>
      </c>
      <c r="B190" t="str">
        <f t="shared" si="15"/>
        <v/>
      </c>
      <c r="C190" t="str">
        <f>_xlfn.SWITCH(LEFT(H190,1),";",B190,"b",_xlfn.CONCAT(".data:",E190),"c",_xlfn.CONCAT(".code:",E190),"")</f>
        <v>.data:0009</v>
      </c>
      <c r="D190" t="str">
        <f t="shared" si="12"/>
        <v>2f4a</v>
      </c>
      <c r="E190" t="str">
        <f t="shared" si="13"/>
        <v>0009</v>
      </c>
      <c r="F190">
        <f t="shared" si="14"/>
        <v>9</v>
      </c>
      <c r="G190">
        <f>HEX2DEC("2f4a")</f>
        <v>12106</v>
      </c>
      <c r="H190" t="s">
        <v>7</v>
      </c>
    </row>
    <row r="191" spans="1:8" x14ac:dyDescent="0.25">
      <c r="A191" t="str">
        <f t="shared" si="11"/>
        <v>00:2f53 .data:0004</v>
      </c>
      <c r="B191" t="str">
        <f t="shared" si="15"/>
        <v/>
      </c>
      <c r="C191" t="str">
        <f>_xlfn.SWITCH(LEFT(H191,1),";",B191,"b",_xlfn.CONCAT(".data:",E191),"c",_xlfn.CONCAT(".code:",E191),"")</f>
        <v>.data:0004</v>
      </c>
      <c r="D191" t="str">
        <f t="shared" si="12"/>
        <v>2f53</v>
      </c>
      <c r="E191" t="str">
        <f t="shared" si="13"/>
        <v>0004</v>
      </c>
      <c r="F191">
        <f t="shared" si="14"/>
        <v>4</v>
      </c>
      <c r="G191">
        <f>HEX2DEC("2f53")</f>
        <v>12115</v>
      </c>
      <c r="H191" t="s">
        <v>7</v>
      </c>
    </row>
    <row r="192" spans="1:8" x14ac:dyDescent="0.25">
      <c r="A192" t="str">
        <f t="shared" si="11"/>
        <v>00:2f57 .data:0004</v>
      </c>
      <c r="B192" t="str">
        <f t="shared" si="15"/>
        <v/>
      </c>
      <c r="C192" t="str">
        <f>_xlfn.SWITCH(LEFT(H192,1),";",B192,"b",_xlfn.CONCAT(".data:",E192),"c",_xlfn.CONCAT(".code:",E192),"")</f>
        <v>.data:0004</v>
      </c>
      <c r="D192" t="str">
        <f t="shared" si="12"/>
        <v>2f57</v>
      </c>
      <c r="E192" t="str">
        <f t="shared" si="13"/>
        <v>0004</v>
      </c>
      <c r="F192">
        <f t="shared" si="14"/>
        <v>4</v>
      </c>
      <c r="G192">
        <f>HEX2DEC("2f57")</f>
        <v>12119</v>
      </c>
      <c r="H192" t="s">
        <v>7</v>
      </c>
    </row>
    <row r="193" spans="1:8" x14ac:dyDescent="0.25">
      <c r="A193" t="str">
        <f t="shared" si="11"/>
        <v>00:2f5b .data:0004</v>
      </c>
      <c r="B193" t="str">
        <f t="shared" si="15"/>
        <v/>
      </c>
      <c r="C193" t="str">
        <f>_xlfn.SWITCH(LEFT(H193,1),";",B193,"b",_xlfn.CONCAT(".data:",E193),"c",_xlfn.CONCAT(".code:",E193),"")</f>
        <v>.data:0004</v>
      </c>
      <c r="D193" t="str">
        <f t="shared" si="12"/>
        <v>2f5b</v>
      </c>
      <c r="E193" t="str">
        <f t="shared" si="13"/>
        <v>0004</v>
      </c>
      <c r="F193">
        <f t="shared" si="14"/>
        <v>4</v>
      </c>
      <c r="G193">
        <f>HEX2DEC("2f5b")</f>
        <v>12123</v>
      </c>
      <c r="H193" t="s">
        <v>7</v>
      </c>
    </row>
    <row r="194" spans="1:8" x14ac:dyDescent="0.25">
      <c r="A194" t="str">
        <f t="shared" ref="A194:A257" si="16">IF(LEN(C194)&gt;0,_xlfn.CONCAT("00:",D194," ",C194),"")</f>
        <v>00:2f5f .data:0004</v>
      </c>
      <c r="B194" t="str">
        <f t="shared" si="15"/>
        <v/>
      </c>
      <c r="C194" t="str">
        <f>_xlfn.SWITCH(LEFT(H194,1),";",B194,"b",_xlfn.CONCAT(".data:",E194),"c",_xlfn.CONCAT(".code:",E194),"")</f>
        <v>.data:0004</v>
      </c>
      <c r="D194" t="str">
        <f t="shared" ref="D194:D257" si="17">LOWER(DEC2HEX(G194,4))</f>
        <v>2f5f</v>
      </c>
      <c r="E194" t="str">
        <f t="shared" ref="E194:E257" si="18">LOWER(DEC2HEX(F194,4))</f>
        <v>0004</v>
      </c>
      <c r="F194">
        <f t="shared" ref="F194:F257" si="19">IF(G195-G194&gt;0,G195-G194,F195)</f>
        <v>4</v>
      </c>
      <c r="G194">
        <f>HEX2DEC("2f5f")</f>
        <v>12127</v>
      </c>
      <c r="H194" t="s">
        <v>7</v>
      </c>
    </row>
    <row r="195" spans="1:8" x14ac:dyDescent="0.25">
      <c r="A195" t="str">
        <f t="shared" si="16"/>
        <v>00:2f63 .data:0004</v>
      </c>
      <c r="B195" t="str">
        <f t="shared" si="15"/>
        <v/>
      </c>
      <c r="C195" t="str">
        <f>_xlfn.SWITCH(LEFT(H195,1),";",B195,"b",_xlfn.CONCAT(".data:",E195),"c",_xlfn.CONCAT(".code:",E195),"")</f>
        <v>.data:0004</v>
      </c>
      <c r="D195" t="str">
        <f t="shared" si="17"/>
        <v>2f63</v>
      </c>
      <c r="E195" t="str">
        <f t="shared" si="18"/>
        <v>0004</v>
      </c>
      <c r="F195">
        <f t="shared" si="19"/>
        <v>4</v>
      </c>
      <c r="G195">
        <f>HEX2DEC("2f63")</f>
        <v>12131</v>
      </c>
      <c r="H195" t="s">
        <v>7</v>
      </c>
    </row>
    <row r="196" spans="1:8" x14ac:dyDescent="0.25">
      <c r="A196" t="str">
        <f t="shared" si="16"/>
        <v>00:2f67 .data:0004</v>
      </c>
      <c r="B196" t="str">
        <f t="shared" si="15"/>
        <v/>
      </c>
      <c r="C196" t="str">
        <f>_xlfn.SWITCH(LEFT(H196,1),";",B196,"b",_xlfn.CONCAT(".data:",E196),"c",_xlfn.CONCAT(".code:",E196),"")</f>
        <v>.data:0004</v>
      </c>
      <c r="D196" t="str">
        <f t="shared" si="17"/>
        <v>2f67</v>
      </c>
      <c r="E196" t="str">
        <f t="shared" si="18"/>
        <v>0004</v>
      </c>
      <c r="F196">
        <f t="shared" si="19"/>
        <v>4</v>
      </c>
      <c r="G196">
        <f>HEX2DEC("2f67")</f>
        <v>12135</v>
      </c>
      <c r="H196" t="s">
        <v>7</v>
      </c>
    </row>
    <row r="197" spans="1:8" x14ac:dyDescent="0.25">
      <c r="A197" t="str">
        <f t="shared" si="16"/>
        <v>00:2f6b .data:0004</v>
      </c>
      <c r="B197" t="str">
        <f t="shared" si="15"/>
        <v/>
      </c>
      <c r="C197" t="str">
        <f>_xlfn.SWITCH(LEFT(H197,1),";",B197,"b",_xlfn.CONCAT(".data:",E197),"c",_xlfn.CONCAT(".code:",E197),"")</f>
        <v>.data:0004</v>
      </c>
      <c r="D197" t="str">
        <f t="shared" si="17"/>
        <v>2f6b</v>
      </c>
      <c r="E197" t="str">
        <f t="shared" si="18"/>
        <v>0004</v>
      </c>
      <c r="F197">
        <f t="shared" si="19"/>
        <v>4</v>
      </c>
      <c r="G197">
        <f>HEX2DEC("2f6b")</f>
        <v>12139</v>
      </c>
      <c r="H197" t="s">
        <v>7</v>
      </c>
    </row>
    <row r="198" spans="1:8" x14ac:dyDescent="0.25">
      <c r="A198" t="str">
        <f t="shared" si="16"/>
        <v>00:2f6f .data:0004</v>
      </c>
      <c r="B198" t="str">
        <f t="shared" si="15"/>
        <v/>
      </c>
      <c r="C198" t="str">
        <f>_xlfn.SWITCH(LEFT(H198,1),";",B198,"b",_xlfn.CONCAT(".data:",E198),"c",_xlfn.CONCAT(".code:",E198),"")</f>
        <v>.data:0004</v>
      </c>
      <c r="D198" t="str">
        <f t="shared" si="17"/>
        <v>2f6f</v>
      </c>
      <c r="E198" t="str">
        <f t="shared" si="18"/>
        <v>0004</v>
      </c>
      <c r="F198">
        <f t="shared" si="19"/>
        <v>4</v>
      </c>
      <c r="G198">
        <f>HEX2DEC("2f6f")</f>
        <v>12143</v>
      </c>
      <c r="H198" t="s">
        <v>7</v>
      </c>
    </row>
    <row r="199" spans="1:8" x14ac:dyDescent="0.25">
      <c r="A199" t="str">
        <f t="shared" si="16"/>
        <v>00:2f73 .data:0004</v>
      </c>
      <c r="B199" t="str">
        <f t="shared" si="15"/>
        <v/>
      </c>
      <c r="C199" t="str">
        <f>_xlfn.SWITCH(LEFT(H199,1),";",B199,"b",_xlfn.CONCAT(".data:",E199),"c",_xlfn.CONCAT(".code:",E199),"")</f>
        <v>.data:0004</v>
      </c>
      <c r="D199" t="str">
        <f t="shared" si="17"/>
        <v>2f73</v>
      </c>
      <c r="E199" t="str">
        <f t="shared" si="18"/>
        <v>0004</v>
      </c>
      <c r="F199">
        <f t="shared" si="19"/>
        <v>4</v>
      </c>
      <c r="G199">
        <f>HEX2DEC("2f73")</f>
        <v>12147</v>
      </c>
      <c r="H199" t="s">
        <v>7</v>
      </c>
    </row>
    <row r="200" spans="1:8" x14ac:dyDescent="0.25">
      <c r="A200" t="str">
        <f t="shared" si="16"/>
        <v>00:2f77 .data:0004</v>
      </c>
      <c r="B200" t="str">
        <f t="shared" si="15"/>
        <v/>
      </c>
      <c r="C200" t="str">
        <f>_xlfn.SWITCH(LEFT(H200,1),";",B200,"b",_xlfn.CONCAT(".data:",E200),"c",_xlfn.CONCAT(".code:",E200),"")</f>
        <v>.data:0004</v>
      </c>
      <c r="D200" t="str">
        <f t="shared" si="17"/>
        <v>2f77</v>
      </c>
      <c r="E200" t="str">
        <f t="shared" si="18"/>
        <v>0004</v>
      </c>
      <c r="F200">
        <f t="shared" si="19"/>
        <v>4</v>
      </c>
      <c r="G200">
        <f>HEX2DEC("2f77")</f>
        <v>12151</v>
      </c>
      <c r="H200" t="s">
        <v>7</v>
      </c>
    </row>
    <row r="201" spans="1:8" x14ac:dyDescent="0.25">
      <c r="A201" t="str">
        <f t="shared" si="16"/>
        <v>00:2f7b .data:000b</v>
      </c>
      <c r="B201" t="str">
        <f t="shared" si="15"/>
        <v/>
      </c>
      <c r="C201" t="str">
        <f>_xlfn.SWITCH(LEFT(H201,1),";",B201,"b",_xlfn.CONCAT(".data:",E201),"c",_xlfn.CONCAT(".code:",E201),"")</f>
        <v>.data:000b</v>
      </c>
      <c r="D201" t="str">
        <f t="shared" si="17"/>
        <v>2f7b</v>
      </c>
      <c r="E201" t="str">
        <f t="shared" si="18"/>
        <v>000b</v>
      </c>
      <c r="F201">
        <f t="shared" si="19"/>
        <v>11</v>
      </c>
      <c r="G201">
        <f>HEX2DEC("2f7b")</f>
        <v>12155</v>
      </c>
      <c r="H201" t="s">
        <v>7</v>
      </c>
    </row>
    <row r="202" spans="1:8" x14ac:dyDescent="0.25">
      <c r="A202" t="str">
        <f t="shared" si="16"/>
        <v>00:2f86 .data:000b</v>
      </c>
      <c r="B202" t="str">
        <f t="shared" si="15"/>
        <v/>
      </c>
      <c r="C202" t="str">
        <f>_xlfn.SWITCH(LEFT(H202,1),";",B202,"b",_xlfn.CONCAT(".data:",E202),"c",_xlfn.CONCAT(".code:",E202),"")</f>
        <v>.data:000b</v>
      </c>
      <c r="D202" t="str">
        <f t="shared" si="17"/>
        <v>2f86</v>
      </c>
      <c r="E202" t="str">
        <f t="shared" si="18"/>
        <v>000b</v>
      </c>
      <c r="F202">
        <f t="shared" si="19"/>
        <v>11</v>
      </c>
      <c r="G202">
        <f>HEX2DEC("2f86")</f>
        <v>12166</v>
      </c>
      <c r="H202" t="s">
        <v>7</v>
      </c>
    </row>
    <row r="203" spans="1:8" x14ac:dyDescent="0.25">
      <c r="A203" t="str">
        <f t="shared" si="16"/>
        <v>00:2f91 .data:0014</v>
      </c>
      <c r="B203" t="str">
        <f t="shared" si="15"/>
        <v/>
      </c>
      <c r="C203" t="str">
        <f>_xlfn.SWITCH(LEFT(H203,1),";",B203,"b",_xlfn.CONCAT(".data:",E203),"c",_xlfn.CONCAT(".code:",E203),"")</f>
        <v>.data:0014</v>
      </c>
      <c r="D203" t="str">
        <f t="shared" si="17"/>
        <v>2f91</v>
      </c>
      <c r="E203" t="str">
        <f t="shared" si="18"/>
        <v>0014</v>
      </c>
      <c r="F203">
        <f t="shared" si="19"/>
        <v>20</v>
      </c>
      <c r="G203">
        <f>HEX2DEC("2f91")</f>
        <v>12177</v>
      </c>
      <c r="H203" t="s">
        <v>7</v>
      </c>
    </row>
    <row r="204" spans="1:8" x14ac:dyDescent="0.25">
      <c r="A204" t="str">
        <f t="shared" si="16"/>
        <v>00:2fa5 .data:0015</v>
      </c>
      <c r="B204" t="str">
        <f t="shared" si="15"/>
        <v/>
      </c>
      <c r="C204" t="str">
        <f>_xlfn.SWITCH(LEFT(H204,1),";",B204,"b",_xlfn.CONCAT(".data:",E204),"c",_xlfn.CONCAT(".code:",E204),"")</f>
        <v>.data:0015</v>
      </c>
      <c r="D204" t="str">
        <f t="shared" si="17"/>
        <v>2fa5</v>
      </c>
      <c r="E204" t="str">
        <f t="shared" si="18"/>
        <v>0015</v>
      </c>
      <c r="F204">
        <f t="shared" si="19"/>
        <v>21</v>
      </c>
      <c r="G204">
        <f>HEX2DEC("2fa5")</f>
        <v>12197</v>
      </c>
      <c r="H204" t="s">
        <v>7</v>
      </c>
    </row>
    <row r="205" spans="1:8" x14ac:dyDescent="0.25">
      <c r="A205" t="str">
        <f t="shared" si="16"/>
        <v>00:2fba .data:0009</v>
      </c>
      <c r="B205" t="str">
        <f t="shared" si="15"/>
        <v/>
      </c>
      <c r="C205" t="str">
        <f>_xlfn.SWITCH(LEFT(H205,1),";",B205,"b",_xlfn.CONCAT(".data:",E205),"c",_xlfn.CONCAT(".code:",E205),"")</f>
        <v>.data:0009</v>
      </c>
      <c r="D205" t="str">
        <f t="shared" si="17"/>
        <v>2fba</v>
      </c>
      <c r="E205" t="str">
        <f t="shared" si="18"/>
        <v>0009</v>
      </c>
      <c r="F205">
        <f t="shared" si="19"/>
        <v>9</v>
      </c>
      <c r="G205">
        <f>HEX2DEC("2fba")</f>
        <v>12218</v>
      </c>
      <c r="H205" t="s">
        <v>7</v>
      </c>
    </row>
    <row r="206" spans="1:8" x14ac:dyDescent="0.25">
      <c r="A206" t="str">
        <f t="shared" si="16"/>
        <v>00:2fc3 .data:0009</v>
      </c>
      <c r="B206" t="str">
        <f t="shared" si="15"/>
        <v/>
      </c>
      <c r="C206" t="str">
        <f>_xlfn.SWITCH(LEFT(H206,1),";",B206,"b",_xlfn.CONCAT(".data:",E206),"c",_xlfn.CONCAT(".code:",E206),"")</f>
        <v>.data:0009</v>
      </c>
      <c r="D206" t="str">
        <f t="shared" si="17"/>
        <v>2fc3</v>
      </c>
      <c r="E206" t="str">
        <f t="shared" si="18"/>
        <v>0009</v>
      </c>
      <c r="F206">
        <f t="shared" si="19"/>
        <v>9</v>
      </c>
      <c r="G206">
        <f>HEX2DEC("2fc3")</f>
        <v>12227</v>
      </c>
      <c r="H206" t="s">
        <v>7</v>
      </c>
    </row>
    <row r="207" spans="1:8" x14ac:dyDescent="0.25">
      <c r="A207" t="str">
        <f t="shared" si="16"/>
        <v>00:2fcc .data:0007</v>
      </c>
      <c r="B207" t="str">
        <f t="shared" si="15"/>
        <v/>
      </c>
      <c r="C207" t="str">
        <f>_xlfn.SWITCH(LEFT(H207,1),";",B207,"b",_xlfn.CONCAT(".data:",E207),"c",_xlfn.CONCAT(".code:",E207),"")</f>
        <v>.data:0007</v>
      </c>
      <c r="D207" t="str">
        <f t="shared" si="17"/>
        <v>2fcc</v>
      </c>
      <c r="E207" t="str">
        <f t="shared" si="18"/>
        <v>0007</v>
      </c>
      <c r="F207">
        <f t="shared" si="19"/>
        <v>7</v>
      </c>
      <c r="G207">
        <f>HEX2DEC("2fcc")</f>
        <v>12236</v>
      </c>
      <c r="H207" t="s">
        <v>7</v>
      </c>
    </row>
    <row r="208" spans="1:8" x14ac:dyDescent="0.25">
      <c r="A208" t="str">
        <f t="shared" si="16"/>
        <v>00:2fd3 .data:0007</v>
      </c>
      <c r="B208" t="str">
        <f t="shared" si="15"/>
        <v/>
      </c>
      <c r="C208" t="str">
        <f>_xlfn.SWITCH(LEFT(H208,1),";",B208,"b",_xlfn.CONCAT(".data:",E208),"c",_xlfn.CONCAT(".code:",E208),"")</f>
        <v>.data:0007</v>
      </c>
      <c r="D208" t="str">
        <f t="shared" si="17"/>
        <v>2fd3</v>
      </c>
      <c r="E208" t="str">
        <f t="shared" si="18"/>
        <v>0007</v>
      </c>
      <c r="F208">
        <f t="shared" si="19"/>
        <v>7</v>
      </c>
      <c r="G208">
        <f>HEX2DEC("2fd3")</f>
        <v>12243</v>
      </c>
      <c r="H208" t="s">
        <v>7</v>
      </c>
    </row>
    <row r="209" spans="1:8" x14ac:dyDescent="0.25">
      <c r="A209" t="str">
        <f t="shared" si="16"/>
        <v>00:2fda .data:000b</v>
      </c>
      <c r="B209" t="str">
        <f t="shared" si="15"/>
        <v/>
      </c>
      <c r="C209" t="str">
        <f>_xlfn.SWITCH(LEFT(H209,1),";",B209,"b",_xlfn.CONCAT(".data:",E209),"c",_xlfn.CONCAT(".code:",E209),"")</f>
        <v>.data:000b</v>
      </c>
      <c r="D209" t="str">
        <f t="shared" si="17"/>
        <v>2fda</v>
      </c>
      <c r="E209" t="str">
        <f t="shared" si="18"/>
        <v>000b</v>
      </c>
      <c r="F209">
        <f t="shared" si="19"/>
        <v>11</v>
      </c>
      <c r="G209">
        <f>HEX2DEC("2fda")</f>
        <v>12250</v>
      </c>
      <c r="H209" t="s">
        <v>7</v>
      </c>
    </row>
    <row r="210" spans="1:8" x14ac:dyDescent="0.25">
      <c r="A210" t="str">
        <f t="shared" si="16"/>
        <v>00:2fe5 .data:000b</v>
      </c>
      <c r="B210" t="str">
        <f t="shared" si="15"/>
        <v/>
      </c>
      <c r="C210" t="str">
        <f>_xlfn.SWITCH(LEFT(H210,1),";",B210,"b",_xlfn.CONCAT(".data:",E210),"c",_xlfn.CONCAT(".code:",E210),"")</f>
        <v>.data:000b</v>
      </c>
      <c r="D210" t="str">
        <f t="shared" si="17"/>
        <v>2fe5</v>
      </c>
      <c r="E210" t="str">
        <f t="shared" si="18"/>
        <v>000b</v>
      </c>
      <c r="F210">
        <f t="shared" si="19"/>
        <v>11</v>
      </c>
      <c r="G210">
        <f>HEX2DEC("2fe5")</f>
        <v>12261</v>
      </c>
      <c r="H210" t="s">
        <v>7</v>
      </c>
    </row>
    <row r="211" spans="1:8" x14ac:dyDescent="0.25">
      <c r="A211" t="str">
        <f t="shared" si="16"/>
        <v>00:2ff0 .data:0015</v>
      </c>
      <c r="B211" t="str">
        <f t="shared" ref="B211:B274" si="20">SUBSTITUTE(TRIM(RIGHT(H211,LEN(H211)-1)), " ", "_")</f>
        <v/>
      </c>
      <c r="C211" t="str">
        <f>_xlfn.SWITCH(LEFT(H211,1),";",B211,"b",_xlfn.CONCAT(".data:",E211),"c",_xlfn.CONCAT(".code:",E211),"")</f>
        <v>.data:0015</v>
      </c>
      <c r="D211" t="str">
        <f t="shared" si="17"/>
        <v>2ff0</v>
      </c>
      <c r="E211" t="str">
        <f t="shared" si="18"/>
        <v>0015</v>
      </c>
      <c r="F211">
        <f t="shared" si="19"/>
        <v>21</v>
      </c>
      <c r="G211">
        <f>HEX2DEC("2ff0")</f>
        <v>12272</v>
      </c>
      <c r="H211" t="s">
        <v>7</v>
      </c>
    </row>
    <row r="212" spans="1:8" x14ac:dyDescent="0.25">
      <c r="A212" t="str">
        <f t="shared" si="16"/>
        <v>00:3005 .data:0016</v>
      </c>
      <c r="B212" t="str">
        <f t="shared" si="20"/>
        <v/>
      </c>
      <c r="C212" t="str">
        <f>_xlfn.SWITCH(LEFT(H212,1),";",B212,"b",_xlfn.CONCAT(".data:",E212),"c",_xlfn.CONCAT(".code:",E212),"")</f>
        <v>.data:0016</v>
      </c>
      <c r="D212" t="str">
        <f t="shared" si="17"/>
        <v>3005</v>
      </c>
      <c r="E212" t="str">
        <f t="shared" si="18"/>
        <v>0016</v>
      </c>
      <c r="F212">
        <f t="shared" si="19"/>
        <v>22</v>
      </c>
      <c r="G212">
        <f>HEX2DEC("3005")</f>
        <v>12293</v>
      </c>
      <c r="H212" t="s">
        <v>7</v>
      </c>
    </row>
    <row r="213" spans="1:8" x14ac:dyDescent="0.25">
      <c r="A213" t="str">
        <f t="shared" si="16"/>
        <v>00:301b .data:0009</v>
      </c>
      <c r="B213" t="str">
        <f t="shared" si="20"/>
        <v/>
      </c>
      <c r="C213" t="str">
        <f>_xlfn.SWITCH(LEFT(H213,1),";",B213,"b",_xlfn.CONCAT(".data:",E213),"c",_xlfn.CONCAT(".code:",E213),"")</f>
        <v>.data:0009</v>
      </c>
      <c r="D213" t="str">
        <f t="shared" si="17"/>
        <v>301b</v>
      </c>
      <c r="E213" t="str">
        <f t="shared" si="18"/>
        <v>0009</v>
      </c>
      <c r="F213">
        <f t="shared" si="19"/>
        <v>9</v>
      </c>
      <c r="G213">
        <f>HEX2DEC("301b")</f>
        <v>12315</v>
      </c>
      <c r="H213" t="s">
        <v>7</v>
      </c>
    </row>
    <row r="214" spans="1:8" x14ac:dyDescent="0.25">
      <c r="A214" t="str">
        <f t="shared" si="16"/>
        <v>00:3024 .data:0009</v>
      </c>
      <c r="B214" t="str">
        <f t="shared" si="20"/>
        <v/>
      </c>
      <c r="C214" t="str">
        <f>_xlfn.SWITCH(LEFT(H214,1),";",B214,"b",_xlfn.CONCAT(".data:",E214),"c",_xlfn.CONCAT(".code:",E214),"")</f>
        <v>.data:0009</v>
      </c>
      <c r="D214" t="str">
        <f t="shared" si="17"/>
        <v>3024</v>
      </c>
      <c r="E214" t="str">
        <f t="shared" si="18"/>
        <v>0009</v>
      </c>
      <c r="F214">
        <f t="shared" si="19"/>
        <v>9</v>
      </c>
      <c r="G214">
        <f>HEX2DEC("3024")</f>
        <v>12324</v>
      </c>
      <c r="H214" t="s">
        <v>7</v>
      </c>
    </row>
    <row r="215" spans="1:8" x14ac:dyDescent="0.25">
      <c r="A215" t="str">
        <f t="shared" si="16"/>
        <v>00:302d .data:0007</v>
      </c>
      <c r="B215" t="str">
        <f t="shared" si="20"/>
        <v/>
      </c>
      <c r="C215" t="str">
        <f>_xlfn.SWITCH(LEFT(H215,1),";",B215,"b",_xlfn.CONCAT(".data:",E215),"c",_xlfn.CONCAT(".code:",E215),"")</f>
        <v>.data:0007</v>
      </c>
      <c r="D215" t="str">
        <f t="shared" si="17"/>
        <v>302d</v>
      </c>
      <c r="E215" t="str">
        <f t="shared" si="18"/>
        <v>0007</v>
      </c>
      <c r="F215">
        <f t="shared" si="19"/>
        <v>7</v>
      </c>
      <c r="G215">
        <f>HEX2DEC("302d")</f>
        <v>12333</v>
      </c>
      <c r="H215" t="s">
        <v>7</v>
      </c>
    </row>
    <row r="216" spans="1:8" x14ac:dyDescent="0.25">
      <c r="A216" t="str">
        <f t="shared" si="16"/>
        <v>00:3034 .data:0007</v>
      </c>
      <c r="B216" t="str">
        <f t="shared" si="20"/>
        <v/>
      </c>
      <c r="C216" t="str">
        <f>_xlfn.SWITCH(LEFT(H216,1),";",B216,"b",_xlfn.CONCAT(".data:",E216),"c",_xlfn.CONCAT(".code:",E216),"")</f>
        <v>.data:0007</v>
      </c>
      <c r="D216" t="str">
        <f t="shared" si="17"/>
        <v>3034</v>
      </c>
      <c r="E216" t="str">
        <f t="shared" si="18"/>
        <v>0007</v>
      </c>
      <c r="F216">
        <f t="shared" si="19"/>
        <v>7</v>
      </c>
      <c r="G216">
        <f>HEX2DEC("3034")</f>
        <v>12340</v>
      </c>
      <c r="H216" t="s">
        <v>7</v>
      </c>
    </row>
    <row r="217" spans="1:8" x14ac:dyDescent="0.25">
      <c r="A217" t="str">
        <f t="shared" si="16"/>
        <v>00:303b .data:0007</v>
      </c>
      <c r="B217" t="str">
        <f t="shared" si="20"/>
        <v/>
      </c>
      <c r="C217" t="str">
        <f>_xlfn.SWITCH(LEFT(H217,1),";",B217,"b",_xlfn.CONCAT(".data:",E217),"c",_xlfn.CONCAT(".code:",E217),"")</f>
        <v>.data:0007</v>
      </c>
      <c r="D217" t="str">
        <f t="shared" si="17"/>
        <v>303b</v>
      </c>
      <c r="E217" t="str">
        <f t="shared" si="18"/>
        <v>0007</v>
      </c>
      <c r="F217">
        <f t="shared" si="19"/>
        <v>7</v>
      </c>
      <c r="G217">
        <f>HEX2DEC("303b")</f>
        <v>12347</v>
      </c>
      <c r="H217" t="s">
        <v>7</v>
      </c>
    </row>
    <row r="218" spans="1:8" x14ac:dyDescent="0.25">
      <c r="A218" t="str">
        <f t="shared" si="16"/>
        <v>00:3042 .data:0007</v>
      </c>
      <c r="B218" t="str">
        <f t="shared" si="20"/>
        <v/>
      </c>
      <c r="C218" t="str">
        <f>_xlfn.SWITCH(LEFT(H218,1),";",B218,"b",_xlfn.CONCAT(".data:",E218),"c",_xlfn.CONCAT(".code:",E218),"")</f>
        <v>.data:0007</v>
      </c>
      <c r="D218" t="str">
        <f t="shared" si="17"/>
        <v>3042</v>
      </c>
      <c r="E218" t="str">
        <f t="shared" si="18"/>
        <v>0007</v>
      </c>
      <c r="F218">
        <f t="shared" si="19"/>
        <v>7</v>
      </c>
      <c r="G218">
        <f>HEX2DEC("3042")</f>
        <v>12354</v>
      </c>
      <c r="H218" t="s">
        <v>7</v>
      </c>
    </row>
    <row r="219" spans="1:8" x14ac:dyDescent="0.25">
      <c r="A219" t="str">
        <f t="shared" si="16"/>
        <v>00:3049 .data:0007</v>
      </c>
      <c r="B219" t="str">
        <f t="shared" si="20"/>
        <v/>
      </c>
      <c r="C219" t="str">
        <f>_xlfn.SWITCH(LEFT(H219,1),";",B219,"b",_xlfn.CONCAT(".data:",E219),"c",_xlfn.CONCAT(".code:",E219),"")</f>
        <v>.data:0007</v>
      </c>
      <c r="D219" t="str">
        <f t="shared" si="17"/>
        <v>3049</v>
      </c>
      <c r="E219" t="str">
        <f t="shared" si="18"/>
        <v>0007</v>
      </c>
      <c r="F219">
        <f t="shared" si="19"/>
        <v>7</v>
      </c>
      <c r="G219">
        <f>HEX2DEC("3049")</f>
        <v>12361</v>
      </c>
      <c r="H219" t="s">
        <v>7</v>
      </c>
    </row>
    <row r="220" spans="1:8" x14ac:dyDescent="0.25">
      <c r="A220" t="str">
        <f t="shared" si="16"/>
        <v>00:3050 .data:0007</v>
      </c>
      <c r="B220" t="str">
        <f t="shared" si="20"/>
        <v/>
      </c>
      <c r="C220" t="str">
        <f>_xlfn.SWITCH(LEFT(H220,1),";",B220,"b",_xlfn.CONCAT(".data:",E220),"c",_xlfn.CONCAT(".code:",E220),"")</f>
        <v>.data:0007</v>
      </c>
      <c r="D220" t="str">
        <f t="shared" si="17"/>
        <v>3050</v>
      </c>
      <c r="E220" t="str">
        <f t="shared" si="18"/>
        <v>0007</v>
      </c>
      <c r="F220">
        <f t="shared" si="19"/>
        <v>7</v>
      </c>
      <c r="G220">
        <f>HEX2DEC("3050")</f>
        <v>12368</v>
      </c>
      <c r="H220" t="s">
        <v>7</v>
      </c>
    </row>
    <row r="221" spans="1:8" x14ac:dyDescent="0.25">
      <c r="A221" t="str">
        <f t="shared" si="16"/>
        <v>00:3057 .data:0007</v>
      </c>
      <c r="B221" t="str">
        <f t="shared" si="20"/>
        <v/>
      </c>
      <c r="C221" t="str">
        <f>_xlfn.SWITCH(LEFT(H221,1),";",B221,"b",_xlfn.CONCAT(".data:",E221),"c",_xlfn.CONCAT(".code:",E221),"")</f>
        <v>.data:0007</v>
      </c>
      <c r="D221" t="str">
        <f t="shared" si="17"/>
        <v>3057</v>
      </c>
      <c r="E221" t="str">
        <f t="shared" si="18"/>
        <v>0007</v>
      </c>
      <c r="F221">
        <f t="shared" si="19"/>
        <v>7</v>
      </c>
      <c r="G221">
        <f>HEX2DEC("3057")</f>
        <v>12375</v>
      </c>
      <c r="H221" t="s">
        <v>7</v>
      </c>
    </row>
    <row r="222" spans="1:8" x14ac:dyDescent="0.25">
      <c r="A222" t="str">
        <f t="shared" si="16"/>
        <v>00:305e .data:000b</v>
      </c>
      <c r="B222" t="str">
        <f t="shared" si="20"/>
        <v/>
      </c>
      <c r="C222" t="str">
        <f>_xlfn.SWITCH(LEFT(H222,1),";",B222,"b",_xlfn.CONCAT(".data:",E222),"c",_xlfn.CONCAT(".code:",E222),"")</f>
        <v>.data:000b</v>
      </c>
      <c r="D222" t="str">
        <f t="shared" si="17"/>
        <v>305e</v>
      </c>
      <c r="E222" t="str">
        <f t="shared" si="18"/>
        <v>000b</v>
      </c>
      <c r="F222">
        <f t="shared" si="19"/>
        <v>11</v>
      </c>
      <c r="G222">
        <f>HEX2DEC("305e")</f>
        <v>12382</v>
      </c>
      <c r="H222" t="s">
        <v>7</v>
      </c>
    </row>
    <row r="223" spans="1:8" x14ac:dyDescent="0.25">
      <c r="A223" t="str">
        <f t="shared" si="16"/>
        <v>00:3069 .data:0007</v>
      </c>
      <c r="B223" t="str">
        <f t="shared" si="20"/>
        <v/>
      </c>
      <c r="C223" t="str">
        <f>_xlfn.SWITCH(LEFT(H223,1),";",B223,"b",_xlfn.CONCAT(".data:",E223),"c",_xlfn.CONCAT(".code:",E223),"")</f>
        <v>.data:0007</v>
      </c>
      <c r="D223" t="str">
        <f t="shared" si="17"/>
        <v>3069</v>
      </c>
      <c r="E223" t="str">
        <f t="shared" si="18"/>
        <v>0007</v>
      </c>
      <c r="F223">
        <f t="shared" si="19"/>
        <v>7</v>
      </c>
      <c r="G223">
        <f>HEX2DEC("3069")</f>
        <v>12393</v>
      </c>
      <c r="H223" t="s">
        <v>7</v>
      </c>
    </row>
    <row r="224" spans="1:8" x14ac:dyDescent="0.25">
      <c r="A224" t="str">
        <f t="shared" si="16"/>
        <v>00:3070 .data:0007</v>
      </c>
      <c r="B224" t="str">
        <f t="shared" si="20"/>
        <v/>
      </c>
      <c r="C224" t="str">
        <f>_xlfn.SWITCH(LEFT(H224,1),";",B224,"b",_xlfn.CONCAT(".data:",E224),"c",_xlfn.CONCAT(".code:",E224),"")</f>
        <v>.data:0007</v>
      </c>
      <c r="D224" t="str">
        <f t="shared" si="17"/>
        <v>3070</v>
      </c>
      <c r="E224" t="str">
        <f t="shared" si="18"/>
        <v>0007</v>
      </c>
      <c r="F224">
        <f t="shared" si="19"/>
        <v>7</v>
      </c>
      <c r="G224">
        <f>HEX2DEC("3070")</f>
        <v>12400</v>
      </c>
      <c r="H224" t="s">
        <v>7</v>
      </c>
    </row>
    <row r="225" spans="1:8" x14ac:dyDescent="0.25">
      <c r="A225" t="str">
        <f t="shared" si="16"/>
        <v>00:3077 .data:0007</v>
      </c>
      <c r="B225" t="str">
        <f t="shared" si="20"/>
        <v/>
      </c>
      <c r="C225" t="str">
        <f>_xlfn.SWITCH(LEFT(H225,1),";",B225,"b",_xlfn.CONCAT(".data:",E225),"c",_xlfn.CONCAT(".code:",E225),"")</f>
        <v>.data:0007</v>
      </c>
      <c r="D225" t="str">
        <f t="shared" si="17"/>
        <v>3077</v>
      </c>
      <c r="E225" t="str">
        <f t="shared" si="18"/>
        <v>0007</v>
      </c>
      <c r="F225">
        <f t="shared" si="19"/>
        <v>7</v>
      </c>
      <c r="G225">
        <f>HEX2DEC("3077")</f>
        <v>12407</v>
      </c>
      <c r="H225" t="s">
        <v>7</v>
      </c>
    </row>
    <row r="226" spans="1:8" x14ac:dyDescent="0.25">
      <c r="A226" t="str">
        <f t="shared" si="16"/>
        <v>00:307e .data:0007</v>
      </c>
      <c r="B226" t="str">
        <f t="shared" si="20"/>
        <v/>
      </c>
      <c r="C226" t="str">
        <f>_xlfn.SWITCH(LEFT(H226,1),";",B226,"b",_xlfn.CONCAT(".data:",E226),"c",_xlfn.CONCAT(".code:",E226),"")</f>
        <v>.data:0007</v>
      </c>
      <c r="D226" t="str">
        <f t="shared" si="17"/>
        <v>307e</v>
      </c>
      <c r="E226" t="str">
        <f t="shared" si="18"/>
        <v>0007</v>
      </c>
      <c r="F226">
        <f t="shared" si="19"/>
        <v>7</v>
      </c>
      <c r="G226">
        <f>HEX2DEC("307e")</f>
        <v>12414</v>
      </c>
      <c r="H226" t="s">
        <v>7</v>
      </c>
    </row>
    <row r="227" spans="1:8" x14ac:dyDescent="0.25">
      <c r="A227" t="str">
        <f t="shared" si="16"/>
        <v>00:3085 .data:0009</v>
      </c>
      <c r="B227" t="str">
        <f t="shared" si="20"/>
        <v/>
      </c>
      <c r="C227" t="str">
        <f>_xlfn.SWITCH(LEFT(H227,1),";",B227,"b",_xlfn.CONCAT(".data:",E227),"c",_xlfn.CONCAT(".code:",E227),"")</f>
        <v>.data:0009</v>
      </c>
      <c r="D227" t="str">
        <f t="shared" si="17"/>
        <v>3085</v>
      </c>
      <c r="E227" t="str">
        <f t="shared" si="18"/>
        <v>0009</v>
      </c>
      <c r="F227">
        <f t="shared" si="19"/>
        <v>9</v>
      </c>
      <c r="G227">
        <f>HEX2DEC("3085")</f>
        <v>12421</v>
      </c>
      <c r="H227" t="s">
        <v>7</v>
      </c>
    </row>
    <row r="228" spans="1:8" x14ac:dyDescent="0.25">
      <c r="A228" t="str">
        <f t="shared" si="16"/>
        <v>00:308e .data:0009</v>
      </c>
      <c r="B228" t="str">
        <f t="shared" si="20"/>
        <v/>
      </c>
      <c r="C228" t="str">
        <f>_xlfn.SWITCH(LEFT(H228,1),";",B228,"b",_xlfn.CONCAT(".data:",E228),"c",_xlfn.CONCAT(".code:",E228),"")</f>
        <v>.data:0009</v>
      </c>
      <c r="D228" t="str">
        <f t="shared" si="17"/>
        <v>308e</v>
      </c>
      <c r="E228" t="str">
        <f t="shared" si="18"/>
        <v>0009</v>
      </c>
      <c r="F228">
        <f t="shared" si="19"/>
        <v>9</v>
      </c>
      <c r="G228">
        <f>HEX2DEC("308e")</f>
        <v>12430</v>
      </c>
      <c r="H228" t="s">
        <v>7</v>
      </c>
    </row>
    <row r="229" spans="1:8" x14ac:dyDescent="0.25">
      <c r="A229" t="str">
        <f t="shared" si="16"/>
        <v>00:3097 .data:0009</v>
      </c>
      <c r="B229" t="str">
        <f t="shared" si="20"/>
        <v/>
      </c>
      <c r="C229" t="str">
        <f>_xlfn.SWITCH(LEFT(H229,1),";",B229,"b",_xlfn.CONCAT(".data:",E229),"c",_xlfn.CONCAT(".code:",E229),"")</f>
        <v>.data:0009</v>
      </c>
      <c r="D229" t="str">
        <f t="shared" si="17"/>
        <v>3097</v>
      </c>
      <c r="E229" t="str">
        <f t="shared" si="18"/>
        <v>0009</v>
      </c>
      <c r="F229">
        <f t="shared" si="19"/>
        <v>9</v>
      </c>
      <c r="G229">
        <f>HEX2DEC("3097")</f>
        <v>12439</v>
      </c>
      <c r="H229" t="s">
        <v>7</v>
      </c>
    </row>
    <row r="230" spans="1:8" x14ac:dyDescent="0.25">
      <c r="A230" t="str">
        <f t="shared" si="16"/>
        <v>00:30a0 .data:0009</v>
      </c>
      <c r="B230" t="str">
        <f t="shared" si="20"/>
        <v/>
      </c>
      <c r="C230" t="str">
        <f>_xlfn.SWITCH(LEFT(H230,1),";",B230,"b",_xlfn.CONCAT(".data:",E230),"c",_xlfn.CONCAT(".code:",E230),"")</f>
        <v>.data:0009</v>
      </c>
      <c r="D230" t="str">
        <f t="shared" si="17"/>
        <v>30a0</v>
      </c>
      <c r="E230" t="str">
        <f t="shared" si="18"/>
        <v>0009</v>
      </c>
      <c r="F230">
        <f t="shared" si="19"/>
        <v>9</v>
      </c>
      <c r="G230">
        <f>HEX2DEC("30a0")</f>
        <v>12448</v>
      </c>
      <c r="H230" t="s">
        <v>7</v>
      </c>
    </row>
    <row r="231" spans="1:8" x14ac:dyDescent="0.25">
      <c r="A231" t="str">
        <f t="shared" si="16"/>
        <v>00:30a9 .data:0009</v>
      </c>
      <c r="B231" t="str">
        <f t="shared" si="20"/>
        <v/>
      </c>
      <c r="C231" t="str">
        <f>_xlfn.SWITCH(LEFT(H231,1),";",B231,"b",_xlfn.CONCAT(".data:",E231),"c",_xlfn.CONCAT(".code:",E231),"")</f>
        <v>.data:0009</v>
      </c>
      <c r="D231" t="str">
        <f t="shared" si="17"/>
        <v>30a9</v>
      </c>
      <c r="E231" t="str">
        <f t="shared" si="18"/>
        <v>0009</v>
      </c>
      <c r="F231">
        <f t="shared" si="19"/>
        <v>9</v>
      </c>
      <c r="G231">
        <f>HEX2DEC("30a9")</f>
        <v>12457</v>
      </c>
      <c r="H231" t="s">
        <v>7</v>
      </c>
    </row>
    <row r="232" spans="1:8" x14ac:dyDescent="0.25">
      <c r="A232" t="str">
        <f t="shared" si="16"/>
        <v>00:30b2 .data:0009</v>
      </c>
      <c r="B232" t="str">
        <f t="shared" si="20"/>
        <v/>
      </c>
      <c r="C232" t="str">
        <f>_xlfn.SWITCH(LEFT(H232,1),";",B232,"b",_xlfn.CONCAT(".data:",E232),"c",_xlfn.CONCAT(".code:",E232),"")</f>
        <v>.data:0009</v>
      </c>
      <c r="D232" t="str">
        <f t="shared" si="17"/>
        <v>30b2</v>
      </c>
      <c r="E232" t="str">
        <f t="shared" si="18"/>
        <v>0009</v>
      </c>
      <c r="F232">
        <f t="shared" si="19"/>
        <v>9</v>
      </c>
      <c r="G232">
        <f>HEX2DEC("30b2")</f>
        <v>12466</v>
      </c>
      <c r="H232" t="s">
        <v>7</v>
      </c>
    </row>
    <row r="233" spans="1:8" x14ac:dyDescent="0.25">
      <c r="A233" t="str">
        <f t="shared" si="16"/>
        <v>00:30bb .data:0007</v>
      </c>
      <c r="B233" t="str">
        <f t="shared" si="20"/>
        <v/>
      </c>
      <c r="C233" t="str">
        <f>_xlfn.SWITCH(LEFT(H233,1),";",B233,"b",_xlfn.CONCAT(".data:",E233),"c",_xlfn.CONCAT(".code:",E233),"")</f>
        <v>.data:0007</v>
      </c>
      <c r="D233" t="str">
        <f t="shared" si="17"/>
        <v>30bb</v>
      </c>
      <c r="E233" t="str">
        <f t="shared" si="18"/>
        <v>0007</v>
      </c>
      <c r="F233">
        <f t="shared" si="19"/>
        <v>7</v>
      </c>
      <c r="G233">
        <f>HEX2DEC("30bb")</f>
        <v>12475</v>
      </c>
      <c r="H233" t="s">
        <v>7</v>
      </c>
    </row>
    <row r="234" spans="1:8" x14ac:dyDescent="0.25">
      <c r="A234" t="str">
        <f t="shared" si="16"/>
        <v>00:30c2 .data:0007</v>
      </c>
      <c r="B234" t="str">
        <f t="shared" si="20"/>
        <v/>
      </c>
      <c r="C234" t="str">
        <f>_xlfn.SWITCH(LEFT(H234,1),";",B234,"b",_xlfn.CONCAT(".data:",E234),"c",_xlfn.CONCAT(".code:",E234),"")</f>
        <v>.data:0007</v>
      </c>
      <c r="D234" t="str">
        <f t="shared" si="17"/>
        <v>30c2</v>
      </c>
      <c r="E234" t="str">
        <f t="shared" si="18"/>
        <v>0007</v>
      </c>
      <c r="F234">
        <f t="shared" si="19"/>
        <v>7</v>
      </c>
      <c r="G234">
        <f>HEX2DEC("30c2")</f>
        <v>12482</v>
      </c>
      <c r="H234" t="s">
        <v>7</v>
      </c>
    </row>
    <row r="235" spans="1:8" x14ac:dyDescent="0.25">
      <c r="A235" t="str">
        <f t="shared" si="16"/>
        <v>00:30c9 .data:0004</v>
      </c>
      <c r="B235" t="str">
        <f t="shared" si="20"/>
        <v/>
      </c>
      <c r="C235" t="str">
        <f>_xlfn.SWITCH(LEFT(H235,1),";",B235,"b",_xlfn.CONCAT(".data:",E235),"c",_xlfn.CONCAT(".code:",E235),"")</f>
        <v>.data:0004</v>
      </c>
      <c r="D235" t="str">
        <f t="shared" si="17"/>
        <v>30c9</v>
      </c>
      <c r="E235" t="str">
        <f t="shared" si="18"/>
        <v>0004</v>
      </c>
      <c r="F235">
        <f t="shared" si="19"/>
        <v>4</v>
      </c>
      <c r="G235">
        <f>HEX2DEC("30c9")</f>
        <v>12489</v>
      </c>
      <c r="H235" t="s">
        <v>7</v>
      </c>
    </row>
    <row r="236" spans="1:8" x14ac:dyDescent="0.25">
      <c r="A236" t="str">
        <f t="shared" si="16"/>
        <v>00:30cd .data:001f</v>
      </c>
      <c r="B236" t="str">
        <f t="shared" si="20"/>
        <v/>
      </c>
      <c r="C236" t="str">
        <f>_xlfn.SWITCH(LEFT(H236,1),";",B236,"b",_xlfn.CONCAT(".data:",E236),"c",_xlfn.CONCAT(".code:",E236),"")</f>
        <v>.data:001f</v>
      </c>
      <c r="D236" t="str">
        <f t="shared" si="17"/>
        <v>30cd</v>
      </c>
      <c r="E236" t="str">
        <f t="shared" si="18"/>
        <v>001f</v>
      </c>
      <c r="F236">
        <f t="shared" si="19"/>
        <v>31</v>
      </c>
      <c r="G236">
        <f>HEX2DEC("30cd")</f>
        <v>12493</v>
      </c>
      <c r="H236" t="s">
        <v>7</v>
      </c>
    </row>
    <row r="237" spans="1:8" x14ac:dyDescent="0.25">
      <c r="A237" t="str">
        <f t="shared" si="16"/>
        <v>00:30ec .data:0004</v>
      </c>
      <c r="B237" t="str">
        <f t="shared" si="20"/>
        <v/>
      </c>
      <c r="C237" t="str">
        <f>_xlfn.SWITCH(LEFT(H237,1),";",B237,"b",_xlfn.CONCAT(".data:",E237),"c",_xlfn.CONCAT(".code:",E237),"")</f>
        <v>.data:0004</v>
      </c>
      <c r="D237" t="str">
        <f t="shared" si="17"/>
        <v>30ec</v>
      </c>
      <c r="E237" t="str">
        <f t="shared" si="18"/>
        <v>0004</v>
      </c>
      <c r="F237">
        <f t="shared" si="19"/>
        <v>4</v>
      </c>
      <c r="G237">
        <f>HEX2DEC("30ec")</f>
        <v>12524</v>
      </c>
      <c r="H237" t="s">
        <v>7</v>
      </c>
    </row>
    <row r="238" spans="1:8" x14ac:dyDescent="0.25">
      <c r="A238" t="str">
        <f t="shared" si="16"/>
        <v>00:30f0 .data:0004</v>
      </c>
      <c r="B238" t="str">
        <f t="shared" si="20"/>
        <v/>
      </c>
      <c r="C238" t="str">
        <f>_xlfn.SWITCH(LEFT(H238,1),";",B238,"b",_xlfn.CONCAT(".data:",E238),"c",_xlfn.CONCAT(".code:",E238),"")</f>
        <v>.data:0004</v>
      </c>
      <c r="D238" t="str">
        <f t="shared" si="17"/>
        <v>30f0</v>
      </c>
      <c r="E238" t="str">
        <f t="shared" si="18"/>
        <v>0004</v>
      </c>
      <c r="F238">
        <f t="shared" si="19"/>
        <v>4</v>
      </c>
      <c r="G238">
        <f>HEX2DEC("30f0")</f>
        <v>12528</v>
      </c>
      <c r="H238" t="s">
        <v>7</v>
      </c>
    </row>
    <row r="239" spans="1:8" x14ac:dyDescent="0.25">
      <c r="A239" t="str">
        <f t="shared" si="16"/>
        <v>00:30f4 .data:0004</v>
      </c>
      <c r="B239" t="str">
        <f t="shared" si="20"/>
        <v/>
      </c>
      <c r="C239" t="str">
        <f>_xlfn.SWITCH(LEFT(H239,1),";",B239,"b",_xlfn.CONCAT(".data:",E239),"c",_xlfn.CONCAT(".code:",E239),"")</f>
        <v>.data:0004</v>
      </c>
      <c r="D239" t="str">
        <f t="shared" si="17"/>
        <v>30f4</v>
      </c>
      <c r="E239" t="str">
        <f t="shared" si="18"/>
        <v>0004</v>
      </c>
      <c r="F239">
        <f t="shared" si="19"/>
        <v>4</v>
      </c>
      <c r="G239">
        <f>HEX2DEC("30f4")</f>
        <v>12532</v>
      </c>
      <c r="H239" t="s">
        <v>7</v>
      </c>
    </row>
    <row r="240" spans="1:8" x14ac:dyDescent="0.25">
      <c r="A240" t="str">
        <f t="shared" si="16"/>
        <v>00:30f8 .data:0004</v>
      </c>
      <c r="B240" t="str">
        <f t="shared" si="20"/>
        <v/>
      </c>
      <c r="C240" t="str">
        <f>_xlfn.SWITCH(LEFT(H240,1),";",B240,"b",_xlfn.CONCAT(".data:",E240),"c",_xlfn.CONCAT(".code:",E240),"")</f>
        <v>.data:0004</v>
      </c>
      <c r="D240" t="str">
        <f t="shared" si="17"/>
        <v>30f8</v>
      </c>
      <c r="E240" t="str">
        <f t="shared" si="18"/>
        <v>0004</v>
      </c>
      <c r="F240">
        <f t="shared" si="19"/>
        <v>4</v>
      </c>
      <c r="G240">
        <f>HEX2DEC("30f8")</f>
        <v>12536</v>
      </c>
      <c r="H240" t="s">
        <v>7</v>
      </c>
    </row>
    <row r="241" spans="1:8" x14ac:dyDescent="0.25">
      <c r="A241" t="str">
        <f t="shared" si="16"/>
        <v>00:30fc .data:0004</v>
      </c>
      <c r="B241" t="str">
        <f t="shared" si="20"/>
        <v/>
      </c>
      <c r="C241" t="str">
        <f>_xlfn.SWITCH(LEFT(H241,1),";",B241,"b",_xlfn.CONCAT(".data:",E241),"c",_xlfn.CONCAT(".code:",E241),"")</f>
        <v>.data:0004</v>
      </c>
      <c r="D241" t="str">
        <f t="shared" si="17"/>
        <v>30fc</v>
      </c>
      <c r="E241" t="str">
        <f t="shared" si="18"/>
        <v>0004</v>
      </c>
      <c r="F241">
        <f t="shared" si="19"/>
        <v>4</v>
      </c>
      <c r="G241">
        <f>HEX2DEC("30fc")</f>
        <v>12540</v>
      </c>
      <c r="H241" t="s">
        <v>7</v>
      </c>
    </row>
    <row r="242" spans="1:8" x14ac:dyDescent="0.25">
      <c r="A242" t="str">
        <f t="shared" si="16"/>
        <v>00:3100 .data:0004</v>
      </c>
      <c r="B242" t="str">
        <f t="shared" si="20"/>
        <v/>
      </c>
      <c r="C242" t="str">
        <f>_xlfn.SWITCH(LEFT(H242,1),";",B242,"b",_xlfn.CONCAT(".data:",E242),"c",_xlfn.CONCAT(".code:",E242),"")</f>
        <v>.data:0004</v>
      </c>
      <c r="D242" t="str">
        <f t="shared" si="17"/>
        <v>3100</v>
      </c>
      <c r="E242" t="str">
        <f t="shared" si="18"/>
        <v>0004</v>
      </c>
      <c r="F242">
        <f t="shared" si="19"/>
        <v>4</v>
      </c>
      <c r="G242">
        <f>HEX2DEC("3100")</f>
        <v>12544</v>
      </c>
      <c r="H242" t="s">
        <v>7</v>
      </c>
    </row>
    <row r="243" spans="1:8" x14ac:dyDescent="0.25">
      <c r="A243" t="str">
        <f t="shared" si="16"/>
        <v>00:3104 .data:0004</v>
      </c>
      <c r="B243" t="str">
        <f t="shared" si="20"/>
        <v/>
      </c>
      <c r="C243" t="str">
        <f>_xlfn.SWITCH(LEFT(H243,1),";",B243,"b",_xlfn.CONCAT(".data:",E243),"c",_xlfn.CONCAT(".code:",E243),"")</f>
        <v>.data:0004</v>
      </c>
      <c r="D243" t="str">
        <f t="shared" si="17"/>
        <v>3104</v>
      </c>
      <c r="E243" t="str">
        <f t="shared" si="18"/>
        <v>0004</v>
      </c>
      <c r="F243">
        <f t="shared" si="19"/>
        <v>4</v>
      </c>
      <c r="G243">
        <f>HEX2DEC("3104")</f>
        <v>12548</v>
      </c>
      <c r="H243" t="s">
        <v>7</v>
      </c>
    </row>
    <row r="244" spans="1:8" x14ac:dyDescent="0.25">
      <c r="A244" t="str">
        <f t="shared" si="16"/>
        <v>00:3108 .data:0004</v>
      </c>
      <c r="B244" t="str">
        <f t="shared" si="20"/>
        <v/>
      </c>
      <c r="C244" t="str">
        <f>_xlfn.SWITCH(LEFT(H244,1),";",B244,"b",_xlfn.CONCAT(".data:",E244),"c",_xlfn.CONCAT(".code:",E244),"")</f>
        <v>.data:0004</v>
      </c>
      <c r="D244" t="str">
        <f t="shared" si="17"/>
        <v>3108</v>
      </c>
      <c r="E244" t="str">
        <f t="shared" si="18"/>
        <v>0004</v>
      </c>
      <c r="F244">
        <f t="shared" si="19"/>
        <v>4</v>
      </c>
      <c r="G244">
        <f>HEX2DEC("3108")</f>
        <v>12552</v>
      </c>
      <c r="H244" t="s">
        <v>7</v>
      </c>
    </row>
    <row r="245" spans="1:8" x14ac:dyDescent="0.25">
      <c r="A245" t="str">
        <f t="shared" si="16"/>
        <v>00:310c .data:0004</v>
      </c>
      <c r="B245" t="str">
        <f t="shared" si="20"/>
        <v/>
      </c>
      <c r="C245" t="str">
        <f>_xlfn.SWITCH(LEFT(H245,1),";",B245,"b",_xlfn.CONCAT(".data:",E245),"c",_xlfn.CONCAT(".code:",E245),"")</f>
        <v>.data:0004</v>
      </c>
      <c r="D245" t="str">
        <f t="shared" si="17"/>
        <v>310c</v>
      </c>
      <c r="E245" t="str">
        <f t="shared" si="18"/>
        <v>0004</v>
      </c>
      <c r="F245">
        <f t="shared" si="19"/>
        <v>4</v>
      </c>
      <c r="G245">
        <f>HEX2DEC("310c")</f>
        <v>12556</v>
      </c>
      <c r="H245" t="s">
        <v>7</v>
      </c>
    </row>
    <row r="246" spans="1:8" x14ac:dyDescent="0.25">
      <c r="A246" t="str">
        <f t="shared" si="16"/>
        <v>00:3110 .data:0004</v>
      </c>
      <c r="B246" t="str">
        <f t="shared" si="20"/>
        <v/>
      </c>
      <c r="C246" t="str">
        <f>_xlfn.SWITCH(LEFT(H246,1),";",B246,"b",_xlfn.CONCAT(".data:",E246),"c",_xlfn.CONCAT(".code:",E246),"")</f>
        <v>.data:0004</v>
      </c>
      <c r="D246" t="str">
        <f t="shared" si="17"/>
        <v>3110</v>
      </c>
      <c r="E246" t="str">
        <f t="shared" si="18"/>
        <v>0004</v>
      </c>
      <c r="F246">
        <f t="shared" si="19"/>
        <v>4</v>
      </c>
      <c r="G246">
        <f>HEX2DEC("3110")</f>
        <v>12560</v>
      </c>
      <c r="H246" t="s">
        <v>7</v>
      </c>
    </row>
    <row r="247" spans="1:8" x14ac:dyDescent="0.25">
      <c r="A247" t="str">
        <f t="shared" si="16"/>
        <v>00:3114 .data:0004</v>
      </c>
      <c r="B247" t="str">
        <f t="shared" si="20"/>
        <v/>
      </c>
      <c r="C247" t="str">
        <f>_xlfn.SWITCH(LEFT(H247,1),";",B247,"b",_xlfn.CONCAT(".data:",E247),"c",_xlfn.CONCAT(".code:",E247),"")</f>
        <v>.data:0004</v>
      </c>
      <c r="D247" t="str">
        <f t="shared" si="17"/>
        <v>3114</v>
      </c>
      <c r="E247" t="str">
        <f t="shared" si="18"/>
        <v>0004</v>
      </c>
      <c r="F247">
        <f t="shared" si="19"/>
        <v>4</v>
      </c>
      <c r="G247">
        <f>HEX2DEC("3114")</f>
        <v>12564</v>
      </c>
      <c r="H247" t="s">
        <v>7</v>
      </c>
    </row>
    <row r="248" spans="1:8" x14ac:dyDescent="0.25">
      <c r="A248" t="str">
        <f t="shared" si="16"/>
        <v>00:3118 .data:0006</v>
      </c>
      <c r="B248" t="str">
        <f t="shared" si="20"/>
        <v/>
      </c>
      <c r="C248" t="str">
        <f>_xlfn.SWITCH(LEFT(H248,1),";",B248,"b",_xlfn.CONCAT(".data:",E248),"c",_xlfn.CONCAT(".code:",E248),"")</f>
        <v>.data:0006</v>
      </c>
      <c r="D248" t="str">
        <f t="shared" si="17"/>
        <v>3118</v>
      </c>
      <c r="E248" t="str">
        <f t="shared" si="18"/>
        <v>0006</v>
      </c>
      <c r="F248">
        <f t="shared" si="19"/>
        <v>6</v>
      </c>
      <c r="G248">
        <f>HEX2DEC("3118")</f>
        <v>12568</v>
      </c>
      <c r="H248" t="s">
        <v>7</v>
      </c>
    </row>
    <row r="249" spans="1:8" x14ac:dyDescent="0.25">
      <c r="A249" t="str">
        <f t="shared" si="16"/>
        <v>00:311e .data:0009</v>
      </c>
      <c r="B249" t="str">
        <f t="shared" si="20"/>
        <v/>
      </c>
      <c r="C249" t="str">
        <f>_xlfn.SWITCH(LEFT(H249,1),";",B249,"b",_xlfn.CONCAT(".data:",E249),"c",_xlfn.CONCAT(".code:",E249),"")</f>
        <v>.data:0009</v>
      </c>
      <c r="D249" t="str">
        <f t="shared" si="17"/>
        <v>311e</v>
      </c>
      <c r="E249" t="str">
        <f t="shared" si="18"/>
        <v>0009</v>
      </c>
      <c r="F249">
        <f t="shared" si="19"/>
        <v>9</v>
      </c>
      <c r="G249">
        <f>HEX2DEC("311e")</f>
        <v>12574</v>
      </c>
      <c r="H249" t="s">
        <v>7</v>
      </c>
    </row>
    <row r="250" spans="1:8" x14ac:dyDescent="0.25">
      <c r="A250" t="str">
        <f t="shared" si="16"/>
        <v>00:3127 .data:0006</v>
      </c>
      <c r="B250" t="str">
        <f t="shared" si="20"/>
        <v/>
      </c>
      <c r="C250" t="str">
        <f>_xlfn.SWITCH(LEFT(H250,1),";",B250,"b",_xlfn.CONCAT(".data:",E250),"c",_xlfn.CONCAT(".code:",E250),"")</f>
        <v>.data:0006</v>
      </c>
      <c r="D250" t="str">
        <f t="shared" si="17"/>
        <v>3127</v>
      </c>
      <c r="E250" t="str">
        <f t="shared" si="18"/>
        <v>0006</v>
      </c>
      <c r="F250">
        <f t="shared" si="19"/>
        <v>6</v>
      </c>
      <c r="G250">
        <f>HEX2DEC("3127")</f>
        <v>12583</v>
      </c>
      <c r="H250" t="s">
        <v>7</v>
      </c>
    </row>
    <row r="251" spans="1:8" x14ac:dyDescent="0.25">
      <c r="A251" t="str">
        <f t="shared" si="16"/>
        <v>00:312d .data:0006</v>
      </c>
      <c r="B251" t="str">
        <f t="shared" si="20"/>
        <v/>
      </c>
      <c r="C251" t="str">
        <f>_xlfn.SWITCH(LEFT(H251,1),";",B251,"b",_xlfn.CONCAT(".data:",E251),"c",_xlfn.CONCAT(".code:",E251),"")</f>
        <v>.data:0006</v>
      </c>
      <c r="D251" t="str">
        <f t="shared" si="17"/>
        <v>312d</v>
      </c>
      <c r="E251" t="str">
        <f t="shared" si="18"/>
        <v>0006</v>
      </c>
      <c r="F251">
        <f t="shared" si="19"/>
        <v>6</v>
      </c>
      <c r="G251">
        <f>HEX2DEC("312d")</f>
        <v>12589</v>
      </c>
      <c r="H251" t="s">
        <v>7</v>
      </c>
    </row>
    <row r="252" spans="1:8" x14ac:dyDescent="0.25">
      <c r="A252" t="str">
        <f t="shared" si="16"/>
        <v>00:3133 .data:0009</v>
      </c>
      <c r="B252" t="str">
        <f t="shared" si="20"/>
        <v/>
      </c>
      <c r="C252" t="str">
        <f>_xlfn.SWITCH(LEFT(H252,1),";",B252,"b",_xlfn.CONCAT(".data:",E252),"c",_xlfn.CONCAT(".code:",E252),"")</f>
        <v>.data:0009</v>
      </c>
      <c r="D252" t="str">
        <f t="shared" si="17"/>
        <v>3133</v>
      </c>
      <c r="E252" t="str">
        <f t="shared" si="18"/>
        <v>0009</v>
      </c>
      <c r="F252">
        <f t="shared" si="19"/>
        <v>9</v>
      </c>
      <c r="G252">
        <f>HEX2DEC("3133")</f>
        <v>12595</v>
      </c>
      <c r="H252" t="s">
        <v>7</v>
      </c>
    </row>
    <row r="253" spans="1:8" x14ac:dyDescent="0.25">
      <c r="A253" t="str">
        <f t="shared" si="16"/>
        <v>00:313c .data:000c</v>
      </c>
      <c r="B253" t="str">
        <f t="shared" si="20"/>
        <v/>
      </c>
      <c r="C253" t="str">
        <f>_xlfn.SWITCH(LEFT(H253,1),";",B253,"b",_xlfn.CONCAT(".data:",E253),"c",_xlfn.CONCAT(".code:",E253),"")</f>
        <v>.data:000c</v>
      </c>
      <c r="D253" t="str">
        <f t="shared" si="17"/>
        <v>313c</v>
      </c>
      <c r="E253" t="str">
        <f t="shared" si="18"/>
        <v>000c</v>
      </c>
      <c r="F253">
        <f t="shared" si="19"/>
        <v>12</v>
      </c>
      <c r="G253">
        <f>HEX2DEC("313c")</f>
        <v>12604</v>
      </c>
      <c r="H253" t="s">
        <v>7</v>
      </c>
    </row>
    <row r="254" spans="1:8" x14ac:dyDescent="0.25">
      <c r="A254" t="str">
        <f t="shared" si="16"/>
        <v>00:3148 .data:0017</v>
      </c>
      <c r="B254" t="str">
        <f t="shared" si="20"/>
        <v/>
      </c>
      <c r="C254" t="str">
        <f>_xlfn.SWITCH(LEFT(H254,1),";",B254,"b",_xlfn.CONCAT(".data:",E254),"c",_xlfn.CONCAT(".code:",E254),"")</f>
        <v>.data:0017</v>
      </c>
      <c r="D254" t="str">
        <f t="shared" si="17"/>
        <v>3148</v>
      </c>
      <c r="E254" t="str">
        <f t="shared" si="18"/>
        <v>0017</v>
      </c>
      <c r="F254">
        <f t="shared" si="19"/>
        <v>23</v>
      </c>
      <c r="G254">
        <f>HEX2DEC("3148")</f>
        <v>12616</v>
      </c>
      <c r="H254" t="s">
        <v>7</v>
      </c>
    </row>
    <row r="255" spans="1:8" x14ac:dyDescent="0.25">
      <c r="A255" t="str">
        <f t="shared" si="16"/>
        <v>00:315f .data:0007</v>
      </c>
      <c r="B255" t="str">
        <f t="shared" si="20"/>
        <v/>
      </c>
      <c r="C255" t="str">
        <f>_xlfn.SWITCH(LEFT(H255,1),";",B255,"b",_xlfn.CONCAT(".data:",E255),"c",_xlfn.CONCAT(".code:",E255),"")</f>
        <v>.data:0007</v>
      </c>
      <c r="D255" t="str">
        <f t="shared" si="17"/>
        <v>315f</v>
      </c>
      <c r="E255" t="str">
        <f t="shared" si="18"/>
        <v>0007</v>
      </c>
      <c r="F255">
        <f t="shared" si="19"/>
        <v>7</v>
      </c>
      <c r="G255">
        <f>HEX2DEC("315f")</f>
        <v>12639</v>
      </c>
      <c r="H255" t="s">
        <v>7</v>
      </c>
    </row>
    <row r="256" spans="1:8" x14ac:dyDescent="0.25">
      <c r="A256" t="str">
        <f t="shared" si="16"/>
        <v>00:3166 .data:0018</v>
      </c>
      <c r="B256" t="str">
        <f t="shared" si="20"/>
        <v/>
      </c>
      <c r="C256" t="str">
        <f>_xlfn.SWITCH(LEFT(H256,1),";",B256,"b",_xlfn.CONCAT(".data:",E256),"c",_xlfn.CONCAT(".code:",E256),"")</f>
        <v>.data:0018</v>
      </c>
      <c r="D256" t="str">
        <f t="shared" si="17"/>
        <v>3166</v>
      </c>
      <c r="E256" t="str">
        <f t="shared" si="18"/>
        <v>0018</v>
      </c>
      <c r="F256">
        <f t="shared" si="19"/>
        <v>24</v>
      </c>
      <c r="G256">
        <f>HEX2DEC("3166")</f>
        <v>12646</v>
      </c>
      <c r="H256" t="s">
        <v>7</v>
      </c>
    </row>
    <row r="257" spans="1:8" x14ac:dyDescent="0.25">
      <c r="A257" t="str">
        <f t="shared" si="16"/>
        <v>00:317e .data:0012</v>
      </c>
      <c r="B257" t="str">
        <f t="shared" si="20"/>
        <v/>
      </c>
      <c r="C257" t="str">
        <f>_xlfn.SWITCH(LEFT(H257,1),";",B257,"b",_xlfn.CONCAT(".data:",E257),"c",_xlfn.CONCAT(".code:",E257),"")</f>
        <v>.data:0012</v>
      </c>
      <c r="D257" t="str">
        <f t="shared" si="17"/>
        <v>317e</v>
      </c>
      <c r="E257" t="str">
        <f t="shared" si="18"/>
        <v>0012</v>
      </c>
      <c r="F257">
        <f t="shared" si="19"/>
        <v>18</v>
      </c>
      <c r="G257">
        <f>HEX2DEC("317e")</f>
        <v>12670</v>
      </c>
      <c r="H257" t="s">
        <v>7</v>
      </c>
    </row>
    <row r="258" spans="1:8" x14ac:dyDescent="0.25">
      <c r="A258" t="str">
        <f t="shared" ref="A258:A321" si="21">IF(LEN(C258)&gt;0,_xlfn.CONCAT("00:",D258," ",C258),"")</f>
        <v>00:3190 .data:000f</v>
      </c>
      <c r="B258" t="str">
        <f t="shared" si="20"/>
        <v/>
      </c>
      <c r="C258" t="str">
        <f>_xlfn.SWITCH(LEFT(H258,1),";",B258,"b",_xlfn.CONCAT(".data:",E258),"c",_xlfn.CONCAT(".code:",E258),"")</f>
        <v>.data:000f</v>
      </c>
      <c r="D258" t="str">
        <f t="shared" ref="D258:D321" si="22">LOWER(DEC2HEX(G258,4))</f>
        <v>3190</v>
      </c>
      <c r="E258" t="str">
        <f t="shared" ref="E258:E321" si="23">LOWER(DEC2HEX(F258,4))</f>
        <v>000f</v>
      </c>
      <c r="F258">
        <f t="shared" ref="F258:F321" si="24">IF(G259-G258&gt;0,G259-G258,F259)</f>
        <v>15</v>
      </c>
      <c r="G258">
        <f>HEX2DEC("3190")</f>
        <v>12688</v>
      </c>
      <c r="H258" t="s">
        <v>7</v>
      </c>
    </row>
    <row r="259" spans="1:8" x14ac:dyDescent="0.25">
      <c r="A259" t="str">
        <f t="shared" si="21"/>
        <v>00:319f .data:0006</v>
      </c>
      <c r="B259" t="str">
        <f t="shared" si="20"/>
        <v/>
      </c>
      <c r="C259" t="str">
        <f>_xlfn.SWITCH(LEFT(H259,1),";",B259,"b",_xlfn.CONCAT(".data:",E259),"c",_xlfn.CONCAT(".code:",E259),"")</f>
        <v>.data:0006</v>
      </c>
      <c r="D259" t="str">
        <f t="shared" si="22"/>
        <v>319f</v>
      </c>
      <c r="E259" t="str">
        <f t="shared" si="23"/>
        <v>0006</v>
      </c>
      <c r="F259">
        <f t="shared" si="24"/>
        <v>6</v>
      </c>
      <c r="G259">
        <f>HEX2DEC("319f")</f>
        <v>12703</v>
      </c>
      <c r="H259" t="s">
        <v>7</v>
      </c>
    </row>
    <row r="260" spans="1:8" x14ac:dyDescent="0.25">
      <c r="A260" t="str">
        <f t="shared" si="21"/>
        <v>00:31a5 .data:0cea</v>
      </c>
      <c r="B260" t="str">
        <f t="shared" si="20"/>
        <v/>
      </c>
      <c r="C260" t="str">
        <f>_xlfn.SWITCH(LEFT(H260,1),";",B260,"b",_xlfn.CONCAT(".data:",E260),"c",_xlfn.CONCAT(".code:",E260),"")</f>
        <v>.data:0cea</v>
      </c>
      <c r="D260" t="str">
        <f t="shared" si="22"/>
        <v>31a5</v>
      </c>
      <c r="E260" t="str">
        <f t="shared" si="23"/>
        <v>0cea</v>
      </c>
      <c r="F260">
        <f t="shared" si="24"/>
        <v>3306</v>
      </c>
      <c r="G260">
        <f>HEX2DEC("31a5")</f>
        <v>12709</v>
      </c>
      <c r="H260" t="s">
        <v>7</v>
      </c>
    </row>
    <row r="261" spans="1:8" x14ac:dyDescent="0.25">
      <c r="A261" t="str">
        <f t="shared" si="21"/>
        <v>00:3e8f Type-A_Falling_Blocks_Screen_(20x18_chars)</v>
      </c>
      <c r="B261" t="str">
        <f t="shared" si="20"/>
        <v>Type-A_Falling_Blocks_Screen_(20x18_chars)</v>
      </c>
      <c r="C261" t="str">
        <f>_xlfn.SWITCH(LEFT(H261,1),";",B261,"b",_xlfn.CONCAT(".data:",E261),"c",_xlfn.CONCAT(".code:",E261),"")</f>
        <v>Type-A_Falling_Blocks_Screen_(20x18_chars)</v>
      </c>
      <c r="D261" t="str">
        <f t="shared" si="22"/>
        <v>3e8f</v>
      </c>
      <c r="E261" t="str">
        <f t="shared" si="23"/>
        <v>0168</v>
      </c>
      <c r="F261">
        <f t="shared" si="24"/>
        <v>360</v>
      </c>
      <c r="G261">
        <f>HEX2DEC("3e8f")</f>
        <v>16015</v>
      </c>
      <c r="H261" t="s">
        <v>100</v>
      </c>
    </row>
    <row r="262" spans="1:8" x14ac:dyDescent="0.25">
      <c r="A262" t="str">
        <f t="shared" si="21"/>
        <v>00:3ff7 Type-B_Falling_Blocks_Screen_(20x18_chars)</v>
      </c>
      <c r="B262" t="str">
        <f t="shared" si="20"/>
        <v>Type-B_Falling_Blocks_Screen_(20x18_chars)</v>
      </c>
      <c r="C262" t="str">
        <f>_xlfn.SWITCH(LEFT(H262,1),";",B262,"b",_xlfn.CONCAT(".data:",E262),"c",_xlfn.CONCAT(".code:",E262),"")</f>
        <v>Type-B_Falling_Blocks_Screen_(20x18_chars)</v>
      </c>
      <c r="D262" t="str">
        <f t="shared" si="22"/>
        <v>3ff7</v>
      </c>
      <c r="E262" t="str">
        <f t="shared" si="23"/>
        <v>0168</v>
      </c>
      <c r="F262">
        <f t="shared" si="24"/>
        <v>360</v>
      </c>
      <c r="G262">
        <f>HEX2DEC("3ff7")</f>
        <v>16375</v>
      </c>
      <c r="H262" t="s">
        <v>101</v>
      </c>
    </row>
    <row r="263" spans="1:8" x14ac:dyDescent="0.25">
      <c r="A263" t="str">
        <f t="shared" si="21"/>
        <v>00:415f Character_Set</v>
      </c>
      <c r="B263" t="str">
        <f t="shared" si="20"/>
        <v>Character_Set</v>
      </c>
      <c r="C263" t="str">
        <f>_xlfn.SWITCH(LEFT(H263,1),";",B263,"b",_xlfn.CONCAT(".data:",E263),"c",_xlfn.CONCAT(".code:",E263),"")</f>
        <v>Character_Set</v>
      </c>
      <c r="D263" t="str">
        <f t="shared" si="22"/>
        <v>415f</v>
      </c>
      <c r="E263" t="str">
        <f t="shared" si="23"/>
        <v>08a8</v>
      </c>
      <c r="F263">
        <f t="shared" si="24"/>
        <v>2216</v>
      </c>
      <c r="G263">
        <f>HEX2DEC("415f")</f>
        <v>16735</v>
      </c>
      <c r="H263" t="s">
        <v>102</v>
      </c>
    </row>
    <row r="264" spans="1:8" x14ac:dyDescent="0.25">
      <c r="A264" t="str">
        <f t="shared" si="21"/>
        <v>00:4a07 Initial_Credits_Screen_(20x18_chars)</v>
      </c>
      <c r="B264" t="str">
        <f t="shared" si="20"/>
        <v>Initial_Credits_Screen_(20x18_chars)</v>
      </c>
      <c r="C264" t="str">
        <f>_xlfn.SWITCH(LEFT(H264,1),";",B264,"b",_xlfn.CONCAT(".data:",E264),"c",_xlfn.CONCAT(".code:",E264),"")</f>
        <v>Initial_Credits_Screen_(20x18_chars)</v>
      </c>
      <c r="D264" t="str">
        <f t="shared" si="22"/>
        <v>4a07</v>
      </c>
      <c r="E264" t="str">
        <f t="shared" si="23"/>
        <v>0168</v>
      </c>
      <c r="F264">
        <f t="shared" si="24"/>
        <v>360</v>
      </c>
      <c r="G264">
        <f>HEX2DEC("4a07")</f>
        <v>18951</v>
      </c>
      <c r="H264" t="s">
        <v>103</v>
      </c>
    </row>
    <row r="265" spans="1:8" x14ac:dyDescent="0.25">
      <c r="A265" t="str">
        <f t="shared" si="21"/>
        <v>00:4b6f Intro_Player_Select_Screen_(20x18_chars)</v>
      </c>
      <c r="B265" t="str">
        <f t="shared" si="20"/>
        <v>Intro_Player_Select_Screen_(20x18_chars)</v>
      </c>
      <c r="C265" t="str">
        <f>_xlfn.SWITCH(LEFT(H265,1),";",B265,"b",_xlfn.CONCAT(".data:",E265),"c",_xlfn.CONCAT(".code:",E265),"")</f>
        <v>Intro_Player_Select_Screen_(20x18_chars)</v>
      </c>
      <c r="D265" t="str">
        <f t="shared" si="22"/>
        <v>4b6f</v>
      </c>
      <c r="E265" t="str">
        <f t="shared" si="23"/>
        <v>0168</v>
      </c>
      <c r="F265">
        <f t="shared" si="24"/>
        <v>360</v>
      </c>
      <c r="G265">
        <f>HEX2DEC("4b6f")</f>
        <v>19311</v>
      </c>
      <c r="H265" t="s">
        <v>104</v>
      </c>
    </row>
    <row r="266" spans="1:8" x14ac:dyDescent="0.25">
      <c r="A266" t="str">
        <f t="shared" si="21"/>
        <v>00:4cd7 Select_Game_&amp;_Music_Type_Screen_(20x18_chars)</v>
      </c>
      <c r="B266" t="str">
        <f t="shared" si="20"/>
        <v>Select_Game_&amp;_Music_Type_Screen_(20x18_chars)</v>
      </c>
      <c r="C266" t="str">
        <f>_xlfn.SWITCH(LEFT(H266,1),";",B266,"b",_xlfn.CONCAT(".data:",E266),"c",_xlfn.CONCAT(".code:",E266),"")</f>
        <v>Select_Game_&amp;_Music_Type_Screen_(20x18_chars)</v>
      </c>
      <c r="D266" t="str">
        <f t="shared" si="22"/>
        <v>4cd7</v>
      </c>
      <c r="E266" t="str">
        <f t="shared" si="23"/>
        <v>0168</v>
      </c>
      <c r="F266">
        <f t="shared" si="24"/>
        <v>360</v>
      </c>
      <c r="G266">
        <f>HEX2DEC("4cd7")</f>
        <v>19671</v>
      </c>
      <c r="H266" t="s">
        <v>105</v>
      </c>
    </row>
    <row r="267" spans="1:8" x14ac:dyDescent="0.25">
      <c r="A267" t="str">
        <f t="shared" si="21"/>
        <v>00:4e3f Type-A_Select_Level_/_Top_Score_Screen_(20x18_chars)</v>
      </c>
      <c r="B267" t="str">
        <f t="shared" si="20"/>
        <v>Type-A_Select_Level_/_Top_Score_Screen_(20x18_chars)</v>
      </c>
      <c r="C267" t="str">
        <f>_xlfn.SWITCH(LEFT(H267,1),";",B267,"b",_xlfn.CONCAT(".data:",E267),"c",_xlfn.CONCAT(".code:",E267),"")</f>
        <v>Type-A_Select_Level_/_Top_Score_Screen_(20x18_chars)</v>
      </c>
      <c r="D267" t="str">
        <f t="shared" si="22"/>
        <v>4e3f</v>
      </c>
      <c r="E267" t="str">
        <f t="shared" si="23"/>
        <v>0168</v>
      </c>
      <c r="F267">
        <f t="shared" si="24"/>
        <v>360</v>
      </c>
      <c r="G267">
        <f>HEX2DEC("4e3f")</f>
        <v>20031</v>
      </c>
      <c r="H267" t="s">
        <v>106</v>
      </c>
    </row>
    <row r="268" spans="1:8" x14ac:dyDescent="0.25">
      <c r="A268" t="str">
        <f t="shared" si="21"/>
        <v>00:4fa7 Type-B_Select_Level_/_High_/_Top_Score_Screen_(20x18_chars)</v>
      </c>
      <c r="B268" t="str">
        <f t="shared" si="20"/>
        <v>Type-B_Select_Level_/_High_/_Top_Score_Screen_(20x18_chars)</v>
      </c>
      <c r="C268" t="str">
        <f>_xlfn.SWITCH(LEFT(H268,1),";",B268,"b",_xlfn.CONCAT(".data:",E268),"c",_xlfn.CONCAT(".code:",E268),"")</f>
        <v>Type-B_Select_Level_/_High_/_Top_Score_Screen_(20x18_chars)</v>
      </c>
      <c r="D268" t="str">
        <f t="shared" si="22"/>
        <v>4fa7</v>
      </c>
      <c r="E268" t="str">
        <f t="shared" si="23"/>
        <v>026d</v>
      </c>
      <c r="F268">
        <f t="shared" si="24"/>
        <v>621</v>
      </c>
      <c r="G268">
        <f>HEX2DEC("4fa7")</f>
        <v>20391</v>
      </c>
      <c r="H268" t="s">
        <v>107</v>
      </c>
    </row>
    <row r="269" spans="1:8" x14ac:dyDescent="0.25">
      <c r="A269" t="str">
        <f t="shared" si="21"/>
        <v>00:5214 Mario_VS_Luigi_Screen_(20x18_chars)</v>
      </c>
      <c r="B269" t="str">
        <f t="shared" si="20"/>
        <v>Mario_VS_Luigi_Screen_(20x18_chars)</v>
      </c>
      <c r="C269" t="str">
        <f>_xlfn.SWITCH(LEFT(H269,1),";",B269,"b",_xlfn.CONCAT(".data:",E269),"c",_xlfn.CONCAT(".code:",E269),"")</f>
        <v>Mario_VS_Luigi_Screen_(20x18_chars)</v>
      </c>
      <c r="D269" t="str">
        <f t="shared" si="22"/>
        <v>5214</v>
      </c>
      <c r="E269" t="str">
        <f t="shared" si="23"/>
        <v>0168</v>
      </c>
      <c r="F269">
        <f t="shared" si="24"/>
        <v>360</v>
      </c>
      <c r="G269">
        <f>HEX2DEC("5214")</f>
        <v>21012</v>
      </c>
      <c r="H269" t="s">
        <v>108</v>
      </c>
    </row>
    <row r="270" spans="1:8" x14ac:dyDescent="0.25">
      <c r="A270" t="str">
        <f t="shared" si="21"/>
        <v>00:537c Type-B_Falling_Blocks_Screen_(20x18_chars)_(same_as_3ff7_????)</v>
      </c>
      <c r="B270" t="str">
        <f t="shared" si="20"/>
        <v>Type-B_Falling_Blocks_Screen_(20x18_chars)_(same_as_3ff7_????)</v>
      </c>
      <c r="C270" t="str">
        <f>_xlfn.SWITCH(LEFT(H270,1),";",B270,"b",_xlfn.CONCAT(".data:",E270),"c",_xlfn.CONCAT(".code:",E270),"")</f>
        <v>Type-B_Falling_Blocks_Screen_(20x18_chars)_(same_as_3ff7_????)</v>
      </c>
      <c r="D270" t="str">
        <f t="shared" si="22"/>
        <v>537c</v>
      </c>
      <c r="E270" t="str">
        <f t="shared" si="23"/>
        <v>1156</v>
      </c>
      <c r="F270">
        <f t="shared" si="24"/>
        <v>4438</v>
      </c>
      <c r="G270">
        <f>HEX2DEC("537c")</f>
        <v>21372</v>
      </c>
      <c r="H270" t="s">
        <v>109</v>
      </c>
    </row>
    <row r="271" spans="1:8" x14ac:dyDescent="0.25">
      <c r="A271" t="str">
        <f t="shared" si="21"/>
        <v>00:64d2 .code:00a9</v>
      </c>
      <c r="B271" t="str">
        <f t="shared" si="20"/>
        <v/>
      </c>
      <c r="C271" t="str">
        <f>_xlfn.SWITCH(LEFT(H271,1),";",B271,"b",_xlfn.CONCAT(".data:",E271),"c",_xlfn.CONCAT(".code:",E271),"")</f>
        <v>.code:00a9</v>
      </c>
      <c r="D271" t="str">
        <f t="shared" si="22"/>
        <v>64d2</v>
      </c>
      <c r="E271" t="str">
        <f t="shared" si="23"/>
        <v>00a9</v>
      </c>
      <c r="F271">
        <f t="shared" si="24"/>
        <v>169</v>
      </c>
      <c r="G271">
        <f>HEX2DEC("64d2")</f>
        <v>25810</v>
      </c>
      <c r="H271" t="s">
        <v>9</v>
      </c>
    </row>
    <row r="272" spans="1:8" x14ac:dyDescent="0.25">
      <c r="A272" t="str">
        <f t="shared" si="21"/>
        <v>00:657b .data:0008</v>
      </c>
      <c r="B272" t="str">
        <f t="shared" si="20"/>
        <v/>
      </c>
      <c r="C272" t="str">
        <f>_xlfn.SWITCH(LEFT(H272,1),";",B272,"b",_xlfn.CONCAT(".data:",E272),"c",_xlfn.CONCAT(".code:",E272),"")</f>
        <v>.data:0008</v>
      </c>
      <c r="D272" t="str">
        <f t="shared" si="22"/>
        <v>657b</v>
      </c>
      <c r="E272" t="str">
        <f t="shared" si="23"/>
        <v>0008</v>
      </c>
      <c r="F272">
        <f t="shared" si="24"/>
        <v>8</v>
      </c>
      <c r="G272">
        <f>HEX2DEC("657b")</f>
        <v>25979</v>
      </c>
      <c r="H272" t="s">
        <v>7</v>
      </c>
    </row>
    <row r="273" spans="1:8" x14ac:dyDescent="0.25">
      <c r="A273" t="str">
        <f t="shared" si="21"/>
        <v>00:6583 .code:0018</v>
      </c>
      <c r="B273" t="str">
        <f t="shared" si="20"/>
        <v/>
      </c>
      <c r="C273" t="str">
        <f>_xlfn.SWITCH(LEFT(H273,1),";",B273,"b",_xlfn.CONCAT(".data:",E273),"c",_xlfn.CONCAT(".code:",E273),"")</f>
        <v>.code:0018</v>
      </c>
      <c r="D273" t="str">
        <f t="shared" si="22"/>
        <v>6583</v>
      </c>
      <c r="E273" t="str">
        <f t="shared" si="23"/>
        <v>0018</v>
      </c>
      <c r="F273">
        <f t="shared" si="24"/>
        <v>24</v>
      </c>
      <c r="G273">
        <f>HEX2DEC("6583")</f>
        <v>25987</v>
      </c>
      <c r="H273" t="s">
        <v>9</v>
      </c>
    </row>
    <row r="274" spans="1:8" x14ac:dyDescent="0.25">
      <c r="A274" t="str">
        <f t="shared" si="21"/>
        <v>00:659b .data:000f</v>
      </c>
      <c r="B274" t="str">
        <f t="shared" si="20"/>
        <v/>
      </c>
      <c r="C274" t="str">
        <f>_xlfn.SWITCH(LEFT(H274,1),";",B274,"b",_xlfn.CONCAT(".data:",E274),"c",_xlfn.CONCAT(".code:",E274),"")</f>
        <v>.data:000f</v>
      </c>
      <c r="D274" t="str">
        <f t="shared" si="22"/>
        <v>659b</v>
      </c>
      <c r="E274" t="str">
        <f t="shared" si="23"/>
        <v>000f</v>
      </c>
      <c r="F274">
        <f t="shared" si="24"/>
        <v>15</v>
      </c>
      <c r="G274">
        <f>HEX2DEC("659b")</f>
        <v>26011</v>
      </c>
      <c r="H274" t="s">
        <v>7</v>
      </c>
    </row>
    <row r="275" spans="1:8" x14ac:dyDescent="0.25">
      <c r="A275" t="str">
        <f t="shared" si="21"/>
        <v>00:65aa .code:003d</v>
      </c>
      <c r="B275" t="str">
        <f t="shared" ref="B275:B338" si="25">SUBSTITUTE(TRIM(RIGHT(H275,LEN(H275)-1)), " ", "_")</f>
        <v/>
      </c>
      <c r="C275" t="str">
        <f>_xlfn.SWITCH(LEFT(H275,1),";",B275,"b",_xlfn.CONCAT(".data:",E275),"c",_xlfn.CONCAT(".code:",E275),"")</f>
        <v>.code:003d</v>
      </c>
      <c r="D275" t="str">
        <f t="shared" si="22"/>
        <v>65aa</v>
      </c>
      <c r="E275" t="str">
        <f t="shared" si="23"/>
        <v>003d</v>
      </c>
      <c r="F275">
        <f t="shared" si="24"/>
        <v>61</v>
      </c>
      <c r="G275">
        <f>HEX2DEC("65aa")</f>
        <v>26026</v>
      </c>
      <c r="H275" t="s">
        <v>9</v>
      </c>
    </row>
    <row r="276" spans="1:8" x14ac:dyDescent="0.25">
      <c r="A276" t="str">
        <f t="shared" si="21"/>
        <v>00:65e7 .data:000a</v>
      </c>
      <c r="B276" t="str">
        <f t="shared" si="25"/>
        <v/>
      </c>
      <c r="C276" t="str">
        <f>_xlfn.SWITCH(LEFT(H276,1),";",B276,"b",_xlfn.CONCAT(".data:",E276),"c",_xlfn.CONCAT(".code:",E276),"")</f>
        <v>.data:000a</v>
      </c>
      <c r="D276" t="str">
        <f t="shared" si="22"/>
        <v>65e7</v>
      </c>
      <c r="E276" t="str">
        <f t="shared" si="23"/>
        <v>000a</v>
      </c>
      <c r="F276">
        <f t="shared" si="24"/>
        <v>10</v>
      </c>
      <c r="G276">
        <f>HEX2DEC("65e7")</f>
        <v>26087</v>
      </c>
      <c r="H276" t="s">
        <v>7</v>
      </c>
    </row>
    <row r="277" spans="1:8" x14ac:dyDescent="0.25">
      <c r="A277" t="str">
        <f t="shared" si="21"/>
        <v>00:65f1 .code:0032</v>
      </c>
      <c r="B277" t="str">
        <f t="shared" si="25"/>
        <v/>
      </c>
      <c r="C277" t="str">
        <f>_xlfn.SWITCH(LEFT(H277,1),";",B277,"b",_xlfn.CONCAT(".data:",E277),"c",_xlfn.CONCAT(".code:",E277),"")</f>
        <v>.code:0032</v>
      </c>
      <c r="D277" t="str">
        <f t="shared" si="22"/>
        <v>65f1</v>
      </c>
      <c r="E277" t="str">
        <f t="shared" si="23"/>
        <v>0032</v>
      </c>
      <c r="F277">
        <f t="shared" si="24"/>
        <v>50</v>
      </c>
      <c r="G277">
        <f>HEX2DEC("65f1")</f>
        <v>26097</v>
      </c>
      <c r="H277" t="s">
        <v>9</v>
      </c>
    </row>
    <row r="278" spans="1:8" x14ac:dyDescent="0.25">
      <c r="A278" t="str">
        <f t="shared" si="21"/>
        <v>00:6623 .data:0005</v>
      </c>
      <c r="B278" t="str">
        <f t="shared" si="25"/>
        <v/>
      </c>
      <c r="C278" t="str">
        <f>_xlfn.SWITCH(LEFT(H278,1),";",B278,"b",_xlfn.CONCAT(".data:",E278),"c",_xlfn.CONCAT(".code:",E278),"")</f>
        <v>.data:0005</v>
      </c>
      <c r="D278" t="str">
        <f t="shared" si="22"/>
        <v>6623</v>
      </c>
      <c r="E278" t="str">
        <f t="shared" si="23"/>
        <v>0005</v>
      </c>
      <c r="F278">
        <f t="shared" si="24"/>
        <v>5</v>
      </c>
      <c r="G278">
        <f>HEX2DEC("6623")</f>
        <v>26147</v>
      </c>
      <c r="H278" t="s">
        <v>7</v>
      </c>
    </row>
    <row r="279" spans="1:8" x14ac:dyDescent="0.25">
      <c r="A279" t="str">
        <f t="shared" si="21"/>
        <v>00:6628 .code:0018</v>
      </c>
      <c r="B279" t="str">
        <f t="shared" si="25"/>
        <v/>
      </c>
      <c r="C279" t="str">
        <f>_xlfn.SWITCH(LEFT(H279,1),";",B279,"b",_xlfn.CONCAT(".data:",E279),"c",_xlfn.CONCAT(".code:",E279),"")</f>
        <v>.code:0018</v>
      </c>
      <c r="D279" t="str">
        <f t="shared" si="22"/>
        <v>6628</v>
      </c>
      <c r="E279" t="str">
        <f t="shared" si="23"/>
        <v>0018</v>
      </c>
      <c r="F279">
        <f t="shared" si="24"/>
        <v>24</v>
      </c>
      <c r="G279">
        <f>HEX2DEC("6628")</f>
        <v>26152</v>
      </c>
      <c r="H279" t="s">
        <v>9</v>
      </c>
    </row>
    <row r="280" spans="1:8" x14ac:dyDescent="0.25">
      <c r="A280" t="str">
        <f t="shared" si="21"/>
        <v>00:6640 .data:0014</v>
      </c>
      <c r="B280" t="str">
        <f t="shared" si="25"/>
        <v/>
      </c>
      <c r="C280" t="str">
        <f>_xlfn.SWITCH(LEFT(H280,1),";",B280,"b",_xlfn.CONCAT(".data:",E280),"c",_xlfn.CONCAT(".code:",E280),"")</f>
        <v>.data:0014</v>
      </c>
      <c r="D280" t="str">
        <f t="shared" si="22"/>
        <v>6640</v>
      </c>
      <c r="E280" t="str">
        <f t="shared" si="23"/>
        <v>0014</v>
      </c>
      <c r="F280">
        <f t="shared" si="24"/>
        <v>20</v>
      </c>
      <c r="G280">
        <f>HEX2DEC("6640")</f>
        <v>26176</v>
      </c>
      <c r="H280" t="s">
        <v>7</v>
      </c>
    </row>
    <row r="281" spans="1:8" x14ac:dyDescent="0.25">
      <c r="A281" t="str">
        <f t="shared" si="21"/>
        <v>00:6654 .code:0041</v>
      </c>
      <c r="B281" t="str">
        <f t="shared" si="25"/>
        <v/>
      </c>
      <c r="C281" t="str">
        <f>_xlfn.SWITCH(LEFT(H281,1),";",B281,"b",_xlfn.CONCAT(".data:",E281),"c",_xlfn.CONCAT(".code:",E281),"")</f>
        <v>.code:0041</v>
      </c>
      <c r="D281" t="str">
        <f t="shared" si="22"/>
        <v>6654</v>
      </c>
      <c r="E281" t="str">
        <f t="shared" si="23"/>
        <v>0041</v>
      </c>
      <c r="F281">
        <f t="shared" si="24"/>
        <v>65</v>
      </c>
      <c r="G281">
        <f>HEX2DEC("6654")</f>
        <v>26196</v>
      </c>
      <c r="H281" t="s">
        <v>9</v>
      </c>
    </row>
    <row r="282" spans="1:8" x14ac:dyDescent="0.25">
      <c r="A282" t="str">
        <f t="shared" si="21"/>
        <v>00:6695 .data:001a</v>
      </c>
      <c r="B282" t="str">
        <f t="shared" si="25"/>
        <v/>
      </c>
      <c r="C282" t="str">
        <f>_xlfn.SWITCH(LEFT(H282,1),";",B282,"b",_xlfn.CONCAT(".data:",E282),"c",_xlfn.CONCAT(".code:",E282),"")</f>
        <v>.data:001a</v>
      </c>
      <c r="D282" t="str">
        <f t="shared" si="22"/>
        <v>6695</v>
      </c>
      <c r="E282" t="str">
        <f t="shared" si="23"/>
        <v>001a</v>
      </c>
      <c r="F282">
        <f t="shared" si="24"/>
        <v>26</v>
      </c>
      <c r="G282">
        <f>HEX2DEC("6695")</f>
        <v>26261</v>
      </c>
      <c r="H282" t="s">
        <v>7</v>
      </c>
    </row>
    <row r="283" spans="1:8" x14ac:dyDescent="0.25">
      <c r="A283" t="str">
        <f t="shared" si="21"/>
        <v>00:66af .code:003d</v>
      </c>
      <c r="B283" t="str">
        <f t="shared" si="25"/>
        <v/>
      </c>
      <c r="C283" t="str">
        <f>_xlfn.SWITCH(LEFT(H283,1),";",B283,"b",_xlfn.CONCAT(".data:",E283),"c",_xlfn.CONCAT(".code:",E283),"")</f>
        <v>.code:003d</v>
      </c>
      <c r="D283" t="str">
        <f t="shared" si="22"/>
        <v>66af</v>
      </c>
      <c r="E283" t="str">
        <f t="shared" si="23"/>
        <v>003d</v>
      </c>
      <c r="F283">
        <f t="shared" si="24"/>
        <v>61</v>
      </c>
      <c r="G283">
        <f>HEX2DEC("66af")</f>
        <v>26287</v>
      </c>
      <c r="H283" t="s">
        <v>9</v>
      </c>
    </row>
    <row r="284" spans="1:8" x14ac:dyDescent="0.25">
      <c r="A284" t="str">
        <f t="shared" si="21"/>
        <v>00:66ec .data:0010</v>
      </c>
      <c r="B284" t="str">
        <f t="shared" si="25"/>
        <v/>
      </c>
      <c r="C284" t="str">
        <f>_xlfn.SWITCH(LEFT(H284,1),";",B284,"b",_xlfn.CONCAT(".data:",E284),"c",_xlfn.CONCAT(".code:",E284),"")</f>
        <v>.data:0010</v>
      </c>
      <c r="D284" t="str">
        <f t="shared" si="22"/>
        <v>66ec</v>
      </c>
      <c r="E284" t="str">
        <f t="shared" si="23"/>
        <v>0010</v>
      </c>
      <c r="F284">
        <f t="shared" si="24"/>
        <v>16</v>
      </c>
      <c r="G284">
        <f>HEX2DEC("66ec")</f>
        <v>26348</v>
      </c>
      <c r="H284" t="s">
        <v>7</v>
      </c>
    </row>
    <row r="285" spans="1:8" x14ac:dyDescent="0.25">
      <c r="A285" t="str">
        <f t="shared" si="21"/>
        <v>00:66fc .code:0044</v>
      </c>
      <c r="B285" t="str">
        <f t="shared" si="25"/>
        <v/>
      </c>
      <c r="C285" t="str">
        <f>_xlfn.SWITCH(LEFT(H285,1),";",B285,"b",_xlfn.CONCAT(".data:",E285),"c",_xlfn.CONCAT(".code:",E285),"")</f>
        <v>.code:0044</v>
      </c>
      <c r="D285" t="str">
        <f t="shared" si="22"/>
        <v>66fc</v>
      </c>
      <c r="E285" t="str">
        <f t="shared" si="23"/>
        <v>0044</v>
      </c>
      <c r="F285">
        <f t="shared" si="24"/>
        <v>68</v>
      </c>
      <c r="G285">
        <f>HEX2DEC("66fc")</f>
        <v>26364</v>
      </c>
      <c r="H285" t="s">
        <v>9</v>
      </c>
    </row>
    <row r="286" spans="1:8" x14ac:dyDescent="0.25">
      <c r="A286" t="str">
        <f t="shared" si="21"/>
        <v>00:6740 .data:005d</v>
      </c>
      <c r="B286" t="str">
        <f t="shared" si="25"/>
        <v/>
      </c>
      <c r="C286" t="str">
        <f>_xlfn.SWITCH(LEFT(H286,1),";",B286,"b",_xlfn.CONCAT(".data:",E286),"c",_xlfn.CONCAT(".code:",E286),"")</f>
        <v>.data:005d</v>
      </c>
      <c r="D286" t="str">
        <f t="shared" si="22"/>
        <v>6740</v>
      </c>
      <c r="E286" t="str">
        <f t="shared" si="23"/>
        <v>005d</v>
      </c>
      <c r="F286">
        <f t="shared" si="24"/>
        <v>93</v>
      </c>
      <c r="G286">
        <f>HEX2DEC("6740")</f>
        <v>26432</v>
      </c>
      <c r="H286" t="s">
        <v>7</v>
      </c>
    </row>
    <row r="287" spans="1:8" x14ac:dyDescent="0.25">
      <c r="A287" t="str">
        <f t="shared" si="21"/>
        <v>00:679d .code:005e</v>
      </c>
      <c r="B287" t="str">
        <f t="shared" si="25"/>
        <v/>
      </c>
      <c r="C287" t="str">
        <f>_xlfn.SWITCH(LEFT(H287,1),";",B287,"b",_xlfn.CONCAT(".data:",E287),"c",_xlfn.CONCAT(".code:",E287),"")</f>
        <v>.code:005e</v>
      </c>
      <c r="D287" t="str">
        <f t="shared" si="22"/>
        <v>679d</v>
      </c>
      <c r="E287" t="str">
        <f t="shared" si="23"/>
        <v>005e</v>
      </c>
      <c r="F287">
        <f t="shared" si="24"/>
        <v>94</v>
      </c>
      <c r="G287">
        <f>HEX2DEC("679d")</f>
        <v>26525</v>
      </c>
      <c r="H287" t="s">
        <v>9</v>
      </c>
    </row>
    <row r="288" spans="1:8" x14ac:dyDescent="0.25">
      <c r="A288" t="str">
        <f t="shared" si="21"/>
        <v>00:67fb .data:0005</v>
      </c>
      <c r="B288" t="str">
        <f t="shared" si="25"/>
        <v/>
      </c>
      <c r="C288" t="str">
        <f>_xlfn.SWITCH(LEFT(H288,1),";",B288,"b",_xlfn.CONCAT(".data:",E288),"c",_xlfn.CONCAT(".code:",E288),"")</f>
        <v>.data:0005</v>
      </c>
      <c r="D288" t="str">
        <f t="shared" si="22"/>
        <v>67fb</v>
      </c>
      <c r="E288" t="str">
        <f t="shared" si="23"/>
        <v>0005</v>
      </c>
      <c r="F288">
        <f t="shared" si="24"/>
        <v>5</v>
      </c>
      <c r="G288">
        <f>HEX2DEC("67fb")</f>
        <v>26619</v>
      </c>
      <c r="H288" t="s">
        <v>7</v>
      </c>
    </row>
    <row r="289" spans="1:8" x14ac:dyDescent="0.25">
      <c r="A289" t="str">
        <f t="shared" si="21"/>
        <v>00:6800 .code:0057</v>
      </c>
      <c r="B289" t="str">
        <f t="shared" si="25"/>
        <v/>
      </c>
      <c r="C289" t="str">
        <f>_xlfn.SWITCH(LEFT(H289,1),";",B289,"b",_xlfn.CONCAT(".data:",E289),"c",_xlfn.CONCAT(".code:",E289),"")</f>
        <v>.code:0057</v>
      </c>
      <c r="D289" t="str">
        <f t="shared" si="22"/>
        <v>6800</v>
      </c>
      <c r="E289" t="str">
        <f t="shared" si="23"/>
        <v>0057</v>
      </c>
      <c r="F289">
        <f t="shared" si="24"/>
        <v>87</v>
      </c>
      <c r="G289">
        <f>HEX2DEC("6800")</f>
        <v>26624</v>
      </c>
      <c r="H289" t="s">
        <v>9</v>
      </c>
    </row>
    <row r="290" spans="1:8" x14ac:dyDescent="0.25">
      <c r="A290" t="str">
        <f t="shared" si="21"/>
        <v>00:6857 .data:0014</v>
      </c>
      <c r="B290" t="str">
        <f t="shared" si="25"/>
        <v/>
      </c>
      <c r="C290" t="str">
        <f>_xlfn.SWITCH(LEFT(H290,1),";",B290,"b",_xlfn.CONCAT(".data:",E290),"c",_xlfn.CONCAT(".code:",E290),"")</f>
        <v>.data:0014</v>
      </c>
      <c r="D290" t="str">
        <f t="shared" si="22"/>
        <v>6857</v>
      </c>
      <c r="E290" t="str">
        <f t="shared" si="23"/>
        <v>0014</v>
      </c>
      <c r="F290">
        <f t="shared" si="24"/>
        <v>20</v>
      </c>
      <c r="G290">
        <f>HEX2DEC("6857")</f>
        <v>26711</v>
      </c>
      <c r="H290" t="s">
        <v>7</v>
      </c>
    </row>
    <row r="291" spans="1:8" x14ac:dyDescent="0.25">
      <c r="A291" t="str">
        <f t="shared" si="21"/>
        <v>00:686b .code:00eb</v>
      </c>
      <c r="B291" t="str">
        <f t="shared" si="25"/>
        <v/>
      </c>
      <c r="C291" t="str">
        <f>_xlfn.SWITCH(LEFT(H291,1),";",B291,"b",_xlfn.CONCAT(".data:",E291),"c",_xlfn.CONCAT(".code:",E291),"")</f>
        <v>.code:00eb</v>
      </c>
      <c r="D291" t="str">
        <f t="shared" si="22"/>
        <v>686b</v>
      </c>
      <c r="E291" t="str">
        <f t="shared" si="23"/>
        <v>00eb</v>
      </c>
      <c r="F291">
        <f t="shared" si="24"/>
        <v>235</v>
      </c>
      <c r="G291">
        <f>HEX2DEC("686b")</f>
        <v>26731</v>
      </c>
      <c r="H291" t="s">
        <v>9</v>
      </c>
    </row>
    <row r="292" spans="1:8" x14ac:dyDescent="0.25">
      <c r="A292" t="str">
        <f t="shared" si="21"/>
        <v>00:6956 Set_sound_#1_regs</v>
      </c>
      <c r="B292" t="str">
        <f t="shared" si="25"/>
        <v>Set_sound_#1_regs</v>
      </c>
      <c r="C292" t="str">
        <f>_xlfn.SWITCH(LEFT(H292,1),";",B292,"b",_xlfn.CONCAT(".data:",E292),"c",_xlfn.CONCAT(".code:",E292),"")</f>
        <v>Set_sound_#1_regs</v>
      </c>
      <c r="D292" t="str">
        <f t="shared" si="22"/>
        <v>6956</v>
      </c>
      <c r="E292" t="str">
        <f t="shared" si="23"/>
        <v>0007</v>
      </c>
      <c r="F292">
        <f t="shared" si="24"/>
        <v>7</v>
      </c>
      <c r="G292">
        <f>HEX2DEC("6956")</f>
        <v>26966</v>
      </c>
      <c r="H292" t="s">
        <v>110</v>
      </c>
    </row>
    <row r="293" spans="1:8" x14ac:dyDescent="0.25">
      <c r="A293" t="str">
        <f t="shared" si="21"/>
        <v>00:695d Set_sound_#2_regs</v>
      </c>
      <c r="B293" t="str">
        <f t="shared" si="25"/>
        <v>Set_sound_#2_regs</v>
      </c>
      <c r="C293" t="str">
        <f>_xlfn.SWITCH(LEFT(H293,1),";",B293,"b",_xlfn.CONCAT(".data:",E293),"c",_xlfn.CONCAT(".code:",E293),"")</f>
        <v>Set_sound_#2_regs</v>
      </c>
      <c r="D293" t="str">
        <f t="shared" si="22"/>
        <v>695d</v>
      </c>
      <c r="E293" t="str">
        <f t="shared" si="23"/>
        <v>0007</v>
      </c>
      <c r="F293">
        <f t="shared" si="24"/>
        <v>7</v>
      </c>
      <c r="G293">
        <f>HEX2DEC("695d")</f>
        <v>26973</v>
      </c>
      <c r="H293" t="s">
        <v>111</v>
      </c>
    </row>
    <row r="294" spans="1:8" x14ac:dyDescent="0.25">
      <c r="A294" t="str">
        <f t="shared" si="21"/>
        <v>00:6964 Set_sound_#3_regs</v>
      </c>
      <c r="B294" t="str">
        <f t="shared" si="25"/>
        <v>Set_sound_#3_regs</v>
      </c>
      <c r="C294" t="str">
        <f>_xlfn.SWITCH(LEFT(H294,1),";",B294,"b",_xlfn.CONCAT(".data:",E294),"c",_xlfn.CONCAT(".code:",E294),"")</f>
        <v>Set_sound_#3_regs</v>
      </c>
      <c r="D294" t="str">
        <f t="shared" si="22"/>
        <v>6964</v>
      </c>
      <c r="E294" t="str">
        <f t="shared" si="23"/>
        <v>0007</v>
      </c>
      <c r="F294">
        <f t="shared" si="24"/>
        <v>7</v>
      </c>
      <c r="G294">
        <f>HEX2DEC("6964")</f>
        <v>26980</v>
      </c>
      <c r="H294" t="s">
        <v>112</v>
      </c>
    </row>
    <row r="295" spans="1:8" x14ac:dyDescent="0.25">
      <c r="A295" t="str">
        <f t="shared" si="21"/>
        <v>00:696b Set_sound_#4_regs</v>
      </c>
      <c r="B295" t="str">
        <f t="shared" si="25"/>
        <v>Set_sound_#4_regs</v>
      </c>
      <c r="C295" t="str">
        <f>_xlfn.SWITCH(LEFT(H295,1),";",B295,"b",_xlfn.CONCAT(".data:",E295),"c",_xlfn.CONCAT(".code:",E295),"")</f>
        <v>Set_sound_#4_regs</v>
      </c>
      <c r="D295" t="str">
        <f t="shared" si="22"/>
        <v>696b</v>
      </c>
      <c r="E295" t="str">
        <f t="shared" si="23"/>
        <v>002d</v>
      </c>
      <c r="F295">
        <f t="shared" si="24"/>
        <v>45</v>
      </c>
      <c r="G295">
        <f>HEX2DEC("696b")</f>
        <v>26987</v>
      </c>
      <c r="H295" t="s">
        <v>113</v>
      </c>
    </row>
    <row r="296" spans="1:8" x14ac:dyDescent="0.25">
      <c r="A296" t="str">
        <f t="shared" si="21"/>
        <v>00:6998 Copy_from_hl_to_sound_wave_pattern_ram</v>
      </c>
      <c r="B296" t="str">
        <f t="shared" si="25"/>
        <v>Copy_from_hl_to_sound_wave_pattern_ram</v>
      </c>
      <c r="C296" t="str">
        <f>_xlfn.SWITCH(LEFT(H296,1),";",B296,"b",_xlfn.CONCAT(".data:",E296),"c",_xlfn.CONCAT(".code:",E296),"")</f>
        <v>Copy_from_hl_to_sound_wave_pattern_ram</v>
      </c>
      <c r="D296" t="str">
        <f t="shared" si="22"/>
        <v>6998</v>
      </c>
      <c r="E296" t="str">
        <f t="shared" si="23"/>
        <v>000d</v>
      </c>
      <c r="F296">
        <f t="shared" si="24"/>
        <v>13</v>
      </c>
      <c r="G296">
        <f>HEX2DEC("6998")</f>
        <v>27032</v>
      </c>
      <c r="H296" t="s">
        <v>114</v>
      </c>
    </row>
    <row r="297" spans="1:8" x14ac:dyDescent="0.25">
      <c r="A297" t="str">
        <f t="shared" si="21"/>
        <v>00:69a5 Reset_some_sound_registers</v>
      </c>
      <c r="B297" t="str">
        <f t="shared" si="25"/>
        <v>Reset_some_sound_registers</v>
      </c>
      <c r="C297" t="str">
        <f>_xlfn.SWITCH(LEFT(H297,1),";",B297,"b",_xlfn.CONCAT(".data:",E297),"c",_xlfn.CONCAT(".code:",E297),"")</f>
        <v>Reset_some_sound_registers</v>
      </c>
      <c r="D297" t="str">
        <f t="shared" si="22"/>
        <v>69a5</v>
      </c>
      <c r="E297" t="str">
        <f t="shared" si="23"/>
        <v>0119</v>
      </c>
      <c r="F297">
        <f t="shared" si="24"/>
        <v>281</v>
      </c>
      <c r="G297">
        <f>HEX2DEC("69a5")</f>
        <v>27045</v>
      </c>
      <c r="H297" t="s">
        <v>115</v>
      </c>
    </row>
    <row r="298" spans="1:8" x14ac:dyDescent="0.25">
      <c r="A298" t="str">
        <f t="shared" si="21"/>
        <v>00:6abe .data:0044</v>
      </c>
      <c r="B298" t="str">
        <f t="shared" si="25"/>
        <v/>
      </c>
      <c r="C298" t="str">
        <f>_xlfn.SWITCH(LEFT(H298,1),";",B298,"b",_xlfn.CONCAT(".data:",E298),"c",_xlfn.CONCAT(".code:",E298),"")</f>
        <v>.data:0044</v>
      </c>
      <c r="D298" t="str">
        <f t="shared" si="22"/>
        <v>6abe</v>
      </c>
      <c r="E298" t="str">
        <f t="shared" si="23"/>
        <v>0044</v>
      </c>
      <c r="F298">
        <f t="shared" si="24"/>
        <v>68</v>
      </c>
      <c r="G298">
        <f>HEX2DEC("6abe")</f>
        <v>27326</v>
      </c>
      <c r="H298" t="s">
        <v>7</v>
      </c>
    </row>
    <row r="299" spans="1:8" x14ac:dyDescent="0.25">
      <c r="A299" t="str">
        <f t="shared" si="21"/>
        <v>00:6b02 .code:000b</v>
      </c>
      <c r="B299" t="str">
        <f t="shared" si="25"/>
        <v/>
      </c>
      <c r="C299" t="str">
        <f>_xlfn.SWITCH(LEFT(H299,1),";",B299,"b",_xlfn.CONCAT(".data:",E299),"c",_xlfn.CONCAT(".code:",E299),"")</f>
        <v>.code:000b</v>
      </c>
      <c r="D299" t="str">
        <f t="shared" si="22"/>
        <v>6b02</v>
      </c>
      <c r="E299" t="str">
        <f t="shared" si="23"/>
        <v>000b</v>
      </c>
      <c r="F299">
        <f t="shared" si="24"/>
        <v>11</v>
      </c>
      <c r="G299">
        <f>HEX2DEC("6b02")</f>
        <v>27394</v>
      </c>
      <c r="H299" t="s">
        <v>9</v>
      </c>
    </row>
    <row r="300" spans="1:8" x14ac:dyDescent="0.25">
      <c r="A300" t="str">
        <f t="shared" si="21"/>
        <v>00:6b0d Copy_2_bytes_from_(hl)_to_(de)</v>
      </c>
      <c r="B300" t="str">
        <f t="shared" si="25"/>
        <v>Copy_2_bytes_from_(hl)_to_(de)</v>
      </c>
      <c r="C300" t="str">
        <f>_xlfn.SWITCH(LEFT(H300,1),";",B300,"b",_xlfn.CONCAT(".data:",E300),"c",_xlfn.CONCAT(".code:",E300),"")</f>
        <v>Copy_2_bytes_from_(hl)_to_(de)</v>
      </c>
      <c r="D300" t="str">
        <f t="shared" si="22"/>
        <v>6b0d</v>
      </c>
      <c r="E300" t="str">
        <f t="shared" si="23"/>
        <v>00ac</v>
      </c>
      <c r="F300">
        <f t="shared" si="24"/>
        <v>172</v>
      </c>
      <c r="G300">
        <f>HEX2DEC("6b0d")</f>
        <v>27405</v>
      </c>
      <c r="H300" t="s">
        <v>116</v>
      </c>
    </row>
    <row r="301" spans="1:8" x14ac:dyDescent="0.25">
      <c r="A301" t="str">
        <f t="shared" si="21"/>
        <v>00:6b0d (Copy_can't_cross_page_boundary.)</v>
      </c>
      <c r="B301" t="str">
        <f t="shared" si="25"/>
        <v>(Copy_can't_cross_page_boundary.)</v>
      </c>
      <c r="C301" t="str">
        <f>_xlfn.SWITCH(LEFT(H301,1),";",B301,"b",_xlfn.CONCAT(".data:",E301),"c",_xlfn.CONCAT(".code:",E301),"")</f>
        <v>(Copy_can't_cross_page_boundary.)</v>
      </c>
      <c r="D301" t="str">
        <f t="shared" si="22"/>
        <v>6b0d</v>
      </c>
      <c r="E301" t="str">
        <f t="shared" si="23"/>
        <v>00ac</v>
      </c>
      <c r="F301">
        <f t="shared" si="24"/>
        <v>172</v>
      </c>
      <c r="G301">
        <f>HEX2DEC("6b0d")</f>
        <v>27405</v>
      </c>
      <c r="H301" t="s">
        <v>117</v>
      </c>
    </row>
    <row r="302" spans="1:8" x14ac:dyDescent="0.25">
      <c r="A302" t="str">
        <f t="shared" si="21"/>
        <v>00:6bb9 Increment_16-bit_number_pointed_to_by_hl</v>
      </c>
      <c r="B302" t="str">
        <f t="shared" si="25"/>
        <v>Increment_16-bit_number_pointed_to_by_hl</v>
      </c>
      <c r="C302" t="str">
        <f>_xlfn.SWITCH(LEFT(H302,1),";",B302,"b",_xlfn.CONCAT(".data:",E302),"c",_xlfn.CONCAT(".code:",E302),"")</f>
        <v>Increment_16-bit_number_pointed_to_by_hl</v>
      </c>
      <c r="D302" t="str">
        <f t="shared" si="22"/>
        <v>6bb9</v>
      </c>
      <c r="E302" t="str">
        <f t="shared" si="23"/>
        <v>000c</v>
      </c>
      <c r="F302">
        <f t="shared" si="24"/>
        <v>12</v>
      </c>
      <c r="G302">
        <f>HEX2DEC("6bb9")</f>
        <v>27577</v>
      </c>
      <c r="H302" t="s">
        <v>118</v>
      </c>
    </row>
    <row r="303" spans="1:8" x14ac:dyDescent="0.25">
      <c r="A303" t="str">
        <f t="shared" si="21"/>
        <v>00:6bc5 Increment_twice_16-bit_number_pointed_to_by_hl</v>
      </c>
      <c r="B303" t="str">
        <f t="shared" si="25"/>
        <v>Increment_twice_16-bit_number_pointed_to_by_hl</v>
      </c>
      <c r="C303" t="str">
        <f>_xlfn.SWITCH(LEFT(H303,1),";",B303,"b",_xlfn.CONCAT(".data:",E303),"c",_xlfn.CONCAT(".code:",E303),"")</f>
        <v>Increment_twice_16-bit_number_pointed_to_by_hl</v>
      </c>
      <c r="D303" t="str">
        <f t="shared" si="22"/>
        <v>6bc5</v>
      </c>
      <c r="E303" t="str">
        <f t="shared" si="23"/>
        <v>0009</v>
      </c>
      <c r="F303">
        <f t="shared" si="24"/>
        <v>9</v>
      </c>
      <c r="G303">
        <f>HEX2DEC("6bc5")</f>
        <v>27589</v>
      </c>
      <c r="H303" t="s">
        <v>119</v>
      </c>
    </row>
    <row r="304" spans="1:8" x14ac:dyDescent="0.25">
      <c r="A304" t="str">
        <f t="shared" si="21"/>
        <v>00:6bce b_=_((hl))</v>
      </c>
      <c r="B304" t="str">
        <f t="shared" si="25"/>
        <v>b_=_((hl))</v>
      </c>
      <c r="C304" t="str">
        <f>_xlfn.SWITCH(LEFT(H304,1),";",B304,"b",_xlfn.CONCAT(".data:",E304),"c",_xlfn.CONCAT(".code:",E304),"")</f>
        <v>b_=_((hl))</v>
      </c>
      <c r="D304" t="str">
        <f t="shared" si="22"/>
        <v>6bce</v>
      </c>
      <c r="E304" t="str">
        <f t="shared" si="23"/>
        <v>01cf</v>
      </c>
      <c r="F304">
        <f t="shared" si="24"/>
        <v>463</v>
      </c>
      <c r="G304">
        <f>HEX2DEC("6bce")</f>
        <v>27598</v>
      </c>
      <c r="H304" t="s">
        <v>120</v>
      </c>
    </row>
    <row r="305" spans="1:8" x14ac:dyDescent="0.25">
      <c r="A305" t="str">
        <f t="shared" si="21"/>
        <v>00:6d9d The_next_4_instructions_are_not_used.</v>
      </c>
      <c r="B305" t="str">
        <f t="shared" si="25"/>
        <v>The_next_4_instructions_are_not_used.</v>
      </c>
      <c r="C305" t="str">
        <f>_xlfn.SWITCH(LEFT(H305,1),";",B305,"b",_xlfn.CONCAT(".data:",E305),"c",_xlfn.CONCAT(".code:",E305),"")</f>
        <v>The_next_4_instructions_are_not_used.</v>
      </c>
      <c r="D305" t="str">
        <f t="shared" si="22"/>
        <v>6d9d</v>
      </c>
      <c r="E305" t="str">
        <f t="shared" si="23"/>
        <v>002e</v>
      </c>
      <c r="F305">
        <f t="shared" si="24"/>
        <v>46</v>
      </c>
      <c r="G305">
        <f>HEX2DEC("6d9d")</f>
        <v>28061</v>
      </c>
      <c r="H305" t="s">
        <v>121</v>
      </c>
    </row>
    <row r="306" spans="1:8" x14ac:dyDescent="0.25">
      <c r="A306" t="str">
        <f t="shared" si="21"/>
        <v>00:6dcb .data:0039</v>
      </c>
      <c r="B306" t="str">
        <f t="shared" si="25"/>
        <v/>
      </c>
      <c r="C306" t="str">
        <f>_xlfn.SWITCH(LEFT(H306,1),";",B306,"b",_xlfn.CONCAT(".data:",E306),"c",_xlfn.CONCAT(".code:",E306),"")</f>
        <v>.data:0039</v>
      </c>
      <c r="D306" t="str">
        <f t="shared" si="22"/>
        <v>6dcb</v>
      </c>
      <c r="E306" t="str">
        <f t="shared" si="23"/>
        <v>0039</v>
      </c>
      <c r="F306">
        <f t="shared" si="24"/>
        <v>57</v>
      </c>
      <c r="G306">
        <f>HEX2DEC("6dcb")</f>
        <v>28107</v>
      </c>
      <c r="H306" t="s">
        <v>7</v>
      </c>
    </row>
    <row r="307" spans="1:8" x14ac:dyDescent="0.25">
      <c r="A307" t="str">
        <f t="shared" si="21"/>
        <v>00:6e04 Frequency_Octave_Table</v>
      </c>
      <c r="B307" t="str">
        <f t="shared" si="25"/>
        <v>Frequency_Octave_Table</v>
      </c>
      <c r="C307" t="str">
        <f>_xlfn.SWITCH(LEFT(H307,1),";",B307,"b",_xlfn.CONCAT(".data:",E307),"c",_xlfn.CONCAT(".code:",E307),"")</f>
        <v>Frequency_Octave_Table</v>
      </c>
      <c r="D307" t="str">
        <f t="shared" si="22"/>
        <v>6e04</v>
      </c>
      <c r="E307" t="str">
        <f t="shared" si="23"/>
        <v>0090</v>
      </c>
      <c r="F307">
        <f t="shared" si="24"/>
        <v>144</v>
      </c>
      <c r="G307">
        <f>HEX2DEC("6e04")</f>
        <v>28164</v>
      </c>
      <c r="H307" t="s">
        <v>122</v>
      </c>
    </row>
    <row r="308" spans="1:8" x14ac:dyDescent="0.25">
      <c r="A308" t="str">
        <f t="shared" si="21"/>
        <v>00:6e04 The_following_6_octaves_of_12_values_each</v>
      </c>
      <c r="B308" t="str">
        <f t="shared" si="25"/>
        <v>The_following_6_octaves_of_12_values_each</v>
      </c>
      <c r="C308" t="str">
        <f>_xlfn.SWITCH(LEFT(H308,1),";",B308,"b",_xlfn.CONCAT(".data:",E308),"c",_xlfn.CONCAT(".code:",E308),"")</f>
        <v>The_following_6_octaves_of_12_values_each</v>
      </c>
      <c r="D308" t="str">
        <f t="shared" si="22"/>
        <v>6e04</v>
      </c>
      <c r="E308" t="str">
        <f t="shared" si="23"/>
        <v>0090</v>
      </c>
      <c r="F308">
        <f t="shared" si="24"/>
        <v>144</v>
      </c>
      <c r="G308">
        <f>HEX2DEC("6e04")</f>
        <v>28164</v>
      </c>
      <c r="H308" t="s">
        <v>123</v>
      </c>
    </row>
    <row r="309" spans="1:8" x14ac:dyDescent="0.25">
      <c r="A309" t="str">
        <f t="shared" si="21"/>
        <v>00:6e04 comprise_a_72_data_word_table.</v>
      </c>
      <c r="B309" t="str">
        <f t="shared" si="25"/>
        <v>comprise_a_72_data_word_table.</v>
      </c>
      <c r="C309" t="str">
        <f>_xlfn.SWITCH(LEFT(H309,1),";",B309,"b",_xlfn.CONCAT(".data:",E309),"c",_xlfn.CONCAT(".code:",E309),"")</f>
        <v>comprise_a_72_data_word_table.</v>
      </c>
      <c r="D309" t="str">
        <f t="shared" si="22"/>
        <v>6e04</v>
      </c>
      <c r="E309" t="str">
        <f t="shared" si="23"/>
        <v>0090</v>
      </c>
      <c r="F309">
        <f t="shared" si="24"/>
        <v>144</v>
      </c>
      <c r="G309">
        <f>HEX2DEC("6e04")</f>
        <v>28164</v>
      </c>
      <c r="H309" t="s">
        <v>124</v>
      </c>
    </row>
    <row r="310" spans="1:8" x14ac:dyDescent="0.25">
      <c r="A310" t="str">
        <f t="shared" si="21"/>
        <v>00:6e94 .data:00b6</v>
      </c>
      <c r="B310" t="str">
        <f t="shared" si="25"/>
        <v/>
      </c>
      <c r="C310" t="str">
        <f>_xlfn.SWITCH(LEFT(H310,1),";",B310,"b",_xlfn.CONCAT(".data:",E310),"c",_xlfn.CONCAT(".code:",E310),"")</f>
        <v>.data:00b6</v>
      </c>
      <c r="D310" t="str">
        <f t="shared" si="22"/>
        <v>6e94</v>
      </c>
      <c r="E310" t="str">
        <f t="shared" si="23"/>
        <v>00b6</v>
      </c>
      <c r="F310">
        <f t="shared" si="24"/>
        <v>182</v>
      </c>
      <c r="G310">
        <f>HEX2DEC("6e94")</f>
        <v>28308</v>
      </c>
      <c r="H310" t="s">
        <v>7</v>
      </c>
    </row>
    <row r="311" spans="1:8" x14ac:dyDescent="0.25">
      <c r="A311" t="str">
        <f t="shared" si="21"/>
        <v>00:6f4a .data:000b</v>
      </c>
      <c r="B311" t="str">
        <f t="shared" si="25"/>
        <v/>
      </c>
      <c r="C311" t="str">
        <f>_xlfn.SWITCH(LEFT(H311,1),";",B311,"b",_xlfn.CONCAT(".data:",E311),"c",_xlfn.CONCAT(".code:",E311),"")</f>
        <v>.data:000b</v>
      </c>
      <c r="D311" t="str">
        <f t="shared" si="22"/>
        <v>6f4a</v>
      </c>
      <c r="E311" t="str">
        <f t="shared" si="23"/>
        <v>000b</v>
      </c>
      <c r="F311">
        <f t="shared" si="24"/>
        <v>11</v>
      </c>
      <c r="G311">
        <f>HEX2DEC("6f4a")</f>
        <v>28490</v>
      </c>
      <c r="H311" t="s">
        <v>7</v>
      </c>
    </row>
    <row r="312" spans="1:8" x14ac:dyDescent="0.25">
      <c r="A312" t="str">
        <f t="shared" si="21"/>
        <v>00:6f55 .data:000b</v>
      </c>
      <c r="B312" t="str">
        <f t="shared" si="25"/>
        <v/>
      </c>
      <c r="C312" t="str">
        <f>_xlfn.SWITCH(LEFT(H312,1),";",B312,"b",_xlfn.CONCAT(".data:",E312),"c",_xlfn.CONCAT(".code:",E312),"")</f>
        <v>.data:000b</v>
      </c>
      <c r="D312" t="str">
        <f t="shared" si="22"/>
        <v>6f55</v>
      </c>
      <c r="E312" t="str">
        <f t="shared" si="23"/>
        <v>000b</v>
      </c>
      <c r="F312">
        <f t="shared" si="24"/>
        <v>11</v>
      </c>
      <c r="G312">
        <f>HEX2DEC("6f55")</f>
        <v>28501</v>
      </c>
      <c r="H312" t="s">
        <v>7</v>
      </c>
    </row>
    <row r="313" spans="1:8" x14ac:dyDescent="0.25">
      <c r="A313" t="str">
        <f t="shared" si="21"/>
        <v>00:6f60 .data:000b</v>
      </c>
      <c r="B313" t="str">
        <f t="shared" si="25"/>
        <v/>
      </c>
      <c r="C313" t="str">
        <f>_xlfn.SWITCH(LEFT(H313,1),";",B313,"b",_xlfn.CONCAT(".data:",E313),"c",_xlfn.CONCAT(".code:",E313),"")</f>
        <v>.data:000b</v>
      </c>
      <c r="D313" t="str">
        <f t="shared" si="22"/>
        <v>6f60</v>
      </c>
      <c r="E313" t="str">
        <f t="shared" si="23"/>
        <v>000b</v>
      </c>
      <c r="F313">
        <f t="shared" si="24"/>
        <v>11</v>
      </c>
      <c r="G313">
        <f>HEX2DEC("6f60")</f>
        <v>28512</v>
      </c>
      <c r="H313" t="s">
        <v>7</v>
      </c>
    </row>
    <row r="314" spans="1:8" x14ac:dyDescent="0.25">
      <c r="A314" t="str">
        <f t="shared" si="21"/>
        <v>00:6f6b .data:000b</v>
      </c>
      <c r="B314" t="str">
        <f t="shared" si="25"/>
        <v/>
      </c>
      <c r="C314" t="str">
        <f>_xlfn.SWITCH(LEFT(H314,1),";",B314,"b",_xlfn.CONCAT(".data:",E314),"c",_xlfn.CONCAT(".code:",E314),"")</f>
        <v>.data:000b</v>
      </c>
      <c r="D314" t="str">
        <f t="shared" si="22"/>
        <v>6f6b</v>
      </c>
      <c r="E314" t="str">
        <f t="shared" si="23"/>
        <v>000b</v>
      </c>
      <c r="F314">
        <f t="shared" si="24"/>
        <v>11</v>
      </c>
      <c r="G314">
        <f>HEX2DEC("6f6b")</f>
        <v>28523</v>
      </c>
      <c r="H314" t="s">
        <v>7</v>
      </c>
    </row>
    <row r="315" spans="1:8" x14ac:dyDescent="0.25">
      <c r="A315" t="str">
        <f t="shared" si="21"/>
        <v>00:6f76 .data:000b</v>
      </c>
      <c r="B315" t="str">
        <f t="shared" si="25"/>
        <v/>
      </c>
      <c r="C315" t="str">
        <f>_xlfn.SWITCH(LEFT(H315,1),";",B315,"b",_xlfn.CONCAT(".data:",E315),"c",_xlfn.CONCAT(".code:",E315),"")</f>
        <v>.data:000b</v>
      </c>
      <c r="D315" t="str">
        <f t="shared" si="22"/>
        <v>6f76</v>
      </c>
      <c r="E315" t="str">
        <f t="shared" si="23"/>
        <v>000b</v>
      </c>
      <c r="F315">
        <f t="shared" si="24"/>
        <v>11</v>
      </c>
      <c r="G315">
        <f>HEX2DEC("6f76")</f>
        <v>28534</v>
      </c>
      <c r="H315" t="s">
        <v>7</v>
      </c>
    </row>
    <row r="316" spans="1:8" x14ac:dyDescent="0.25">
      <c r="A316" t="str">
        <f t="shared" si="21"/>
        <v>00:6f81 .data:000b</v>
      </c>
      <c r="B316" t="str">
        <f t="shared" si="25"/>
        <v/>
      </c>
      <c r="C316" t="str">
        <f>_xlfn.SWITCH(LEFT(H316,1),";",B316,"b",_xlfn.CONCAT(".data:",E316),"c",_xlfn.CONCAT(".code:",E316),"")</f>
        <v>.data:000b</v>
      </c>
      <c r="D316" t="str">
        <f t="shared" si="22"/>
        <v>6f81</v>
      </c>
      <c r="E316" t="str">
        <f t="shared" si="23"/>
        <v>000b</v>
      </c>
      <c r="F316">
        <f t="shared" si="24"/>
        <v>11</v>
      </c>
      <c r="G316">
        <f>HEX2DEC("6f81")</f>
        <v>28545</v>
      </c>
      <c r="H316" t="s">
        <v>7</v>
      </c>
    </row>
    <row r="317" spans="1:8" x14ac:dyDescent="0.25">
      <c r="A317" t="str">
        <f t="shared" si="21"/>
        <v>00:6f8c .data:000b</v>
      </c>
      <c r="B317" t="str">
        <f t="shared" si="25"/>
        <v/>
      </c>
      <c r="C317" t="str">
        <f>_xlfn.SWITCH(LEFT(H317,1),";",B317,"b",_xlfn.CONCAT(".data:",E317),"c",_xlfn.CONCAT(".code:",E317),"")</f>
        <v>.data:000b</v>
      </c>
      <c r="D317" t="str">
        <f t="shared" si="22"/>
        <v>6f8c</v>
      </c>
      <c r="E317" t="str">
        <f t="shared" si="23"/>
        <v>000b</v>
      </c>
      <c r="F317">
        <f t="shared" si="24"/>
        <v>11</v>
      </c>
      <c r="G317">
        <f>HEX2DEC("6f8c")</f>
        <v>28556</v>
      </c>
      <c r="H317" t="s">
        <v>7</v>
      </c>
    </row>
    <row r="318" spans="1:8" x14ac:dyDescent="0.25">
      <c r="A318" t="str">
        <f t="shared" si="21"/>
        <v>00:6f97 .data:000b</v>
      </c>
      <c r="B318" t="str">
        <f t="shared" si="25"/>
        <v/>
      </c>
      <c r="C318" t="str">
        <f>_xlfn.SWITCH(LEFT(H318,1),";",B318,"b",_xlfn.CONCAT(".data:",E318),"c",_xlfn.CONCAT(".code:",E318),"")</f>
        <v>.data:000b</v>
      </c>
      <c r="D318" t="str">
        <f t="shared" si="22"/>
        <v>6f97</v>
      </c>
      <c r="E318" t="str">
        <f t="shared" si="23"/>
        <v>000b</v>
      </c>
      <c r="F318">
        <f t="shared" si="24"/>
        <v>11</v>
      </c>
      <c r="G318">
        <f>HEX2DEC("6f97")</f>
        <v>28567</v>
      </c>
      <c r="H318" t="s">
        <v>7</v>
      </c>
    </row>
    <row r="319" spans="1:8" x14ac:dyDescent="0.25">
      <c r="A319" t="str">
        <f t="shared" si="21"/>
        <v>00:6fa2 .data:000b</v>
      </c>
      <c r="B319" t="str">
        <f t="shared" si="25"/>
        <v/>
      </c>
      <c r="C319" t="str">
        <f>_xlfn.SWITCH(LEFT(H319,1),";",B319,"b",_xlfn.CONCAT(".data:",E319),"c",_xlfn.CONCAT(".code:",E319),"")</f>
        <v>.data:000b</v>
      </c>
      <c r="D319" t="str">
        <f t="shared" si="22"/>
        <v>6fa2</v>
      </c>
      <c r="E319" t="str">
        <f t="shared" si="23"/>
        <v>000b</v>
      </c>
      <c r="F319">
        <f t="shared" si="24"/>
        <v>11</v>
      </c>
      <c r="G319">
        <f>HEX2DEC("6fa2")</f>
        <v>28578</v>
      </c>
      <c r="H319" t="s">
        <v>7</v>
      </c>
    </row>
    <row r="320" spans="1:8" x14ac:dyDescent="0.25">
      <c r="A320" t="str">
        <f t="shared" si="21"/>
        <v>00:6fad .data:000b</v>
      </c>
      <c r="B320" t="str">
        <f t="shared" si="25"/>
        <v/>
      </c>
      <c r="C320" t="str">
        <f>_xlfn.SWITCH(LEFT(H320,1),";",B320,"b",_xlfn.CONCAT(".data:",E320),"c",_xlfn.CONCAT(".code:",E320),"")</f>
        <v>.data:000b</v>
      </c>
      <c r="D320" t="str">
        <f t="shared" si="22"/>
        <v>6fad</v>
      </c>
      <c r="E320" t="str">
        <f t="shared" si="23"/>
        <v>000b</v>
      </c>
      <c r="F320">
        <f t="shared" si="24"/>
        <v>11</v>
      </c>
      <c r="G320">
        <f>HEX2DEC("6fad")</f>
        <v>28589</v>
      </c>
      <c r="H320" t="s">
        <v>7</v>
      </c>
    </row>
    <row r="321" spans="1:8" x14ac:dyDescent="0.25">
      <c r="A321" t="str">
        <f t="shared" si="21"/>
        <v>00:6fb8 .data:000b</v>
      </c>
      <c r="B321" t="str">
        <f t="shared" si="25"/>
        <v/>
      </c>
      <c r="C321" t="str">
        <f>_xlfn.SWITCH(LEFT(H321,1),";",B321,"b",_xlfn.CONCAT(".data:",E321),"c",_xlfn.CONCAT(".code:",E321),"")</f>
        <v>.data:000b</v>
      </c>
      <c r="D321" t="str">
        <f t="shared" si="22"/>
        <v>6fb8</v>
      </c>
      <c r="E321" t="str">
        <f t="shared" si="23"/>
        <v>000b</v>
      </c>
      <c r="F321">
        <f t="shared" si="24"/>
        <v>11</v>
      </c>
      <c r="G321">
        <f>HEX2DEC("6fb8")</f>
        <v>28600</v>
      </c>
      <c r="H321" t="s">
        <v>7</v>
      </c>
    </row>
    <row r="322" spans="1:8" x14ac:dyDescent="0.25">
      <c r="A322" t="str">
        <f t="shared" ref="A322:A346" si="26">IF(LEN(C322)&gt;0,_xlfn.CONCAT("00:",D322," ",C322),"")</f>
        <v>00:6fc3 .data:000b</v>
      </c>
      <c r="B322" t="str">
        <f t="shared" si="25"/>
        <v/>
      </c>
      <c r="C322" t="str">
        <f>_xlfn.SWITCH(LEFT(H322,1),";",B322,"b",_xlfn.CONCAT(".data:",E322),"c",_xlfn.CONCAT(".code:",E322),"")</f>
        <v>.data:000b</v>
      </c>
      <c r="D322" t="str">
        <f t="shared" ref="D322:D346" si="27">LOWER(DEC2HEX(G322,4))</f>
        <v>6fc3</v>
      </c>
      <c r="E322" t="str">
        <f t="shared" ref="E322:E346" si="28">LOWER(DEC2HEX(F322,4))</f>
        <v>000b</v>
      </c>
      <c r="F322">
        <f t="shared" ref="F322:F346" si="29">IF(G323-G322&gt;0,G323-G322,F323)</f>
        <v>11</v>
      </c>
      <c r="G322">
        <f>HEX2DEC("6fc3")</f>
        <v>28611</v>
      </c>
      <c r="H322" t="s">
        <v>7</v>
      </c>
    </row>
    <row r="323" spans="1:8" x14ac:dyDescent="0.25">
      <c r="A323" t="str">
        <f t="shared" si="26"/>
        <v>00:6fce .data:000b</v>
      </c>
      <c r="B323" t="str">
        <f t="shared" si="25"/>
        <v/>
      </c>
      <c r="C323" t="str">
        <f>_xlfn.SWITCH(LEFT(H323,1),";",B323,"b",_xlfn.CONCAT(".data:",E323),"c",_xlfn.CONCAT(".code:",E323),"")</f>
        <v>.data:000b</v>
      </c>
      <c r="D323" t="str">
        <f t="shared" si="27"/>
        <v>6fce</v>
      </c>
      <c r="E323" t="str">
        <f t="shared" si="28"/>
        <v>000b</v>
      </c>
      <c r="F323">
        <f t="shared" si="29"/>
        <v>11</v>
      </c>
      <c r="G323">
        <f>HEX2DEC("6fce")</f>
        <v>28622</v>
      </c>
      <c r="H323" t="s">
        <v>7</v>
      </c>
    </row>
    <row r="324" spans="1:8" x14ac:dyDescent="0.25">
      <c r="A324" t="str">
        <f t="shared" si="26"/>
        <v>00:6fd9 .data:000b</v>
      </c>
      <c r="B324" t="str">
        <f t="shared" si="25"/>
        <v/>
      </c>
      <c r="C324" t="str">
        <f>_xlfn.SWITCH(LEFT(H324,1),";",B324,"b",_xlfn.CONCAT(".data:",E324),"c",_xlfn.CONCAT(".code:",E324),"")</f>
        <v>.data:000b</v>
      </c>
      <c r="D324" t="str">
        <f t="shared" si="27"/>
        <v>6fd9</v>
      </c>
      <c r="E324" t="str">
        <f t="shared" si="28"/>
        <v>000b</v>
      </c>
      <c r="F324">
        <f t="shared" si="29"/>
        <v>11</v>
      </c>
      <c r="G324">
        <f>HEX2DEC("6fd9")</f>
        <v>28633</v>
      </c>
      <c r="H324" t="s">
        <v>7</v>
      </c>
    </row>
    <row r="325" spans="1:8" x14ac:dyDescent="0.25">
      <c r="A325" t="str">
        <f t="shared" si="26"/>
        <v>00:6fe4 .data:000b</v>
      </c>
      <c r="B325" t="str">
        <f t="shared" si="25"/>
        <v/>
      </c>
      <c r="C325" t="str">
        <f>_xlfn.SWITCH(LEFT(H325,1),";",B325,"b",_xlfn.CONCAT(".data:",E325),"c",_xlfn.CONCAT(".code:",E325),"")</f>
        <v>.data:000b</v>
      </c>
      <c r="D325" t="str">
        <f t="shared" si="27"/>
        <v>6fe4</v>
      </c>
      <c r="E325" t="str">
        <f t="shared" si="28"/>
        <v>000b</v>
      </c>
      <c r="F325">
        <f t="shared" si="29"/>
        <v>11</v>
      </c>
      <c r="G325">
        <f>HEX2DEC("6fe4")</f>
        <v>28644</v>
      </c>
      <c r="H325" t="s">
        <v>7</v>
      </c>
    </row>
    <row r="326" spans="1:8" x14ac:dyDescent="0.25">
      <c r="A326" t="str">
        <f t="shared" si="26"/>
        <v>00:6fef .data:0029</v>
      </c>
      <c r="B326" t="str">
        <f t="shared" si="25"/>
        <v/>
      </c>
      <c r="C326" t="str">
        <f>_xlfn.SWITCH(LEFT(H326,1),";",B326,"b",_xlfn.CONCAT(".data:",E326),"c",_xlfn.CONCAT(".code:",E326),"")</f>
        <v>.data:0029</v>
      </c>
      <c r="D326" t="str">
        <f t="shared" si="27"/>
        <v>6fef</v>
      </c>
      <c r="E326" t="str">
        <f t="shared" si="28"/>
        <v>0029</v>
      </c>
      <c r="F326">
        <f t="shared" si="29"/>
        <v>41</v>
      </c>
      <c r="G326">
        <f>HEX2DEC("6fef")</f>
        <v>28655</v>
      </c>
      <c r="H326" t="s">
        <v>7</v>
      </c>
    </row>
    <row r="327" spans="1:8" x14ac:dyDescent="0.25">
      <c r="A327" t="str">
        <f t="shared" si="26"/>
        <v>00:7018 .data:0150</v>
      </c>
      <c r="B327" t="str">
        <f t="shared" si="25"/>
        <v/>
      </c>
      <c r="C327" t="str">
        <f>_xlfn.SWITCH(LEFT(H327,1),";",B327,"b",_xlfn.CONCAT(".data:",E327),"c",_xlfn.CONCAT(".code:",E327),"")</f>
        <v>.data:0150</v>
      </c>
      <c r="D327" t="str">
        <f t="shared" si="27"/>
        <v>7018</v>
      </c>
      <c r="E327" t="str">
        <f t="shared" si="28"/>
        <v>0150</v>
      </c>
      <c r="F327">
        <f t="shared" si="29"/>
        <v>336</v>
      </c>
      <c r="G327">
        <f>HEX2DEC("7018")</f>
        <v>28696</v>
      </c>
      <c r="H327" t="s">
        <v>7</v>
      </c>
    </row>
    <row r="328" spans="1:8" x14ac:dyDescent="0.25">
      <c r="A328" t="str">
        <f t="shared" si="26"/>
        <v>00:7168 .data:01a0</v>
      </c>
      <c r="B328" t="str">
        <f t="shared" si="25"/>
        <v/>
      </c>
      <c r="C328" t="str">
        <f>_xlfn.SWITCH(LEFT(H328,1),";",B328,"b",_xlfn.CONCAT(".data:",E328),"c",_xlfn.CONCAT(".code:",E328),"")</f>
        <v>.data:01a0</v>
      </c>
      <c r="D328" t="str">
        <f t="shared" si="27"/>
        <v>7168</v>
      </c>
      <c r="E328" t="str">
        <f t="shared" si="28"/>
        <v>01a0</v>
      </c>
      <c r="F328">
        <f t="shared" si="29"/>
        <v>416</v>
      </c>
      <c r="G328">
        <f>HEX2DEC("7168")</f>
        <v>29032</v>
      </c>
      <c r="H328" t="s">
        <v>7</v>
      </c>
    </row>
    <row r="329" spans="1:8" x14ac:dyDescent="0.25">
      <c r="A329" t="str">
        <f t="shared" si="26"/>
        <v>00:7308 .data:024f</v>
      </c>
      <c r="B329" t="str">
        <f t="shared" si="25"/>
        <v/>
      </c>
      <c r="C329" t="str">
        <f>_xlfn.SWITCH(LEFT(H329,1),";",B329,"b",_xlfn.CONCAT(".data:",E329),"c",_xlfn.CONCAT(".code:",E329),"")</f>
        <v>.data:024f</v>
      </c>
      <c r="D329" t="str">
        <f t="shared" si="27"/>
        <v>7308</v>
      </c>
      <c r="E329" t="str">
        <f t="shared" si="28"/>
        <v>024f</v>
      </c>
      <c r="F329">
        <f t="shared" si="29"/>
        <v>591</v>
      </c>
      <c r="G329">
        <f>HEX2DEC("7308")</f>
        <v>29448</v>
      </c>
      <c r="H329" t="s">
        <v>7</v>
      </c>
    </row>
    <row r="330" spans="1:8" x14ac:dyDescent="0.25">
      <c r="A330" t="str">
        <f t="shared" si="26"/>
        <v>00:7557 .data:004a</v>
      </c>
      <c r="B330" t="str">
        <f t="shared" si="25"/>
        <v/>
      </c>
      <c r="C330" t="str">
        <f>_xlfn.SWITCH(LEFT(H330,1),";",B330,"b",_xlfn.CONCAT(".data:",E330),"c",_xlfn.CONCAT(".code:",E330),"")</f>
        <v>.data:004a</v>
      </c>
      <c r="D330" t="str">
        <f t="shared" si="27"/>
        <v>7557</v>
      </c>
      <c r="E330" t="str">
        <f t="shared" si="28"/>
        <v>004a</v>
      </c>
      <c r="F330">
        <f t="shared" si="29"/>
        <v>74</v>
      </c>
      <c r="G330">
        <f>HEX2DEC("7557")</f>
        <v>30039</v>
      </c>
      <c r="H330" t="s">
        <v>7</v>
      </c>
    </row>
    <row r="331" spans="1:8" x14ac:dyDescent="0.25">
      <c r="A331" t="str">
        <f t="shared" si="26"/>
        <v>00:75a1 .data:0063</v>
      </c>
      <c r="B331" t="str">
        <f t="shared" si="25"/>
        <v/>
      </c>
      <c r="C331" t="str">
        <f>_xlfn.SWITCH(LEFT(H331,1),";",B331,"b",_xlfn.CONCAT(".data:",E331),"c",_xlfn.CONCAT(".code:",E331),"")</f>
        <v>.data:0063</v>
      </c>
      <c r="D331" t="str">
        <f t="shared" si="27"/>
        <v>75a1</v>
      </c>
      <c r="E331" t="str">
        <f t="shared" si="28"/>
        <v>0063</v>
      </c>
      <c r="F331">
        <f t="shared" si="29"/>
        <v>99</v>
      </c>
      <c r="G331">
        <f>HEX2DEC("75a1")</f>
        <v>30113</v>
      </c>
      <c r="H331" t="s">
        <v>7</v>
      </c>
    </row>
    <row r="332" spans="1:8" x14ac:dyDescent="0.25">
      <c r="A332" t="str">
        <f t="shared" si="26"/>
        <v>00:7604 .data:006b</v>
      </c>
      <c r="B332" t="str">
        <f t="shared" si="25"/>
        <v/>
      </c>
      <c r="C332" t="str">
        <f>_xlfn.SWITCH(LEFT(H332,1),";",B332,"b",_xlfn.CONCAT(".data:",E332),"c",_xlfn.CONCAT(".code:",E332),"")</f>
        <v>.data:006b</v>
      </c>
      <c r="D332" t="str">
        <f t="shared" si="27"/>
        <v>7604</v>
      </c>
      <c r="E332" t="str">
        <f t="shared" si="28"/>
        <v>006b</v>
      </c>
      <c r="F332">
        <f t="shared" si="29"/>
        <v>107</v>
      </c>
      <c r="G332">
        <f>HEX2DEC("7604")</f>
        <v>30212</v>
      </c>
      <c r="H332" t="s">
        <v>7</v>
      </c>
    </row>
    <row r="333" spans="1:8" x14ac:dyDescent="0.25">
      <c r="A333" t="str">
        <f t="shared" si="26"/>
        <v>00:766f .data:021f</v>
      </c>
      <c r="B333" t="str">
        <f t="shared" si="25"/>
        <v/>
      </c>
      <c r="C333" t="str">
        <f>_xlfn.SWITCH(LEFT(H333,1),";",B333,"b",_xlfn.CONCAT(".data:",E333),"c",_xlfn.CONCAT(".code:",E333),"")</f>
        <v>.data:021f</v>
      </c>
      <c r="D333" t="str">
        <f t="shared" si="27"/>
        <v>766f</v>
      </c>
      <c r="E333" t="str">
        <f t="shared" si="28"/>
        <v>021f</v>
      </c>
      <c r="F333">
        <f t="shared" si="29"/>
        <v>543</v>
      </c>
      <c r="G333">
        <f>HEX2DEC("766f")</f>
        <v>30319</v>
      </c>
      <c r="H333" t="s">
        <v>7</v>
      </c>
    </row>
    <row r="334" spans="1:8" x14ac:dyDescent="0.25">
      <c r="A334" t="str">
        <f t="shared" si="26"/>
        <v>00:788e .data:0176</v>
      </c>
      <c r="B334" t="str">
        <f t="shared" si="25"/>
        <v/>
      </c>
      <c r="C334" t="str">
        <f>_xlfn.SWITCH(LEFT(H334,1),";",B334,"b",_xlfn.CONCAT(".data:",E334),"c",_xlfn.CONCAT(".code:",E334),"")</f>
        <v>.data:0176</v>
      </c>
      <c r="D334" t="str">
        <f t="shared" si="27"/>
        <v>788e</v>
      </c>
      <c r="E334" t="str">
        <f t="shared" si="28"/>
        <v>0176</v>
      </c>
      <c r="F334">
        <f t="shared" si="29"/>
        <v>374</v>
      </c>
      <c r="G334">
        <f>HEX2DEC("788e")</f>
        <v>30862</v>
      </c>
      <c r="H334" t="s">
        <v>7</v>
      </c>
    </row>
    <row r="335" spans="1:8" x14ac:dyDescent="0.25">
      <c r="A335" t="str">
        <f t="shared" si="26"/>
        <v>00:7a04 .data:0028</v>
      </c>
      <c r="B335" t="str">
        <f t="shared" si="25"/>
        <v/>
      </c>
      <c r="C335" t="str">
        <f>_xlfn.SWITCH(LEFT(H335,1),";",B335,"b",_xlfn.CONCAT(".data:",E335),"c",_xlfn.CONCAT(".code:",E335),"")</f>
        <v>.data:0028</v>
      </c>
      <c r="D335" t="str">
        <f t="shared" si="27"/>
        <v>7a04</v>
      </c>
      <c r="E335" t="str">
        <f t="shared" si="28"/>
        <v>0028</v>
      </c>
      <c r="F335">
        <f t="shared" si="29"/>
        <v>40</v>
      </c>
      <c r="G335">
        <f>HEX2DEC("7a04")</f>
        <v>31236</v>
      </c>
      <c r="H335" t="s">
        <v>7</v>
      </c>
    </row>
    <row r="336" spans="1:8" x14ac:dyDescent="0.25">
      <c r="A336" t="str">
        <f t="shared" si="26"/>
        <v>00:7a2c .data:004b</v>
      </c>
      <c r="B336" t="str">
        <f t="shared" si="25"/>
        <v/>
      </c>
      <c r="C336" t="str">
        <f>_xlfn.SWITCH(LEFT(H336,1),";",B336,"b",_xlfn.CONCAT(".data:",E336),"c",_xlfn.CONCAT(".code:",E336),"")</f>
        <v>.data:004b</v>
      </c>
      <c r="D336" t="str">
        <f t="shared" si="27"/>
        <v>7a2c</v>
      </c>
      <c r="E336" t="str">
        <f t="shared" si="28"/>
        <v>004b</v>
      </c>
      <c r="F336">
        <f t="shared" si="29"/>
        <v>75</v>
      </c>
      <c r="G336">
        <f>HEX2DEC("7a2c")</f>
        <v>31276</v>
      </c>
      <c r="H336" t="s">
        <v>7</v>
      </c>
    </row>
    <row r="337" spans="1:8" x14ac:dyDescent="0.25">
      <c r="A337" t="str">
        <f t="shared" si="26"/>
        <v>00:7a77 .data:0072</v>
      </c>
      <c r="B337" t="str">
        <f t="shared" si="25"/>
        <v/>
      </c>
      <c r="C337" t="str">
        <f>_xlfn.SWITCH(LEFT(H337,1),";",B337,"b",_xlfn.CONCAT(".data:",E337),"c",_xlfn.CONCAT(".code:",E337),"")</f>
        <v>.data:0072</v>
      </c>
      <c r="D337" t="str">
        <f t="shared" si="27"/>
        <v>7a77</v>
      </c>
      <c r="E337" t="str">
        <f t="shared" si="28"/>
        <v>0072</v>
      </c>
      <c r="F337">
        <f t="shared" si="29"/>
        <v>114</v>
      </c>
      <c r="G337">
        <f>HEX2DEC("7a77")</f>
        <v>31351</v>
      </c>
      <c r="H337" t="s">
        <v>7</v>
      </c>
    </row>
    <row r="338" spans="1:8" x14ac:dyDescent="0.25">
      <c r="A338" t="str">
        <f t="shared" si="26"/>
        <v>00:7ae9 .data:008e</v>
      </c>
      <c r="B338" t="str">
        <f t="shared" si="25"/>
        <v/>
      </c>
      <c r="C338" t="str">
        <f>_xlfn.SWITCH(LEFT(H338,1),";",B338,"b",_xlfn.CONCAT(".data:",E338),"c",_xlfn.CONCAT(".code:",E338),"")</f>
        <v>.data:008e</v>
      </c>
      <c r="D338" t="str">
        <f t="shared" si="27"/>
        <v>7ae9</v>
      </c>
      <c r="E338" t="str">
        <f t="shared" si="28"/>
        <v>008e</v>
      </c>
      <c r="F338">
        <f t="shared" si="29"/>
        <v>142</v>
      </c>
      <c r="G338">
        <f>HEX2DEC("7ae9")</f>
        <v>31465</v>
      </c>
      <c r="H338" t="s">
        <v>7</v>
      </c>
    </row>
    <row r="339" spans="1:8" x14ac:dyDescent="0.25">
      <c r="A339" t="str">
        <f t="shared" si="26"/>
        <v>00:7b77 .data:00b7</v>
      </c>
      <c r="B339" t="str">
        <f t="shared" ref="B339:B346" si="30">SUBSTITUTE(TRIM(RIGHT(H339,LEN(H339)-1)), " ", "_")</f>
        <v/>
      </c>
      <c r="C339" t="str">
        <f>_xlfn.SWITCH(LEFT(H339,1),";",B339,"b",_xlfn.CONCAT(".data:",E339),"c",_xlfn.CONCAT(".code:",E339),"")</f>
        <v>.data:00b7</v>
      </c>
      <c r="D339" t="str">
        <f t="shared" si="27"/>
        <v>7b77</v>
      </c>
      <c r="E339" t="str">
        <f t="shared" si="28"/>
        <v>00b7</v>
      </c>
      <c r="F339">
        <f t="shared" si="29"/>
        <v>183</v>
      </c>
      <c r="G339">
        <f>HEX2DEC("7b77")</f>
        <v>31607</v>
      </c>
      <c r="H339" t="s">
        <v>7</v>
      </c>
    </row>
    <row r="340" spans="1:8" x14ac:dyDescent="0.25">
      <c r="A340" t="str">
        <f t="shared" si="26"/>
        <v>00:7c2e .data:00fb</v>
      </c>
      <c r="B340" t="str">
        <f t="shared" si="30"/>
        <v/>
      </c>
      <c r="C340" t="str">
        <f>_xlfn.SWITCH(LEFT(H340,1),";",B340,"b",_xlfn.CONCAT(".data:",E340),"c",_xlfn.CONCAT(".code:",E340),"")</f>
        <v>.data:00fb</v>
      </c>
      <c r="D340" t="str">
        <f t="shared" si="27"/>
        <v>7c2e</v>
      </c>
      <c r="E340" t="str">
        <f t="shared" si="28"/>
        <v>00fb</v>
      </c>
      <c r="F340">
        <f t="shared" si="29"/>
        <v>251</v>
      </c>
      <c r="G340">
        <f>HEX2DEC("7c2e")</f>
        <v>31790</v>
      </c>
      <c r="H340" t="s">
        <v>7</v>
      </c>
    </row>
    <row r="341" spans="1:8" x14ac:dyDescent="0.25">
      <c r="A341" t="str">
        <f t="shared" si="26"/>
        <v>00:7d29 .data:0125</v>
      </c>
      <c r="B341" t="str">
        <f t="shared" si="30"/>
        <v/>
      </c>
      <c r="C341" t="str">
        <f>_xlfn.SWITCH(LEFT(H341,1),";",B341,"b",_xlfn.CONCAT(".data:",E341),"c",_xlfn.CONCAT(".code:",E341),"")</f>
        <v>.data:0125</v>
      </c>
      <c r="D341" t="str">
        <f t="shared" si="27"/>
        <v>7d29</v>
      </c>
      <c r="E341" t="str">
        <f t="shared" si="28"/>
        <v>0125</v>
      </c>
      <c r="F341">
        <f t="shared" si="29"/>
        <v>293</v>
      </c>
      <c r="G341">
        <f>HEX2DEC("7d29")</f>
        <v>32041</v>
      </c>
      <c r="H341" t="s">
        <v>7</v>
      </c>
    </row>
    <row r="342" spans="1:8" x14ac:dyDescent="0.25">
      <c r="A342" t="str">
        <f t="shared" si="26"/>
        <v>00:7e4e .data:006d</v>
      </c>
      <c r="B342" t="str">
        <f t="shared" si="30"/>
        <v/>
      </c>
      <c r="C342" t="str">
        <f>_xlfn.SWITCH(LEFT(H342,1),";",B342,"b",_xlfn.CONCAT(".data:",E342),"c",_xlfn.CONCAT(".code:",E342),"")</f>
        <v>.data:006d</v>
      </c>
      <c r="D342" t="str">
        <f t="shared" si="27"/>
        <v>7e4e</v>
      </c>
      <c r="E342" t="str">
        <f t="shared" si="28"/>
        <v>006d</v>
      </c>
      <c r="F342">
        <f t="shared" si="29"/>
        <v>109</v>
      </c>
      <c r="G342">
        <f>HEX2DEC("7e4e")</f>
        <v>32334</v>
      </c>
      <c r="H342" t="s">
        <v>7</v>
      </c>
    </row>
    <row r="343" spans="1:8" x14ac:dyDescent="0.25">
      <c r="A343" t="str">
        <f t="shared" si="26"/>
        <v>00:7ebb .data:0135</v>
      </c>
      <c r="B343" t="str">
        <f t="shared" si="30"/>
        <v/>
      </c>
      <c r="C343" t="str">
        <f>_xlfn.SWITCH(LEFT(H343,1),";",B343,"b",_xlfn.CONCAT(".data:",E343),"c",_xlfn.CONCAT(".code:",E343),"")</f>
        <v>.data:0135</v>
      </c>
      <c r="D343" t="str">
        <f t="shared" si="27"/>
        <v>7ebb</v>
      </c>
      <c r="E343" t="str">
        <f t="shared" si="28"/>
        <v>0135</v>
      </c>
      <c r="F343">
        <f t="shared" si="29"/>
        <v>309</v>
      </c>
      <c r="G343">
        <f>HEX2DEC("7ebb")</f>
        <v>32443</v>
      </c>
      <c r="H343" t="s">
        <v>7</v>
      </c>
    </row>
    <row r="344" spans="1:8" x14ac:dyDescent="0.25">
      <c r="A344" t="str">
        <f t="shared" si="26"/>
        <v>00:7ff0 .code:0006</v>
      </c>
      <c r="B344" t="str">
        <f t="shared" si="30"/>
        <v/>
      </c>
      <c r="C344" t="str">
        <f>_xlfn.SWITCH(LEFT(H344,1),";",B344,"b",_xlfn.CONCAT(".data:",E344),"c",_xlfn.CONCAT(".code:",E344),"")</f>
        <v>.code:0006</v>
      </c>
      <c r="D344" t="str">
        <f t="shared" si="27"/>
        <v>7ff0</v>
      </c>
      <c r="E344" t="str">
        <f t="shared" si="28"/>
        <v>0006</v>
      </c>
      <c r="F344">
        <f t="shared" si="29"/>
        <v>6</v>
      </c>
      <c r="G344">
        <f>HEX2DEC("7ff0")</f>
        <v>32752</v>
      </c>
      <c r="H344" t="s">
        <v>9</v>
      </c>
    </row>
    <row r="345" spans="1:8" x14ac:dyDescent="0.25">
      <c r="A345" t="str">
        <f t="shared" si="26"/>
        <v>00:7ff6 .data:000a</v>
      </c>
      <c r="B345" t="str">
        <f t="shared" si="30"/>
        <v/>
      </c>
      <c r="C345" t="str">
        <f>_xlfn.SWITCH(LEFT(H345,1),";",B345,"b",_xlfn.CONCAT(".data:",E345),"c",_xlfn.CONCAT(".code:",E345),"")</f>
        <v>.data:000a</v>
      </c>
      <c r="D345" t="str">
        <f t="shared" si="27"/>
        <v>7ff6</v>
      </c>
      <c r="E345" t="str">
        <f t="shared" si="28"/>
        <v>000a</v>
      </c>
      <c r="F345">
        <f t="shared" si="29"/>
        <v>10</v>
      </c>
      <c r="G345">
        <f>HEX2DEC("7ff6")</f>
        <v>32758</v>
      </c>
      <c r="H345" t="s">
        <v>7</v>
      </c>
    </row>
    <row r="346" spans="1:8" x14ac:dyDescent="0.25">
      <c r="A346" t="str">
        <f t="shared" si="26"/>
        <v/>
      </c>
      <c r="B346" t="str">
        <f t="shared" si="30"/>
        <v/>
      </c>
      <c r="C346" t="str">
        <f>_xlfn.SWITCH(LEFT(H346,1),";",B346,"b",_xlfn.CONCAT(".data:",E346),"c",_xlfn.CONCAT(".code:",E346),"")</f>
        <v/>
      </c>
      <c r="D346" t="str">
        <f t="shared" si="27"/>
        <v>8000</v>
      </c>
      <c r="E346" t="str">
        <f t="shared" si="28"/>
        <v>0000</v>
      </c>
      <c r="F346">
        <f t="shared" si="29"/>
        <v>0</v>
      </c>
      <c r="G346">
        <f>HEX2DEC("8000")</f>
        <v>32768</v>
      </c>
      <c r="H346" t="s">
        <v>125</v>
      </c>
    </row>
  </sheetData>
  <conditionalFormatting sqref="F1:F104857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Casey Tucker</cp:lastModifiedBy>
  <dcterms:created xsi:type="dcterms:W3CDTF">2021-05-01T20:48:51Z</dcterms:created>
  <dcterms:modified xsi:type="dcterms:W3CDTF">2021-05-02T03:34:13Z</dcterms:modified>
</cp:coreProperties>
</file>