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5/"/>
    </mc:Choice>
  </mc:AlternateContent>
  <xr:revisionPtr revIDLastSave="0" documentId="13_ncr:1_{7651EA09-EDE4-FC46-943A-1446B04629BE}" xr6:coauthVersionLast="47" xr6:coauthVersionMax="47" xr10:uidLastSave="{00000000-0000-0000-0000-000000000000}"/>
  <bookViews>
    <workbookView xWindow="360" yWindow="1020" windowWidth="28800" windowHeight="17400" activeTab="13" xr2:uid="{00000000-000D-0000-FFFF-FFFF00000000}"/>
  </bookViews>
  <sheets>
    <sheet name="Flujo Redco 2025 v1" sheetId="11" state="hidden" r:id="rId1"/>
    <sheet name="Bono Anual 2024" sheetId="83" state="hidden" r:id="rId2"/>
    <sheet name="Resumen Flujo consolidado " sheetId="94" state="hidden" r:id="rId3"/>
    <sheet name="Tabla Análisis (2)" sheetId="127" state="hidden" r:id="rId4"/>
    <sheet name="Ppto vs Real_Nov" sheetId="122" r:id="rId5"/>
    <sheet name="Tabla datos unidades_Dic" sheetId="126" r:id="rId6"/>
    <sheet name="Tabla datos unidades_Sept" sheetId="120" state="hidden" r:id="rId7"/>
    <sheet name="Tabla datos unidades" sheetId="104" state="hidden" r:id="rId8"/>
    <sheet name="Flujo Anual por unidad 2025" sheetId="106" state="hidden" r:id="rId9"/>
    <sheet name="Flujo Consolidado por mes" sheetId="93" state="hidden" r:id="rId10"/>
    <sheet name="Flujo por empresa acum." sheetId="95" state="hidden" r:id="rId11"/>
    <sheet name="Tabla Análisis" sheetId="114" r:id="rId12"/>
    <sheet name="Gasto Operacional_Dic" sheetId="124" r:id="rId13"/>
    <sheet name="Flujo Redco Chile" sheetId="88" r:id="rId14"/>
    <sheet name="Flujo Redco Perú" sheetId="90" r:id="rId15"/>
    <sheet name="Flujo Redco Brasil" sheetId="91" r:id="rId16"/>
    <sheet name="Flujo Redco USA" sheetId="92" r:id="rId17"/>
    <sheet name="Flujo Redco BVI" sheetId="105" r:id="rId18"/>
    <sheet name="Facturas e Ingresos 2025" sheetId="79" state="hidden" r:id="rId19"/>
    <sheet name="Ingresos febrero" sheetId="86" state="hidden" r:id="rId20"/>
    <sheet name="Ingresos marzo" sheetId="87" state="hidden" r:id="rId21"/>
    <sheet name="Préstamo BVI" sheetId="56" state="hidden" r:id="rId22"/>
    <sheet name="FFMM" sheetId="78" state="hidden" r:id="rId23"/>
    <sheet name="ANGLO AMERICAN" sheetId="119" state="hidden" r:id="rId24"/>
    <sheet name="CMP Ret. 5%" sheetId="99" state="hidden" r:id="rId25"/>
    <sheet name="Facts. e Ingresos Perú" sheetId="96" state="hidden" r:id="rId26"/>
    <sheet name="Facts. e Ingresos Brasil" sheetId="97" state="hidden" r:id="rId27"/>
    <sheet name="Facts. e Ingresos USA" sheetId="98" state="hidden" r:id="rId28"/>
    <sheet name="Saldos ctas. ctes." sheetId="85" state="hidden" r:id="rId29"/>
    <sheet name="Pagos sept." sheetId="118" state="hidden" r:id="rId30"/>
    <sheet name="Hoja2" sheetId="125" state="hidden" r:id="rId31"/>
    <sheet name="Pagos agosto" sheetId="116" state="hidden" r:id="rId32"/>
    <sheet name="Nómina de pago mayo 2025" sheetId="103" state="hidden" r:id="rId33"/>
    <sheet name="Nómina pagos abril 2025" sheetId="64" state="hidden" r:id="rId34"/>
    <sheet name="Nómina de pago junio" sheetId="108" state="hidden" r:id="rId35"/>
    <sheet name="Facturas e Ingresos 2024" sheetId="50" state="hidden" r:id="rId36"/>
    <sheet name="Boletas Gtía." sheetId="67" state="hidden" r:id="rId37"/>
    <sheet name="Btas. de garantía" sheetId="49" state="hidden" r:id="rId38"/>
    <sheet name="INGRESOS " sheetId="38" state="hidden" r:id="rId39"/>
  </sheets>
  <externalReferences>
    <externalReference r:id="rId40"/>
  </externalReferences>
  <definedNames>
    <definedName name="_xlnm._FilterDatabase" localSheetId="25" hidden="1">'Facts. e Ingresos Perú'!#REF!</definedName>
    <definedName name="_xlnm._FilterDatabase" localSheetId="18" hidden="1">'Facturas e Ingresos 2025'!$A$1:$J$94</definedName>
    <definedName name="_xlnm._FilterDatabase" localSheetId="13" hidden="1">'Flujo Redco Chile'!$N$137:$P$187</definedName>
    <definedName name="_xlnm._FilterDatabase" localSheetId="29" hidden="1">'Pagos sept.'!#REF!</definedName>
    <definedName name="_xlnm._FilterDatabase" localSheetId="7" hidden="1">'Tabla datos unidades'!$B$1:$P$128</definedName>
    <definedName name="_xlnm._FilterDatabase" localSheetId="5" hidden="1">'Tabla datos unidades_Dic'!$B$1:$P$129</definedName>
    <definedName name="_xlnm._FilterDatabase" localSheetId="6" hidden="1">'Tabla datos unidades_Sept'!$B$1:$P$128</definedName>
    <definedName name="_xlchart.v5.0" hidden="1">'Ppto vs Real_Nov'!$P$105:$P$114</definedName>
    <definedName name="_xlchart.v5.1" hidden="1">'Ppto vs Real_Nov'!$Q$105:$Q$114</definedName>
    <definedName name="_xlnm.Print_Area" localSheetId="35">'Facturas e Ingresos 2024'!$A$61:$J$149</definedName>
    <definedName name="_xlnm.Print_Area" localSheetId="18">'Facturas e Ingresos 2025'!$A$1:$K$80</definedName>
    <definedName name="_xlnm.Print_Area" localSheetId="8">'Flujo Anual por unidad 2025'!$A$1:$H$46</definedName>
    <definedName name="_xlnm.Print_Area" localSheetId="10">'Flujo por empresa acum.'!$A$1:$H$46</definedName>
    <definedName name="_xlnm.Print_Area" localSheetId="0">'Flujo Redco 2025 v1'!$A$1:$B$373</definedName>
    <definedName name="_xlnm.Print_Area" localSheetId="32">'Nómina de pago mayo 2025'!$A$1:$C$63</definedName>
    <definedName name="_xlnm.Print_Area" localSheetId="33">'Nómina pagos abril 2025'!$A$1:$C$123</definedName>
    <definedName name="_xlnm.Print_Area" localSheetId="29">'Pagos sept.'!$A$1:$C$149</definedName>
  </definedNames>
  <calcPr calcId="191029"/>
  <pivotCaches>
    <pivotCache cacheId="84" r:id="rId41"/>
    <pivotCache cacheId="85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14" l="1"/>
  <c r="D53" i="126" l="1"/>
  <c r="D52" i="126"/>
  <c r="D62" i="126" s="1"/>
  <c r="C17" i="105" l="1"/>
  <c r="N20" i="114"/>
  <c r="M20" i="114"/>
  <c r="L20" i="114"/>
  <c r="K20" i="114"/>
  <c r="J20" i="114"/>
  <c r="I20" i="114"/>
  <c r="H20" i="114"/>
  <c r="G20" i="114"/>
  <c r="F20" i="114"/>
  <c r="E20" i="114"/>
  <c r="D20" i="114"/>
  <c r="C20" i="114"/>
  <c r="N96" i="105"/>
  <c r="N41" i="91" l="1"/>
  <c r="P6" i="114"/>
  <c r="P7" i="114"/>
  <c r="P8" i="114"/>
  <c r="P9" i="114"/>
  <c r="P10" i="114"/>
  <c r="P5" i="114"/>
  <c r="P15" i="127" l="1"/>
  <c r="P16" i="127"/>
  <c r="P17" i="127"/>
  <c r="P19" i="127"/>
  <c r="P22" i="127"/>
  <c r="P23" i="127"/>
  <c r="P24" i="127"/>
  <c r="P29" i="127"/>
  <c r="P30" i="127"/>
  <c r="P31" i="127"/>
  <c r="P33" i="127"/>
  <c r="P34" i="127"/>
  <c r="P38" i="127"/>
  <c r="P39" i="127"/>
  <c r="P40" i="127"/>
  <c r="P42" i="127"/>
  <c r="P43" i="127"/>
  <c r="P44" i="127"/>
  <c r="P49" i="127"/>
  <c r="P51" i="127"/>
  <c r="P52" i="127"/>
  <c r="P55" i="127"/>
  <c r="P59" i="127"/>
  <c r="P70" i="127"/>
  <c r="P72" i="127"/>
  <c r="P76" i="127"/>
  <c r="P88" i="127"/>
  <c r="P91" i="127"/>
  <c r="P13" i="127"/>
  <c r="S98" i="122"/>
  <c r="S100" i="122"/>
  <c r="S101" i="122"/>
  <c r="S99" i="122"/>
  <c r="S97" i="122"/>
  <c r="R102" i="122"/>
  <c r="AE97" i="122"/>
  <c r="AF97" i="122" s="1"/>
  <c r="AE98" i="122"/>
  <c r="AF98" i="122" s="1"/>
  <c r="AE99" i="122"/>
  <c r="AF99" i="122" s="1"/>
  <c r="AE100" i="122"/>
  <c r="AF100" i="122" s="1"/>
  <c r="AE101" i="122"/>
  <c r="AF101" i="122" s="1"/>
  <c r="AE96" i="122"/>
  <c r="AF96" i="122" s="1"/>
  <c r="AE102" i="122" l="1"/>
  <c r="AF102" i="122"/>
  <c r="B18" i="124" l="1"/>
  <c r="C18" i="124"/>
  <c r="D18" i="124"/>
  <c r="E18" i="124"/>
  <c r="F18" i="124"/>
  <c r="G18" i="124"/>
  <c r="H18" i="124"/>
  <c r="I18" i="124"/>
  <c r="J18" i="124"/>
  <c r="K18" i="124"/>
  <c r="L18" i="124"/>
  <c r="M18" i="124"/>
  <c r="B19" i="124"/>
  <c r="C19" i="124"/>
  <c r="D19" i="124"/>
  <c r="E19" i="124"/>
  <c r="F19" i="124"/>
  <c r="G19" i="124"/>
  <c r="H19" i="124"/>
  <c r="I19" i="124"/>
  <c r="J19" i="124"/>
  <c r="K19" i="124"/>
  <c r="L19" i="124"/>
  <c r="M19" i="124"/>
  <c r="B20" i="124"/>
  <c r="C20" i="124"/>
  <c r="D20" i="124"/>
  <c r="E20" i="124"/>
  <c r="F20" i="124"/>
  <c r="G20" i="124"/>
  <c r="H20" i="124"/>
  <c r="I20" i="124"/>
  <c r="J20" i="124"/>
  <c r="K20" i="124"/>
  <c r="L20" i="124"/>
  <c r="M20" i="124"/>
  <c r="B21" i="124"/>
  <c r="C21" i="124"/>
  <c r="D21" i="124"/>
  <c r="E21" i="124"/>
  <c r="F21" i="124"/>
  <c r="G21" i="124"/>
  <c r="H21" i="124"/>
  <c r="I21" i="124"/>
  <c r="J21" i="124"/>
  <c r="K21" i="124"/>
  <c r="L21" i="124"/>
  <c r="M21" i="124"/>
  <c r="B22" i="124"/>
  <c r="C22" i="124"/>
  <c r="D22" i="124"/>
  <c r="E22" i="124"/>
  <c r="F22" i="124"/>
  <c r="G22" i="124"/>
  <c r="H22" i="124"/>
  <c r="I22" i="124"/>
  <c r="J22" i="124"/>
  <c r="K22" i="124"/>
  <c r="L22" i="124"/>
  <c r="M22" i="124"/>
  <c r="M124" i="91" l="1"/>
  <c r="N124" i="91"/>
  <c r="O34" i="126"/>
  <c r="L47" i="91"/>
  <c r="K47" i="91"/>
  <c r="N12" i="91"/>
  <c r="N53" i="90"/>
  <c r="N45" i="90"/>
  <c r="N46" i="90"/>
  <c r="N47" i="90"/>
  <c r="N24" i="90"/>
  <c r="N256" i="90"/>
  <c r="N88" i="90"/>
  <c r="N12" i="90" s="1"/>
  <c r="N52" i="88"/>
  <c r="N53" i="88"/>
  <c r="O42" i="126" s="1"/>
  <c r="N54" i="88"/>
  <c r="N56" i="88"/>
  <c r="N57" i="88"/>
  <c r="N44" i="88"/>
  <c r="O39" i="126" s="1"/>
  <c r="N45" i="88"/>
  <c r="N46" i="88"/>
  <c r="N47" i="88"/>
  <c r="N31" i="88"/>
  <c r="O28" i="126" s="1"/>
  <c r="N32" i="88"/>
  <c r="O33" i="126" s="1"/>
  <c r="N33" i="88"/>
  <c r="N34" i="88"/>
  <c r="N35" i="88"/>
  <c r="N36" i="88"/>
  <c r="N37" i="88"/>
  <c r="N39" i="88"/>
  <c r="N40" i="88"/>
  <c r="O35" i="126" s="1"/>
  <c r="N25" i="88"/>
  <c r="N390" i="88"/>
  <c r="N113" i="88"/>
  <c r="N318" i="88"/>
  <c r="N397" i="88"/>
  <c r="N406" i="88"/>
  <c r="O47" i="91" l="1"/>
  <c r="O40" i="126"/>
  <c r="N58" i="88"/>
  <c r="O30" i="126"/>
  <c r="O41" i="126"/>
  <c r="O32" i="126"/>
  <c r="N23" i="91"/>
  <c r="N227" i="91"/>
  <c r="N246" i="91"/>
  <c r="N382" i="88"/>
  <c r="N22" i="88" s="1"/>
  <c r="N337" i="88"/>
  <c r="N21" i="88" s="1"/>
  <c r="N313" i="88"/>
  <c r="N17" i="88" s="1"/>
  <c r="N264" i="88"/>
  <c r="N16" i="88" s="1"/>
  <c r="N217" i="88"/>
  <c r="N128" i="88"/>
  <c r="N108" i="88"/>
  <c r="N44" i="124"/>
  <c r="N132" i="88" l="1"/>
  <c r="N11" i="88"/>
  <c r="N264" i="91"/>
  <c r="N24" i="91"/>
  <c r="N37" i="91"/>
  <c r="O45" i="126" s="1"/>
  <c r="N266" i="91"/>
  <c r="N219" i="88"/>
  <c r="N15" i="88" s="1"/>
  <c r="N408" i="88" l="1"/>
  <c r="N410" i="88" s="1"/>
  <c r="N383" i="88"/>
  <c r="N34" i="126"/>
  <c r="N94" i="92"/>
  <c r="N12" i="92" s="1"/>
  <c r="H41" i="91"/>
  <c r="I41" i="91"/>
  <c r="J41" i="91"/>
  <c r="K41" i="91"/>
  <c r="L41" i="91"/>
  <c r="M41" i="91"/>
  <c r="M12" i="91"/>
  <c r="M254" i="91"/>
  <c r="M268" i="91" s="1"/>
  <c r="C254" i="91"/>
  <c r="D254" i="91"/>
  <c r="E254" i="91"/>
  <c r="F254" i="91"/>
  <c r="H254" i="91"/>
  <c r="H268" i="91" s="1"/>
  <c r="I254" i="91"/>
  <c r="I268" i="91" s="1"/>
  <c r="J254" i="91"/>
  <c r="J268" i="91" s="1"/>
  <c r="K254" i="91"/>
  <c r="K268" i="91" s="1"/>
  <c r="L254" i="91"/>
  <c r="L268" i="91" s="1"/>
  <c r="N254" i="91"/>
  <c r="N268" i="91" s="1"/>
  <c r="K200" i="91"/>
  <c r="L200" i="91"/>
  <c r="N200" i="91"/>
  <c r="C185" i="91"/>
  <c r="D185" i="91"/>
  <c r="E185" i="91"/>
  <c r="F185" i="91"/>
  <c r="G185" i="91"/>
  <c r="H185" i="91"/>
  <c r="I185" i="91"/>
  <c r="J185" i="91"/>
  <c r="K185" i="91"/>
  <c r="L185" i="91"/>
  <c r="N185" i="91"/>
  <c r="N168" i="91"/>
  <c r="C168" i="91"/>
  <c r="D168" i="91"/>
  <c r="E168" i="91"/>
  <c r="F168" i="91"/>
  <c r="G168" i="91"/>
  <c r="H168" i="91"/>
  <c r="I168" i="91"/>
  <c r="J168" i="91"/>
  <c r="K168" i="91"/>
  <c r="L168" i="91"/>
  <c r="L53" i="90"/>
  <c r="L54" i="90" s="1"/>
  <c r="M45" i="90"/>
  <c r="M46" i="90"/>
  <c r="M47" i="90"/>
  <c r="M24" i="90"/>
  <c r="C88" i="90"/>
  <c r="D88" i="90"/>
  <c r="E88" i="90"/>
  <c r="F88" i="90"/>
  <c r="G88" i="90"/>
  <c r="H88" i="90"/>
  <c r="I88" i="90"/>
  <c r="J88" i="90"/>
  <c r="K88" i="90"/>
  <c r="L88" i="90"/>
  <c r="N198" i="90"/>
  <c r="L198" i="90"/>
  <c r="N185" i="90"/>
  <c r="L185" i="90"/>
  <c r="N165" i="90"/>
  <c r="N182" i="90" s="1"/>
  <c r="N17" i="90" s="1"/>
  <c r="C165" i="90"/>
  <c r="D165" i="90"/>
  <c r="E165" i="90"/>
  <c r="F165" i="90"/>
  <c r="G165" i="90"/>
  <c r="H165" i="90"/>
  <c r="I165" i="90"/>
  <c r="J165" i="90"/>
  <c r="K165" i="90"/>
  <c r="L165" i="90"/>
  <c r="N137" i="90"/>
  <c r="C137" i="90"/>
  <c r="E137" i="90"/>
  <c r="F137" i="90"/>
  <c r="G137" i="90"/>
  <c r="H137" i="90"/>
  <c r="I137" i="90"/>
  <c r="L137" i="90"/>
  <c r="L256" i="90"/>
  <c r="P33" i="88"/>
  <c r="M44" i="88"/>
  <c r="N39" i="126" s="1"/>
  <c r="M31" i="88"/>
  <c r="N28" i="126" s="1"/>
  <c r="L25" i="88"/>
  <c r="M25" i="88"/>
  <c r="M57" i="88"/>
  <c r="M56" i="88"/>
  <c r="M54" i="88"/>
  <c r="M53" i="88"/>
  <c r="N42" i="126" s="1"/>
  <c r="M52" i="88"/>
  <c r="M47" i="88"/>
  <c r="M46" i="88"/>
  <c r="M45" i="88"/>
  <c r="M33" i="88"/>
  <c r="O33" i="88" s="1"/>
  <c r="M32" i="88"/>
  <c r="M40" i="88"/>
  <c r="N35" i="126" s="1"/>
  <c r="M35" i="88"/>
  <c r="M37" i="88"/>
  <c r="M34" i="88"/>
  <c r="M36" i="88"/>
  <c r="I108" i="88"/>
  <c r="J108" i="88"/>
  <c r="L108" i="88"/>
  <c r="C108" i="88"/>
  <c r="N32" i="126" l="1"/>
  <c r="M49" i="88"/>
  <c r="N41" i="126"/>
  <c r="M88" i="90"/>
  <c r="M12" i="90" s="1"/>
  <c r="M39" i="88"/>
  <c r="N30" i="126" s="1"/>
  <c r="M23" i="91"/>
  <c r="M246" i="91"/>
  <c r="M37" i="91" s="1"/>
  <c r="N45" i="126" s="1"/>
  <c r="N33" i="126"/>
  <c r="M185" i="91"/>
  <c r="N40" i="126"/>
  <c r="M200" i="91"/>
  <c r="M53" i="90"/>
  <c r="M54" i="90" s="1"/>
  <c r="N44" i="126" s="1"/>
  <c r="M227" i="91"/>
  <c r="M264" i="91" s="1"/>
  <c r="M168" i="91"/>
  <c r="M198" i="90"/>
  <c r="M185" i="90"/>
  <c r="M137" i="90"/>
  <c r="M165" i="90"/>
  <c r="M182" i="90" s="1"/>
  <c r="M17" i="90" s="1"/>
  <c r="M58" i="88"/>
  <c r="M108" i="88"/>
  <c r="M11" i="88" s="1"/>
  <c r="M12" i="88" s="1"/>
  <c r="N4" i="126" s="1"/>
  <c r="M24" i="91" l="1"/>
  <c r="M266" i="91"/>
  <c r="M41" i="88"/>
  <c r="M113" i="88" l="1"/>
  <c r="M318" i="88"/>
  <c r="H35" i="126"/>
  <c r="G35" i="126"/>
  <c r="F35" i="126"/>
  <c r="E35" i="126"/>
  <c r="D35" i="126"/>
  <c r="M390" i="88" l="1"/>
  <c r="M397" i="88"/>
  <c r="N19" i="124"/>
  <c r="N20" i="124"/>
  <c r="N21" i="124"/>
  <c r="N22" i="124"/>
  <c r="N18" i="124"/>
  <c r="C23" i="124"/>
  <c r="D23" i="124"/>
  <c r="E23" i="124"/>
  <c r="F23" i="124"/>
  <c r="G23" i="124"/>
  <c r="H23" i="124"/>
  <c r="I23" i="124"/>
  <c r="J23" i="124"/>
  <c r="K23" i="124"/>
  <c r="B23" i="124"/>
  <c r="B25" i="124" s="1"/>
  <c r="D25" i="124" l="1"/>
  <c r="J25" i="124"/>
  <c r="C25" i="124"/>
  <c r="K25" i="124"/>
  <c r="I25" i="124"/>
  <c r="H25" i="124"/>
  <c r="G25" i="124"/>
  <c r="F25" i="124"/>
  <c r="E25" i="124"/>
  <c r="L23" i="124"/>
  <c r="M23" i="124"/>
  <c r="L25" i="124" l="1"/>
  <c r="M25" i="124"/>
  <c r="N23" i="124"/>
  <c r="O19" i="124" l="1"/>
  <c r="O22" i="124"/>
  <c r="O18" i="124"/>
  <c r="O20" i="124"/>
  <c r="O21" i="124"/>
  <c r="D47" i="126"/>
  <c r="E47" i="126"/>
  <c r="F47" i="126"/>
  <c r="G47" i="126"/>
  <c r="M34" i="126"/>
  <c r="L41" i="92"/>
  <c r="O23" i="124" l="1"/>
  <c r="L245" i="91"/>
  <c r="L244" i="91"/>
  <c r="L243" i="91"/>
  <c r="L241" i="91"/>
  <c r="L240" i="91"/>
  <c r="L239" i="91"/>
  <c r="L238" i="91"/>
  <c r="L237" i="91"/>
  <c r="L236" i="91"/>
  <c r="L226" i="91"/>
  <c r="L225" i="91"/>
  <c r="L224" i="91"/>
  <c r="L223" i="91"/>
  <c r="L222" i="91"/>
  <c r="K136" i="91"/>
  <c r="M136" i="91"/>
  <c r="N136" i="91"/>
  <c r="L45" i="90"/>
  <c r="L46" i="90"/>
  <c r="L47" i="90"/>
  <c r="L24" i="90"/>
  <c r="L31" i="88"/>
  <c r="L32" i="88"/>
  <c r="M33" i="126" s="1"/>
  <c r="L40" i="88"/>
  <c r="M35" i="126" s="1"/>
  <c r="L37" i="88"/>
  <c r="L35" i="88"/>
  <c r="L34" i="88"/>
  <c r="L36" i="88"/>
  <c r="L57" i="88"/>
  <c r="L56" i="88"/>
  <c r="L54" i="88"/>
  <c r="L53" i="88"/>
  <c r="M42" i="126" s="1"/>
  <c r="L52" i="88"/>
  <c r="L47" i="88"/>
  <c r="L46" i="88"/>
  <c r="L45" i="88"/>
  <c r="L44" i="88"/>
  <c r="G36" i="126"/>
  <c r="F36" i="126"/>
  <c r="E36" i="126"/>
  <c r="D36" i="126"/>
  <c r="L34" i="126"/>
  <c r="K34" i="126"/>
  <c r="J34" i="126"/>
  <c r="I34" i="126"/>
  <c r="H34" i="126"/>
  <c r="G34" i="126"/>
  <c r="E34" i="126"/>
  <c r="D34" i="126"/>
  <c r="F33" i="126"/>
  <c r="E32" i="126"/>
  <c r="T8" i="126"/>
  <c r="T4" i="126"/>
  <c r="M39" i="126" l="1"/>
  <c r="L49" i="88"/>
  <c r="M28" i="126"/>
  <c r="L23" i="91"/>
  <c r="L136" i="91"/>
  <c r="L12" i="90"/>
  <c r="M32" i="126"/>
  <c r="M41" i="126"/>
  <c r="M40" i="126"/>
  <c r="L227" i="91"/>
  <c r="L11" i="88"/>
  <c r="L12" i="88" s="1"/>
  <c r="L39" i="88"/>
  <c r="M30" i="126" s="1"/>
  <c r="L124" i="91"/>
  <c r="L246" i="91"/>
  <c r="L182" i="90"/>
  <c r="L17" i="90" s="1"/>
  <c r="L58" i="88"/>
  <c r="L217" i="88"/>
  <c r="L41" i="88" l="1"/>
  <c r="L37" i="91"/>
  <c r="M45" i="126" s="1"/>
  <c r="L266" i="91"/>
  <c r="L24" i="91"/>
  <c r="L264" i="91"/>
  <c r="D25" i="88" l="1"/>
  <c r="E25" i="88"/>
  <c r="F25" i="88"/>
  <c r="G25" i="88"/>
  <c r="H25" i="88"/>
  <c r="I25" i="88"/>
  <c r="K25" i="88"/>
  <c r="Y116" i="122" l="1"/>
  <c r="Z116" i="122" s="1"/>
  <c r="Y115" i="122"/>
  <c r="Z115" i="122" s="1"/>
  <c r="Y114" i="122"/>
  <c r="Z114" i="122" s="1"/>
  <c r="Y112" i="122"/>
  <c r="Z112" i="122" s="1"/>
  <c r="Y109" i="122"/>
  <c r="Z109" i="122" s="1"/>
  <c r="Y108" i="122"/>
  <c r="Z108" i="122" s="1"/>
  <c r="Y107" i="122"/>
  <c r="Z107" i="122" s="1"/>
  <c r="Y104" i="122"/>
  <c r="Z104" i="122" s="1"/>
  <c r="Y103" i="122"/>
  <c r="Z103" i="122" s="1"/>
  <c r="Q102" i="122"/>
  <c r="Q105" i="122" l="1"/>
  <c r="Q111" i="122" s="1"/>
  <c r="Q114" i="122" s="1"/>
  <c r="S102" i="122"/>
  <c r="S103" i="122" s="1"/>
  <c r="V102" i="122"/>
  <c r="Y100" i="122" s="1"/>
  <c r="Z100" i="122" s="1"/>
  <c r="Y101" i="122"/>
  <c r="Z101" i="122" s="1"/>
  <c r="Y98" i="122" l="1"/>
  <c r="Z98" i="122" s="1"/>
  <c r="Y97" i="122"/>
  <c r="Y99" i="122"/>
  <c r="Z99" i="122" s="1"/>
  <c r="Y102" i="122" l="1"/>
  <c r="Y105" i="122" s="1"/>
  <c r="Z105" i="122" s="1"/>
  <c r="Z97" i="122"/>
  <c r="Z102" i="122" s="1"/>
  <c r="S66" i="120" l="1"/>
  <c r="O45" i="120" l="1"/>
  <c r="N45" i="120"/>
  <c r="M45" i="120"/>
  <c r="O42" i="120"/>
  <c r="N42" i="120"/>
  <c r="M42" i="120"/>
  <c r="O41" i="120"/>
  <c r="N41" i="120"/>
  <c r="M41" i="120"/>
  <c r="O40" i="120"/>
  <c r="N40" i="120"/>
  <c r="M40" i="120"/>
  <c r="O39" i="120"/>
  <c r="N39" i="120"/>
  <c r="M39" i="120"/>
  <c r="G36" i="120"/>
  <c r="F36" i="120"/>
  <c r="E36" i="120"/>
  <c r="D36" i="120"/>
  <c r="P35" i="120"/>
  <c r="O34" i="120"/>
  <c r="N34" i="120"/>
  <c r="M34" i="120"/>
  <c r="L34" i="120"/>
  <c r="K34" i="120"/>
  <c r="J34" i="120"/>
  <c r="I34" i="120"/>
  <c r="H34" i="120"/>
  <c r="G34" i="120"/>
  <c r="E34" i="120"/>
  <c r="D34" i="120"/>
  <c r="O33" i="120"/>
  <c r="N33" i="120"/>
  <c r="M33" i="120"/>
  <c r="F33" i="120"/>
  <c r="O32" i="120"/>
  <c r="N32" i="120"/>
  <c r="M32" i="120"/>
  <c r="E32" i="120"/>
  <c r="O30" i="120"/>
  <c r="N30" i="120"/>
  <c r="M30" i="120"/>
  <c r="O28" i="120"/>
  <c r="N28" i="120"/>
  <c r="M28" i="120"/>
  <c r="T8" i="120"/>
  <c r="T4" i="120"/>
  <c r="P35" i="104" l="1"/>
  <c r="D36" i="104" l="1"/>
  <c r="E36" i="104"/>
  <c r="F36" i="104"/>
  <c r="G36" i="104"/>
  <c r="P16" i="105"/>
  <c r="C11" i="88"/>
  <c r="D11" i="88"/>
  <c r="G34" i="88"/>
  <c r="F35" i="88"/>
  <c r="F36" i="88"/>
  <c r="G63" i="88"/>
  <c r="G53" i="88"/>
  <c r="G54" i="88"/>
  <c r="G56" i="88"/>
  <c r="G57" i="88"/>
  <c r="G45" i="88"/>
  <c r="G46" i="88"/>
  <c r="G48" i="88"/>
  <c r="G31" i="88"/>
  <c r="E31" i="93"/>
  <c r="C42" i="88"/>
  <c r="F34" i="88"/>
  <c r="H34" i="88"/>
  <c r="I34" i="88"/>
  <c r="J34" i="88"/>
  <c r="K34" i="88"/>
  <c r="E34" i="88"/>
  <c r="F30" i="104" s="1"/>
  <c r="M30" i="104"/>
  <c r="N30" i="104"/>
  <c r="O30" i="104"/>
  <c r="D34" i="88"/>
  <c r="C34" i="88"/>
  <c r="F128" i="88"/>
  <c r="E128" i="88"/>
  <c r="P34" i="88" l="1"/>
  <c r="H28" i="126"/>
  <c r="H28" i="120"/>
  <c r="O34" i="88"/>
  <c r="F30" i="126"/>
  <c r="F30" i="120"/>
  <c r="H42" i="126"/>
  <c r="H42" i="120"/>
  <c r="E120" i="79"/>
  <c r="F15" i="119" l="1"/>
  <c r="E15" i="119"/>
  <c r="F10" i="119"/>
  <c r="E10" i="119"/>
  <c r="H15" i="119"/>
  <c r="I7" i="119"/>
  <c r="I5" i="119"/>
  <c r="I4" i="119"/>
  <c r="I3" i="119"/>
  <c r="I10" i="119" l="1"/>
  <c r="E18" i="119"/>
  <c r="H120" i="79"/>
  <c r="G121" i="79"/>
  <c r="G122" i="79" s="1"/>
  <c r="E16" i="79"/>
  <c r="E110" i="79"/>
  <c r="F110" i="79"/>
  <c r="P29" i="92"/>
  <c r="P25" i="92"/>
  <c r="P16" i="92"/>
  <c r="K41" i="92"/>
  <c r="P42" i="91"/>
  <c r="K23" i="91"/>
  <c r="H102" i="91"/>
  <c r="K246" i="91"/>
  <c r="K266" i="91" s="1"/>
  <c r="K227" i="91"/>
  <c r="K24" i="91" s="1"/>
  <c r="K155" i="91"/>
  <c r="K219" i="91" s="1"/>
  <c r="K19" i="91" s="1"/>
  <c r="L155" i="91"/>
  <c r="L219" i="91" s="1"/>
  <c r="M155" i="91"/>
  <c r="M219" i="91" s="1"/>
  <c r="N155" i="91"/>
  <c r="N219" i="91" s="1"/>
  <c r="L127" i="91"/>
  <c r="L129" i="91" s="1"/>
  <c r="M127" i="91"/>
  <c r="M129" i="91" s="1"/>
  <c r="N127" i="91"/>
  <c r="N129" i="91" s="1"/>
  <c r="K127" i="91"/>
  <c r="K129" i="91" s="1"/>
  <c r="K31" i="93"/>
  <c r="K39" i="93"/>
  <c r="P52" i="90"/>
  <c r="P51" i="90"/>
  <c r="P37" i="90"/>
  <c r="P38" i="90"/>
  <c r="P39" i="90"/>
  <c r="P40" i="90"/>
  <c r="K53" i="90"/>
  <c r="K45" i="90"/>
  <c r="K46" i="90"/>
  <c r="K47" i="90"/>
  <c r="K24" i="90"/>
  <c r="K198" i="90"/>
  <c r="K185" i="90"/>
  <c r="K135" i="90"/>
  <c r="K137" i="90" s="1"/>
  <c r="J120" i="90"/>
  <c r="O8" i="88"/>
  <c r="P8" i="88"/>
  <c r="L113" i="88"/>
  <c r="L128" i="88"/>
  <c r="L219" i="88"/>
  <c r="L15" i="88" s="1"/>
  <c r="L264" i="88"/>
  <c r="L16" i="88" s="1"/>
  <c r="L318" i="88"/>
  <c r="L337" i="88"/>
  <c r="L21" i="88" s="1"/>
  <c r="L390" i="88"/>
  <c r="L397" i="88"/>
  <c r="L406" i="88"/>
  <c r="K52" i="88"/>
  <c r="K53" i="88"/>
  <c r="K56" i="88"/>
  <c r="K57" i="88"/>
  <c r="K45" i="88"/>
  <c r="K46" i="88"/>
  <c r="K31" i="88"/>
  <c r="K32" i="88"/>
  <c r="K35" i="88"/>
  <c r="K36" i="88"/>
  <c r="K37" i="88"/>
  <c r="K40" i="88"/>
  <c r="L35" i="126" s="1"/>
  <c r="K276" i="88"/>
  <c r="K340" i="88"/>
  <c r="K396" i="88"/>
  <c r="K47" i="88" s="1"/>
  <c r="K369" i="88"/>
  <c r="N17" i="91" l="1"/>
  <c r="N261" i="91"/>
  <c r="N263" i="91"/>
  <c r="N19" i="91"/>
  <c r="M17" i="91"/>
  <c r="M261" i="91"/>
  <c r="M19" i="91"/>
  <c r="M263" i="91"/>
  <c r="L261" i="91"/>
  <c r="L17" i="91"/>
  <c r="L263" i="91"/>
  <c r="L19" i="91"/>
  <c r="K37" i="91"/>
  <c r="L45" i="126" s="1"/>
  <c r="L42" i="126"/>
  <c r="L42" i="120"/>
  <c r="L32" i="126"/>
  <c r="L32" i="120"/>
  <c r="L33" i="126"/>
  <c r="L33" i="120"/>
  <c r="L28" i="126"/>
  <c r="L28" i="120"/>
  <c r="L40" i="126"/>
  <c r="L40" i="120"/>
  <c r="K17" i="91"/>
  <c r="K261" i="91"/>
  <c r="K264" i="91"/>
  <c r="K263" i="91"/>
  <c r="K32" i="93"/>
  <c r="K38" i="93"/>
  <c r="L132" i="88"/>
  <c r="L313" i="88"/>
  <c r="L17" i="88" s="1"/>
  <c r="L18" i="88" s="1"/>
  <c r="L382" i="88"/>
  <c r="L22" i="88" s="1"/>
  <c r="L23" i="88" s="1"/>
  <c r="K236" i="88"/>
  <c r="K397" i="88"/>
  <c r="K403" i="88"/>
  <c r="I110" i="79"/>
  <c r="G110" i="79"/>
  <c r="H107" i="79"/>
  <c r="H110" i="79" s="1"/>
  <c r="F106" i="79"/>
  <c r="G106" i="79"/>
  <c r="H106" i="79"/>
  <c r="E106" i="79"/>
  <c r="K106" i="79"/>
  <c r="C103" i="118"/>
  <c r="C106" i="118" s="1"/>
  <c r="C76" i="118"/>
  <c r="C82" i="118"/>
  <c r="C85" i="118" s="1"/>
  <c r="C116" i="118"/>
  <c r="C122" i="118"/>
  <c r="C71" i="118"/>
  <c r="K253" i="88"/>
  <c r="K263" i="88"/>
  <c r="J248" i="88"/>
  <c r="J264" i="88" s="1"/>
  <c r="J16" i="88" s="1"/>
  <c r="J217" i="88"/>
  <c r="J219" i="88" s="1"/>
  <c r="J15" i="88" s="1"/>
  <c r="K213" i="88"/>
  <c r="K216" i="88"/>
  <c r="J11" i="88"/>
  <c r="J112" i="88"/>
  <c r="J113" i="88" s="1"/>
  <c r="J128" i="88"/>
  <c r="J269" i="88"/>
  <c r="J271" i="88"/>
  <c r="J272" i="88"/>
  <c r="J276" i="88"/>
  <c r="J296" i="88"/>
  <c r="J317" i="88"/>
  <c r="J337" i="88"/>
  <c r="J21" i="88" s="1"/>
  <c r="J340" i="88"/>
  <c r="J343" i="88"/>
  <c r="J361" i="88"/>
  <c r="J365" i="88"/>
  <c r="J366" i="88"/>
  <c r="J369" i="88"/>
  <c r="J387" i="88"/>
  <c r="J390" i="88" s="1"/>
  <c r="J396" i="88"/>
  <c r="J397" i="88" s="1"/>
  <c r="J406" i="88"/>
  <c r="I11" i="88"/>
  <c r="I113" i="88"/>
  <c r="I128" i="88"/>
  <c r="I148" i="88"/>
  <c r="I175" i="88"/>
  <c r="I202" i="88"/>
  <c r="I264" i="88"/>
  <c r="I16" i="88" s="1"/>
  <c r="I276" i="88"/>
  <c r="I292" i="88"/>
  <c r="I318" i="88"/>
  <c r="I337" i="88"/>
  <c r="I21" i="88" s="1"/>
  <c r="I340" i="88"/>
  <c r="I343" i="88"/>
  <c r="I344" i="88"/>
  <c r="I345" i="88"/>
  <c r="I366" i="88"/>
  <c r="I369" i="88"/>
  <c r="I371" i="88"/>
  <c r="I390" i="88"/>
  <c r="I396" i="88"/>
  <c r="I47" i="88" s="1"/>
  <c r="I406" i="88"/>
  <c r="H105" i="88"/>
  <c r="H113" i="88"/>
  <c r="H126" i="88"/>
  <c r="H128" i="88" s="1"/>
  <c r="H190" i="88"/>
  <c r="H213" i="88"/>
  <c r="H242" i="88"/>
  <c r="H264" i="88" s="1"/>
  <c r="H16" i="88" s="1"/>
  <c r="H269" i="88"/>
  <c r="H276" i="88"/>
  <c r="H297" i="88"/>
  <c r="H318" i="88"/>
  <c r="H337" i="88"/>
  <c r="H21" i="88" s="1"/>
  <c r="H340" i="88"/>
  <c r="H342" i="88"/>
  <c r="H364" i="88"/>
  <c r="H366" i="88"/>
  <c r="H390" i="88"/>
  <c r="H397" i="88"/>
  <c r="H406" i="88"/>
  <c r="H411" i="88"/>
  <c r="K269" i="88"/>
  <c r="K303" i="88"/>
  <c r="K318" i="88"/>
  <c r="K324" i="88"/>
  <c r="K337" i="88" s="1"/>
  <c r="K366" i="88"/>
  <c r="K368" i="88"/>
  <c r="K371" i="88"/>
  <c r="K379" i="88"/>
  <c r="K387" i="88"/>
  <c r="K81" i="88"/>
  <c r="K113" i="88"/>
  <c r="K123" i="88"/>
  <c r="K39" i="88" s="1"/>
  <c r="C134" i="118"/>
  <c r="C138" i="118"/>
  <c r="C149" i="118"/>
  <c r="H97" i="79"/>
  <c r="H85" i="79"/>
  <c r="H77" i="79"/>
  <c r="H69" i="79"/>
  <c r="H57" i="79"/>
  <c r="H47" i="79"/>
  <c r="H36" i="79"/>
  <c r="H29" i="79"/>
  <c r="H16" i="79"/>
  <c r="I98" i="79"/>
  <c r="I99" i="79"/>
  <c r="I86" i="79"/>
  <c r="I87" i="79"/>
  <c r="I92" i="79"/>
  <c r="K95" i="79" s="1"/>
  <c r="I96" i="79"/>
  <c r="I78" i="79"/>
  <c r="I79" i="79"/>
  <c r="I80" i="79"/>
  <c r="I81" i="79"/>
  <c r="I82" i="79"/>
  <c r="I83" i="79"/>
  <c r="I84" i="79"/>
  <c r="I70" i="79"/>
  <c r="I71" i="79"/>
  <c r="I72" i="79"/>
  <c r="I73" i="79"/>
  <c r="I74" i="79"/>
  <c r="I75" i="79"/>
  <c r="I76" i="79"/>
  <c r="I58" i="79"/>
  <c r="I59" i="79"/>
  <c r="I60" i="79"/>
  <c r="I61" i="79"/>
  <c r="I62" i="79"/>
  <c r="I63" i="79"/>
  <c r="I64" i="79"/>
  <c r="I65" i="79"/>
  <c r="I67" i="79"/>
  <c r="I68" i="79"/>
  <c r="I48" i="79"/>
  <c r="I49" i="79"/>
  <c r="I50" i="79"/>
  <c r="I51" i="79"/>
  <c r="I52" i="79"/>
  <c r="I53" i="79"/>
  <c r="I54" i="79"/>
  <c r="I55" i="79"/>
  <c r="I56" i="79"/>
  <c r="I37" i="79"/>
  <c r="I38" i="79"/>
  <c r="I39" i="79"/>
  <c r="I40" i="79"/>
  <c r="I41" i="79"/>
  <c r="I42" i="79"/>
  <c r="I44" i="79"/>
  <c r="I46" i="79"/>
  <c r="I31" i="79"/>
  <c r="I33" i="79"/>
  <c r="I34" i="79"/>
  <c r="I35" i="79"/>
  <c r="I17" i="79"/>
  <c r="D53" i="11" s="1"/>
  <c r="I18" i="79"/>
  <c r="D54" i="11" s="1"/>
  <c r="I19" i="79"/>
  <c r="I20" i="79"/>
  <c r="I21" i="79"/>
  <c r="I22" i="79"/>
  <c r="I23" i="79"/>
  <c r="I24" i="79"/>
  <c r="I25" i="79"/>
  <c r="I27" i="79"/>
  <c r="I28" i="79"/>
  <c r="I7" i="79"/>
  <c r="I8" i="79"/>
  <c r="I9" i="79"/>
  <c r="I10" i="79"/>
  <c r="I11" i="79"/>
  <c r="I12" i="79"/>
  <c r="I14" i="79"/>
  <c r="I15" i="79"/>
  <c r="G181" i="92"/>
  <c r="G46" i="92" s="1"/>
  <c r="H47" i="126" s="1"/>
  <c r="H181" i="92"/>
  <c r="H46" i="92" s="1"/>
  <c r="I181" i="92"/>
  <c r="I46" i="92" s="1"/>
  <c r="J181" i="92"/>
  <c r="J46" i="92" s="1"/>
  <c r="C138" i="92"/>
  <c r="C18" i="92" s="1"/>
  <c r="D138" i="92"/>
  <c r="D18" i="92" s="1"/>
  <c r="E138" i="92"/>
  <c r="E18" i="92" s="1"/>
  <c r="F138" i="92"/>
  <c r="F18" i="92" s="1"/>
  <c r="G138" i="92"/>
  <c r="G18" i="92" s="1"/>
  <c r="H138" i="92"/>
  <c r="H18" i="92" s="1"/>
  <c r="I138" i="92"/>
  <c r="I18" i="92" s="1"/>
  <c r="J138" i="92"/>
  <c r="J18" i="92" s="1"/>
  <c r="C132" i="92"/>
  <c r="C17" i="92" s="1"/>
  <c r="D132" i="92"/>
  <c r="D17" i="92" s="1"/>
  <c r="E132" i="92"/>
  <c r="E135" i="92" s="1"/>
  <c r="F132" i="92"/>
  <c r="F135" i="92" s="1"/>
  <c r="G132" i="92"/>
  <c r="G135" i="92" s="1"/>
  <c r="H132" i="92"/>
  <c r="H135" i="92" s="1"/>
  <c r="I132" i="92"/>
  <c r="I135" i="92" s="1"/>
  <c r="J132" i="92"/>
  <c r="J135" i="92" s="1"/>
  <c r="C94" i="92"/>
  <c r="C11" i="92" s="1"/>
  <c r="D94" i="92"/>
  <c r="D12" i="92" s="1"/>
  <c r="D13" i="92" s="1"/>
  <c r="E94" i="92"/>
  <c r="E12" i="92" s="1"/>
  <c r="E13" i="92" s="1"/>
  <c r="F7" i="104" s="1"/>
  <c r="F94" i="92"/>
  <c r="F12" i="92" s="1"/>
  <c r="F13" i="92" s="1"/>
  <c r="G94" i="92"/>
  <c r="G12" i="92" s="1"/>
  <c r="G13" i="92" s="1"/>
  <c r="H94" i="92"/>
  <c r="H12" i="92" s="1"/>
  <c r="H13" i="92" s="1"/>
  <c r="I94" i="92"/>
  <c r="I12" i="92" s="1"/>
  <c r="I13" i="92" s="1"/>
  <c r="J94" i="92"/>
  <c r="J12" i="92" s="1"/>
  <c r="J13" i="92" s="1"/>
  <c r="C9" i="105"/>
  <c r="O9" i="105" s="1"/>
  <c r="C90" i="105"/>
  <c r="C11" i="105" s="1"/>
  <c r="D90" i="105"/>
  <c r="D11" i="105" s="1"/>
  <c r="D13" i="105" s="1"/>
  <c r="E90" i="105"/>
  <c r="E11" i="105" s="1"/>
  <c r="F90" i="105"/>
  <c r="F12" i="105" s="1"/>
  <c r="G90" i="105"/>
  <c r="G12" i="105" s="1"/>
  <c r="G13" i="105" s="1"/>
  <c r="H90" i="105"/>
  <c r="H12" i="105" s="1"/>
  <c r="H13" i="105" s="1"/>
  <c r="O16" i="105"/>
  <c r="G12" i="106" s="1"/>
  <c r="C127" i="105"/>
  <c r="D127" i="105"/>
  <c r="D17" i="105" s="1"/>
  <c r="E127" i="105"/>
  <c r="E130" i="105" s="1"/>
  <c r="F127" i="105"/>
  <c r="F130" i="105" s="1"/>
  <c r="G127" i="105"/>
  <c r="G130" i="105" s="1"/>
  <c r="C133" i="105"/>
  <c r="C18" i="105" s="1"/>
  <c r="D133" i="105"/>
  <c r="D18" i="105" s="1"/>
  <c r="E133" i="105"/>
  <c r="E18" i="105" s="1"/>
  <c r="F133" i="105"/>
  <c r="F18" i="105" s="1"/>
  <c r="G133" i="105"/>
  <c r="G18" i="105" s="1"/>
  <c r="C113" i="105"/>
  <c r="C116" i="105" s="1"/>
  <c r="C118" i="105" s="1"/>
  <c r="D113" i="105"/>
  <c r="D116" i="105" s="1"/>
  <c r="D118" i="105" s="1"/>
  <c r="E113" i="105"/>
  <c r="E116" i="105" s="1"/>
  <c r="E118" i="105" s="1"/>
  <c r="F113" i="105"/>
  <c r="F116" i="105" s="1"/>
  <c r="F118" i="105" s="1"/>
  <c r="G113" i="105"/>
  <c r="G116" i="105" s="1"/>
  <c r="G118" i="105" s="1"/>
  <c r="C154" i="105"/>
  <c r="C26" i="105" s="1"/>
  <c r="D154" i="105"/>
  <c r="D26" i="105" s="1"/>
  <c r="E154" i="105"/>
  <c r="E186" i="105" s="1"/>
  <c r="F154" i="105"/>
  <c r="F26" i="105" s="1"/>
  <c r="G154" i="105"/>
  <c r="G26" i="105" s="1"/>
  <c r="C160" i="105"/>
  <c r="C29" i="105" s="1"/>
  <c r="D160" i="105"/>
  <c r="D29" i="105" s="1"/>
  <c r="E160" i="105"/>
  <c r="E29" i="105" s="1"/>
  <c r="F160" i="105"/>
  <c r="F29" i="105" s="1"/>
  <c r="G160" i="105"/>
  <c r="G29" i="105" s="1"/>
  <c r="H160" i="105"/>
  <c r="H29" i="105" s="1"/>
  <c r="I160" i="105"/>
  <c r="I29" i="105" s="1"/>
  <c r="J160" i="105"/>
  <c r="J29" i="105" s="1"/>
  <c r="K160" i="105"/>
  <c r="K29" i="105" s="1"/>
  <c r="L160" i="105"/>
  <c r="L29" i="105" s="1"/>
  <c r="M160" i="105"/>
  <c r="M29" i="105" s="1"/>
  <c r="N160" i="105"/>
  <c r="N29" i="105" s="1"/>
  <c r="O37" i="105"/>
  <c r="E41" i="105"/>
  <c r="F41" i="105"/>
  <c r="F42" i="105" s="1"/>
  <c r="G41" i="105"/>
  <c r="G42" i="105" s="1"/>
  <c r="H41" i="105"/>
  <c r="H42" i="105" s="1"/>
  <c r="I41" i="105"/>
  <c r="I42" i="105" s="1"/>
  <c r="J41" i="105"/>
  <c r="J42" i="105" s="1"/>
  <c r="K41" i="105"/>
  <c r="K42" i="105" s="1"/>
  <c r="L41" i="105"/>
  <c r="L42" i="105" s="1"/>
  <c r="M41" i="105"/>
  <c r="M42" i="105" s="1"/>
  <c r="N41" i="105"/>
  <c r="N42" i="105" s="1"/>
  <c r="O45" i="105"/>
  <c r="G176" i="105"/>
  <c r="G46" i="105" s="1"/>
  <c r="E101" i="88"/>
  <c r="E108" i="88" s="1"/>
  <c r="E12" i="90"/>
  <c r="E13" i="90" s="1"/>
  <c r="E13" i="91"/>
  <c r="F87" i="88"/>
  <c r="F88" i="88"/>
  <c r="F97" i="88"/>
  <c r="F12" i="90"/>
  <c r="F102" i="91"/>
  <c r="F13" i="91" s="1"/>
  <c r="F14" i="91" s="1"/>
  <c r="C12" i="90"/>
  <c r="D12" i="90"/>
  <c r="G12" i="90"/>
  <c r="G102" i="91"/>
  <c r="G13" i="91" s="1"/>
  <c r="H12" i="90"/>
  <c r="H13" i="90" s="1"/>
  <c r="H13" i="91"/>
  <c r="H14" i="91" s="1"/>
  <c r="I12" i="90"/>
  <c r="I13" i="90" s="1"/>
  <c r="I102" i="91"/>
  <c r="I13" i="91" s="1"/>
  <c r="I14" i="91" s="1"/>
  <c r="J12" i="90"/>
  <c r="J13" i="90" s="1"/>
  <c r="J102" i="91"/>
  <c r="J13" i="91" s="1"/>
  <c r="J14" i="91" s="1"/>
  <c r="C10" i="88"/>
  <c r="C11" i="90"/>
  <c r="C102" i="91"/>
  <c r="C114" i="91" s="1"/>
  <c r="D10" i="88"/>
  <c r="D12" i="88" s="1"/>
  <c r="D11" i="90"/>
  <c r="D12" i="91"/>
  <c r="D14" i="91" s="1"/>
  <c r="E12" i="91"/>
  <c r="F10" i="93"/>
  <c r="G12" i="91"/>
  <c r="G10" i="93" s="1"/>
  <c r="H10" i="93"/>
  <c r="I10" i="93"/>
  <c r="J10" i="93"/>
  <c r="C176" i="88"/>
  <c r="C213" i="88"/>
  <c r="C140" i="90"/>
  <c r="C142" i="90" s="1"/>
  <c r="C124" i="91"/>
  <c r="C127" i="91" s="1"/>
  <c r="C129" i="91" s="1"/>
  <c r="C23" i="91"/>
  <c r="D137" i="88"/>
  <c r="D217" i="88" s="1"/>
  <c r="D218" i="88"/>
  <c r="D129" i="90"/>
  <c r="D130" i="90"/>
  <c r="D124" i="91"/>
  <c r="D127" i="91" s="1"/>
  <c r="D129" i="91" s="1"/>
  <c r="D23" i="91"/>
  <c r="E213" i="88"/>
  <c r="E217" i="88" s="1"/>
  <c r="E219" i="88" s="1"/>
  <c r="E15" i="88" s="1"/>
  <c r="E140" i="90"/>
  <c r="E142" i="90" s="1"/>
  <c r="E124" i="91"/>
  <c r="E127" i="91" s="1"/>
  <c r="E129" i="91" s="1"/>
  <c r="E23" i="91"/>
  <c r="F194" i="88"/>
  <c r="F213" i="88"/>
  <c r="F140" i="90"/>
  <c r="F142" i="90" s="1"/>
  <c r="F124" i="91"/>
  <c r="F127" i="91" s="1"/>
  <c r="F129" i="91" s="1"/>
  <c r="F23" i="91"/>
  <c r="G145" i="88"/>
  <c r="G156" i="88"/>
  <c r="G161" i="88"/>
  <c r="G213" i="88"/>
  <c r="G140" i="90"/>
  <c r="G142" i="90" s="1"/>
  <c r="G124" i="91"/>
  <c r="G127" i="91" s="1"/>
  <c r="G129" i="91" s="1"/>
  <c r="G23" i="91"/>
  <c r="H140" i="90"/>
  <c r="H142" i="90" s="1"/>
  <c r="H16" i="90" s="1"/>
  <c r="H124" i="91"/>
  <c r="H127" i="91" s="1"/>
  <c r="H129" i="91" s="1"/>
  <c r="H23" i="91"/>
  <c r="I140" i="90"/>
  <c r="I142" i="90" s="1"/>
  <c r="I16" i="90" s="1"/>
  <c r="I124" i="91"/>
  <c r="I127" i="91" s="1"/>
  <c r="I129" i="91" s="1"/>
  <c r="I23" i="91"/>
  <c r="J126" i="90"/>
  <c r="J129" i="90"/>
  <c r="J124" i="91"/>
  <c r="J127" i="91" s="1"/>
  <c r="J129" i="91" s="1"/>
  <c r="J23" i="91"/>
  <c r="C228" i="88"/>
  <c r="C262" i="88"/>
  <c r="C182" i="90"/>
  <c r="C152" i="91"/>
  <c r="C18" i="91" s="1"/>
  <c r="D225" i="88"/>
  <c r="D235" i="88"/>
  <c r="D182" i="90"/>
  <c r="D264" i="90" s="1"/>
  <c r="D152" i="91"/>
  <c r="D18" i="91" s="1"/>
  <c r="E264" i="88"/>
  <c r="E16" i="88" s="1"/>
  <c r="E182" i="90"/>
  <c r="E136" i="91"/>
  <c r="E152" i="91" s="1"/>
  <c r="F264" i="88"/>
  <c r="F16" i="88" s="1"/>
  <c r="F182" i="90"/>
  <c r="F136" i="91"/>
  <c r="F152" i="91" s="1"/>
  <c r="F18" i="91" s="1"/>
  <c r="G264" i="88"/>
  <c r="G16" i="88" s="1"/>
  <c r="G182" i="90"/>
  <c r="G136" i="91"/>
  <c r="G152" i="91" s="1"/>
  <c r="H182" i="90"/>
  <c r="H136" i="91"/>
  <c r="H152" i="91" s="1"/>
  <c r="I182" i="90"/>
  <c r="I136" i="91"/>
  <c r="I152" i="91" s="1"/>
  <c r="J182" i="90"/>
  <c r="J136" i="91"/>
  <c r="J152" i="91" s="1"/>
  <c r="C269" i="88"/>
  <c r="C276" i="88"/>
  <c r="C280" i="88"/>
  <c r="C199" i="90"/>
  <c r="C198" i="90" s="1"/>
  <c r="C223" i="90" s="1"/>
  <c r="C155" i="91"/>
  <c r="C219" i="91" s="1"/>
  <c r="C19" i="91" s="1"/>
  <c r="D269" i="88"/>
  <c r="D271" i="88"/>
  <c r="D278" i="88"/>
  <c r="D198" i="90"/>
  <c r="D223" i="90" s="1"/>
  <c r="D155" i="91"/>
  <c r="D219" i="91" s="1"/>
  <c r="D19" i="91" s="1"/>
  <c r="E269" i="88"/>
  <c r="E276" i="88"/>
  <c r="E278" i="88"/>
  <c r="E185" i="90"/>
  <c r="E198" i="90"/>
  <c r="E155" i="91"/>
  <c r="E200" i="91"/>
  <c r="F269" i="88"/>
  <c r="F276" i="88"/>
  <c r="F296" i="88"/>
  <c r="F297" i="88"/>
  <c r="F298" i="88"/>
  <c r="F185" i="90"/>
  <c r="F198" i="90"/>
  <c r="F155" i="91"/>
  <c r="F200" i="91"/>
  <c r="G269" i="88"/>
  <c r="G276" i="88"/>
  <c r="G185" i="90"/>
  <c r="G198" i="90"/>
  <c r="G155" i="91"/>
  <c r="G200" i="91"/>
  <c r="H185" i="90"/>
  <c r="H198" i="90"/>
  <c r="H155" i="91"/>
  <c r="H200" i="91"/>
  <c r="I185" i="90"/>
  <c r="I198" i="90"/>
  <c r="I200" i="91"/>
  <c r="J185" i="90"/>
  <c r="J198" i="90"/>
  <c r="J155" i="91"/>
  <c r="J200" i="91"/>
  <c r="C325" i="88"/>
  <c r="C24" i="90"/>
  <c r="D333" i="88"/>
  <c r="D337" i="88" s="1"/>
  <c r="D21" i="88" s="1"/>
  <c r="D24" i="90"/>
  <c r="E333" i="88"/>
  <c r="E337" i="88" s="1"/>
  <c r="E21" i="88" s="1"/>
  <c r="E24" i="90"/>
  <c r="F332" i="88"/>
  <c r="F337" i="88" s="1"/>
  <c r="F21" i="88" s="1"/>
  <c r="F24" i="90"/>
  <c r="G322" i="88"/>
  <c r="G337" i="88" s="1"/>
  <c r="G21" i="88" s="1"/>
  <c r="G24" i="90"/>
  <c r="H24" i="90"/>
  <c r="I24" i="90"/>
  <c r="J24" i="90"/>
  <c r="C340" i="88"/>
  <c r="C366" i="88"/>
  <c r="C230" i="90"/>
  <c r="C233" i="90" s="1"/>
  <c r="C24" i="91"/>
  <c r="C159" i="92"/>
  <c r="C26" i="92" s="1"/>
  <c r="D340" i="88"/>
  <c r="D341" i="88"/>
  <c r="D342" i="88"/>
  <c r="D343" i="88"/>
  <c r="D346" i="88"/>
  <c r="D347" i="88"/>
  <c r="D350" i="88"/>
  <c r="D351" i="88"/>
  <c r="D353" i="88"/>
  <c r="D355" i="88"/>
  <c r="D364" i="88"/>
  <c r="D365" i="88"/>
  <c r="D366" i="88"/>
  <c r="D369" i="88"/>
  <c r="D231" i="90"/>
  <c r="D233" i="90" s="1"/>
  <c r="D24" i="91"/>
  <c r="D159" i="92"/>
  <c r="D26" i="92" s="1"/>
  <c r="D27" i="92" s="1"/>
  <c r="D31" i="92" s="1"/>
  <c r="E340" i="88"/>
  <c r="E342" i="88"/>
  <c r="E343" i="88"/>
  <c r="E351" i="88"/>
  <c r="E352" i="88"/>
  <c r="E364" i="88"/>
  <c r="E369" i="88"/>
  <c r="E372" i="88"/>
  <c r="E233" i="90"/>
  <c r="E25" i="90" s="1"/>
  <c r="E227" i="91"/>
  <c r="E264" i="91" s="1"/>
  <c r="E159" i="92"/>
  <c r="E26" i="92" s="1"/>
  <c r="E27" i="92" s="1"/>
  <c r="E31" i="92" s="1"/>
  <c r="F340" i="88"/>
  <c r="F342" i="88"/>
  <c r="F343" i="88"/>
  <c r="F344" i="88"/>
  <c r="F345" i="88"/>
  <c r="F353" i="88"/>
  <c r="F354" i="88"/>
  <c r="F366" i="88"/>
  <c r="F369" i="88"/>
  <c r="F374" i="88"/>
  <c r="F233" i="90"/>
  <c r="F25" i="90" s="1"/>
  <c r="F227" i="91"/>
  <c r="F24" i="91" s="1"/>
  <c r="F159" i="92"/>
  <c r="F26" i="92" s="1"/>
  <c r="F27" i="92" s="1"/>
  <c r="F31" i="92" s="1"/>
  <c r="G340" i="88"/>
  <c r="G347" i="88"/>
  <c r="G364" i="88"/>
  <c r="G366" i="88"/>
  <c r="G369" i="88"/>
  <c r="G233" i="90"/>
  <c r="G266" i="90" s="1"/>
  <c r="G227" i="91"/>
  <c r="G264" i="91" s="1"/>
  <c r="G159" i="92"/>
  <c r="G26" i="92" s="1"/>
  <c r="G27" i="92" s="1"/>
  <c r="G31" i="92" s="1"/>
  <c r="H233" i="90"/>
  <c r="H25" i="90" s="1"/>
  <c r="H227" i="91"/>
  <c r="H24" i="91" s="1"/>
  <c r="H159" i="92"/>
  <c r="H26" i="92" s="1"/>
  <c r="H27" i="92" s="1"/>
  <c r="H31" i="92" s="1"/>
  <c r="I233" i="90"/>
  <c r="I25" i="90" s="1"/>
  <c r="I227" i="91"/>
  <c r="I24" i="91" s="1"/>
  <c r="I159" i="92"/>
  <c r="I26" i="92" s="1"/>
  <c r="I27" i="92" s="1"/>
  <c r="I31" i="92" s="1"/>
  <c r="J233" i="90"/>
  <c r="J25" i="90" s="1"/>
  <c r="J227" i="91"/>
  <c r="J264" i="91" s="1"/>
  <c r="J159" i="92"/>
  <c r="J26" i="92" s="1"/>
  <c r="J27" i="92" s="1"/>
  <c r="J31" i="92" s="1"/>
  <c r="C317" i="88"/>
  <c r="C25" i="88" s="1"/>
  <c r="C239" i="90"/>
  <c r="C28" i="90" s="1"/>
  <c r="D239" i="90"/>
  <c r="D28" i="90" s="1"/>
  <c r="D27" i="91"/>
  <c r="E239" i="90"/>
  <c r="E28" i="90" s="1"/>
  <c r="F239" i="90"/>
  <c r="F28" i="90" s="1"/>
  <c r="G239" i="90"/>
  <c r="G267" i="90" s="1"/>
  <c r="H239" i="90"/>
  <c r="H28" i="90" s="1"/>
  <c r="I239" i="90"/>
  <c r="I28" i="90" s="1"/>
  <c r="J239" i="90"/>
  <c r="J28" i="90" s="1"/>
  <c r="C127" i="88"/>
  <c r="C35" i="88"/>
  <c r="C112" i="88"/>
  <c r="C113" i="88" s="1"/>
  <c r="C95" i="90"/>
  <c r="C35" i="90" s="1"/>
  <c r="C31" i="93"/>
  <c r="C39" i="88"/>
  <c r="C33" i="91"/>
  <c r="C34" i="91" s="1"/>
  <c r="C38" i="92"/>
  <c r="C38" i="105"/>
  <c r="C390" i="88"/>
  <c r="C44" i="88" s="1"/>
  <c r="C247" i="90"/>
  <c r="C44" i="90" s="1"/>
  <c r="D43" i="126" s="1"/>
  <c r="C37" i="91"/>
  <c r="D45" i="126" s="1"/>
  <c r="C45" i="88"/>
  <c r="C46" i="88"/>
  <c r="C47" i="88"/>
  <c r="C45" i="90"/>
  <c r="C46" i="90"/>
  <c r="C47" i="90"/>
  <c r="C39" i="93"/>
  <c r="C52" i="88"/>
  <c r="C53" i="88"/>
  <c r="C53" i="90"/>
  <c r="C43" i="91"/>
  <c r="D46" i="126" s="1"/>
  <c r="C47" i="92"/>
  <c r="C47" i="105"/>
  <c r="D112" i="88"/>
  <c r="D31" i="88" s="1"/>
  <c r="D95" i="90"/>
  <c r="D35" i="90" s="1"/>
  <c r="D38" i="88"/>
  <c r="D33" i="91"/>
  <c r="D34" i="91" s="1"/>
  <c r="D38" i="92"/>
  <c r="D38" i="105"/>
  <c r="D390" i="88"/>
  <c r="D44" i="88" s="1"/>
  <c r="D247" i="90"/>
  <c r="D44" i="90" s="1"/>
  <c r="E43" i="126" s="1"/>
  <c r="D37" i="91"/>
  <c r="D38" i="91" s="1"/>
  <c r="D45" i="88"/>
  <c r="D46" i="88"/>
  <c r="D396" i="88"/>
  <c r="D45" i="90"/>
  <c r="D46" i="90"/>
  <c r="D47" i="90"/>
  <c r="D39" i="93"/>
  <c r="D401" i="88"/>
  <c r="D53" i="88" s="1"/>
  <c r="D55" i="88"/>
  <c r="E41" i="104" s="1"/>
  <c r="D53" i="90"/>
  <c r="D54" i="90" s="1"/>
  <c r="E44" i="126" s="1"/>
  <c r="D43" i="91"/>
  <c r="E46" i="126" s="1"/>
  <c r="D47" i="92"/>
  <c r="D47" i="105"/>
  <c r="E31" i="88"/>
  <c r="E95" i="90"/>
  <c r="E35" i="90" s="1"/>
  <c r="E35" i="88"/>
  <c r="E36" i="88"/>
  <c r="E37" i="88"/>
  <c r="E36" i="90"/>
  <c r="E34" i="91"/>
  <c r="E38" i="92"/>
  <c r="E38" i="105"/>
  <c r="E390" i="88"/>
  <c r="E44" i="88" s="1"/>
  <c r="E247" i="90"/>
  <c r="E44" i="90" s="1"/>
  <c r="F43" i="126" s="1"/>
  <c r="E246" i="91"/>
  <c r="E37" i="91" s="1"/>
  <c r="F45" i="126" s="1"/>
  <c r="E41" i="92"/>
  <c r="E42" i="92" s="1"/>
  <c r="E45" i="88"/>
  <c r="E46" i="88"/>
  <c r="E396" i="88"/>
  <c r="E47" i="88" s="1"/>
  <c r="E45" i="90"/>
  <c r="E46" i="90"/>
  <c r="E47" i="90"/>
  <c r="E48" i="88"/>
  <c r="E39" i="93" s="1"/>
  <c r="E52" i="88"/>
  <c r="E53" i="88"/>
  <c r="F42" i="104" s="1"/>
  <c r="E54" i="88"/>
  <c r="E53" i="90"/>
  <c r="E54" i="90" s="1"/>
  <c r="F44" i="126" s="1"/>
  <c r="E43" i="91"/>
  <c r="F46" i="126" s="1"/>
  <c r="E47" i="92"/>
  <c r="E47" i="105"/>
  <c r="F112" i="88"/>
  <c r="F31" i="88" s="1"/>
  <c r="F95" i="90"/>
  <c r="F35" i="90" s="1"/>
  <c r="F38" i="88"/>
  <c r="F32" i="88"/>
  <c r="C32" i="94"/>
  <c r="F37" i="88"/>
  <c r="F34" i="91"/>
  <c r="G31" i="104" s="1"/>
  <c r="F38" i="92"/>
  <c r="F38" i="105"/>
  <c r="F390" i="88"/>
  <c r="F44" i="88" s="1"/>
  <c r="F247" i="90"/>
  <c r="F246" i="91"/>
  <c r="F37" i="91" s="1"/>
  <c r="F41" i="92"/>
  <c r="F42" i="92" s="1"/>
  <c r="F45" i="88"/>
  <c r="F46" i="88"/>
  <c r="F396" i="88"/>
  <c r="F47" i="88" s="1"/>
  <c r="F45" i="90"/>
  <c r="F46" i="90"/>
  <c r="F47" i="90"/>
  <c r="F48" i="88"/>
  <c r="F39" i="93" s="1"/>
  <c r="F400" i="88"/>
  <c r="F53" i="88"/>
  <c r="G42" i="104" s="1"/>
  <c r="F54" i="88"/>
  <c r="F56" i="88"/>
  <c r="F405" i="88"/>
  <c r="F53" i="90"/>
  <c r="F54" i="90" s="1"/>
  <c r="G44" i="126" s="1"/>
  <c r="F43" i="91"/>
  <c r="G46" i="126" s="1"/>
  <c r="F47" i="92"/>
  <c r="F47" i="105"/>
  <c r="G95" i="90"/>
  <c r="G35" i="90" s="1"/>
  <c r="G31" i="93"/>
  <c r="G32" i="88"/>
  <c r="G35" i="88"/>
  <c r="G36" i="88"/>
  <c r="G37" i="88"/>
  <c r="G123" i="88"/>
  <c r="G110" i="91"/>
  <c r="G32" i="91" s="1"/>
  <c r="G38" i="92"/>
  <c r="G247" i="90"/>
  <c r="G246" i="91"/>
  <c r="G266" i="91" s="1"/>
  <c r="G41" i="92"/>
  <c r="G42" i="92" s="1"/>
  <c r="G396" i="88"/>
  <c r="G45" i="90"/>
  <c r="G46" i="90"/>
  <c r="G47" i="90"/>
  <c r="G39" i="93"/>
  <c r="G400" i="88"/>
  <c r="H42" i="104"/>
  <c r="G53" i="90"/>
  <c r="G54" i="90" s="1"/>
  <c r="H44" i="126" s="1"/>
  <c r="G41" i="91"/>
  <c r="H31" i="88"/>
  <c r="H95" i="90"/>
  <c r="H35" i="90" s="1"/>
  <c r="H31" i="93"/>
  <c r="H32" i="88"/>
  <c r="H35" i="88"/>
  <c r="H36" i="88"/>
  <c r="H37" i="88"/>
  <c r="H39" i="88"/>
  <c r="I30" i="126" s="1"/>
  <c r="H110" i="91"/>
  <c r="H32" i="91" s="1"/>
  <c r="H38" i="92"/>
  <c r="H44" i="88"/>
  <c r="H247" i="90"/>
  <c r="H246" i="91"/>
  <c r="H37" i="91" s="1"/>
  <c r="H41" i="92"/>
  <c r="H42" i="92" s="1"/>
  <c r="H45" i="88"/>
  <c r="H46" i="88"/>
  <c r="H47" i="88"/>
  <c r="H45" i="90"/>
  <c r="H46" i="90"/>
  <c r="H47" i="90"/>
  <c r="H39" i="93"/>
  <c r="H52" i="88"/>
  <c r="H53" i="88"/>
  <c r="H54" i="88"/>
  <c r="H57" i="88"/>
  <c r="H53" i="90"/>
  <c r="H54" i="90" s="1"/>
  <c r="I44" i="126" s="1"/>
  <c r="H47" i="105"/>
  <c r="I31" i="88"/>
  <c r="I95" i="90"/>
  <c r="I31" i="93"/>
  <c r="I32" i="88"/>
  <c r="I35" i="88"/>
  <c r="I36" i="88"/>
  <c r="I37" i="88"/>
  <c r="I39" i="88"/>
  <c r="I40" i="88"/>
  <c r="J35" i="126" s="1"/>
  <c r="I110" i="91"/>
  <c r="I32" i="91" s="1"/>
  <c r="I34" i="91" s="1"/>
  <c r="I38" i="92"/>
  <c r="I44" i="88"/>
  <c r="I247" i="90"/>
  <c r="I246" i="91"/>
  <c r="I37" i="91" s="1"/>
  <c r="I41" i="92"/>
  <c r="I45" i="88"/>
  <c r="I46" i="88"/>
  <c r="I45" i="90"/>
  <c r="I46" i="90"/>
  <c r="I47" i="90"/>
  <c r="I39" i="93"/>
  <c r="I52" i="88"/>
  <c r="I53" i="88"/>
  <c r="I54" i="88"/>
  <c r="I56" i="88"/>
  <c r="I57" i="88"/>
  <c r="I53" i="90"/>
  <c r="I54" i="90" s="1"/>
  <c r="J44" i="126" s="1"/>
  <c r="I43" i="91"/>
  <c r="J46" i="126" s="1"/>
  <c r="I47" i="105"/>
  <c r="J95" i="90"/>
  <c r="J35" i="90" s="1"/>
  <c r="J31" i="93"/>
  <c r="J32" i="88"/>
  <c r="J35" i="88"/>
  <c r="J36" i="88"/>
  <c r="J37" i="88"/>
  <c r="J39" i="88"/>
  <c r="J40" i="88"/>
  <c r="K35" i="126" s="1"/>
  <c r="J110" i="91"/>
  <c r="J32" i="91" s="1"/>
  <c r="J34" i="91" s="1"/>
  <c r="J38" i="92"/>
  <c r="J247" i="90"/>
  <c r="J246" i="91"/>
  <c r="J37" i="91" s="1"/>
  <c r="J41" i="92"/>
  <c r="J42" i="92" s="1"/>
  <c r="J45" i="88"/>
  <c r="J46" i="88"/>
  <c r="J45" i="90"/>
  <c r="J46" i="90"/>
  <c r="J47" i="90"/>
  <c r="J39" i="93"/>
  <c r="J52" i="88"/>
  <c r="J53" i="88"/>
  <c r="J54" i="88"/>
  <c r="J56" i="88"/>
  <c r="J57" i="88"/>
  <c r="J53" i="90"/>
  <c r="J54" i="90" s="1"/>
  <c r="K44" i="126" s="1"/>
  <c r="J43" i="91"/>
  <c r="K46" i="126" s="1"/>
  <c r="J47" i="105"/>
  <c r="C9" i="90"/>
  <c r="P9" i="90" s="1"/>
  <c r="C9" i="91"/>
  <c r="C9" i="92"/>
  <c r="T7" i="104" s="1"/>
  <c r="C42" i="92"/>
  <c r="D42" i="92"/>
  <c r="C42" i="105"/>
  <c r="D42" i="105"/>
  <c r="H27" i="105"/>
  <c r="I27" i="105"/>
  <c r="J27" i="105"/>
  <c r="K10" i="93"/>
  <c r="L12" i="91"/>
  <c r="O42" i="91"/>
  <c r="F12" i="95"/>
  <c r="G12" i="95"/>
  <c r="F18" i="95"/>
  <c r="F22" i="95"/>
  <c r="P45" i="92"/>
  <c r="P45" i="105"/>
  <c r="P36" i="92"/>
  <c r="P37" i="92"/>
  <c r="P37" i="105"/>
  <c r="C44" i="95"/>
  <c r="C256" i="90"/>
  <c r="C270" i="90" s="1"/>
  <c r="C261" i="90"/>
  <c r="C271" i="90" s="1"/>
  <c r="D256" i="90"/>
  <c r="D270" i="90" s="1"/>
  <c r="D261" i="90"/>
  <c r="D271" i="90" s="1"/>
  <c r="E256" i="90"/>
  <c r="E270" i="90" s="1"/>
  <c r="E261" i="90"/>
  <c r="E271" i="90" s="1"/>
  <c r="F256" i="90"/>
  <c r="F270" i="90" s="1"/>
  <c r="F261" i="90"/>
  <c r="F271" i="90" s="1"/>
  <c r="G256" i="90"/>
  <c r="G270" i="90" s="1"/>
  <c r="G261" i="90"/>
  <c r="G271" i="90" s="1"/>
  <c r="H256" i="90"/>
  <c r="H270" i="90" s="1"/>
  <c r="H261" i="90"/>
  <c r="H271" i="90" s="1"/>
  <c r="I256" i="90"/>
  <c r="I270" i="90" s="1"/>
  <c r="I261" i="90"/>
  <c r="I271" i="90" s="1"/>
  <c r="J256" i="90"/>
  <c r="J270" i="90" s="1"/>
  <c r="J261" i="90"/>
  <c r="J271" i="90" s="1"/>
  <c r="J413" i="88"/>
  <c r="G97" i="79"/>
  <c r="G85" i="79"/>
  <c r="G77" i="79"/>
  <c r="G69" i="79"/>
  <c r="G57" i="79"/>
  <c r="G47" i="79"/>
  <c r="G36" i="79"/>
  <c r="G29" i="79"/>
  <c r="G16" i="79"/>
  <c r="E97" i="79"/>
  <c r="E85" i="79"/>
  <c r="E77" i="79"/>
  <c r="E69" i="79"/>
  <c r="E57" i="79"/>
  <c r="E47" i="79"/>
  <c r="E36" i="79"/>
  <c r="E29" i="79"/>
  <c r="F97" i="79"/>
  <c r="F85" i="79"/>
  <c r="F77" i="79"/>
  <c r="F69" i="79"/>
  <c r="F57" i="79"/>
  <c r="F47" i="79"/>
  <c r="F36" i="79"/>
  <c r="F29" i="79"/>
  <c r="F16" i="79"/>
  <c r="C33" i="116"/>
  <c r="C39" i="116" s="1"/>
  <c r="C60" i="116"/>
  <c r="C25" i="116"/>
  <c r="C101" i="92"/>
  <c r="C116" i="92"/>
  <c r="C119" i="92" s="1"/>
  <c r="C121" i="92" s="1"/>
  <c r="C188" i="92" s="1"/>
  <c r="C141" i="92"/>
  <c r="C165" i="92"/>
  <c r="C192" i="92" s="1"/>
  <c r="C173" i="92"/>
  <c r="C193" i="92" s="1"/>
  <c r="C181" i="92"/>
  <c r="C195" i="92" s="1"/>
  <c r="C186" i="92"/>
  <c r="C196" i="92" s="1"/>
  <c r="D101" i="92"/>
  <c r="D116" i="92"/>
  <c r="D119" i="92" s="1"/>
  <c r="D121" i="92" s="1"/>
  <c r="D188" i="92" s="1"/>
  <c r="D141" i="92"/>
  <c r="D165" i="92"/>
  <c r="D192" i="92" s="1"/>
  <c r="D173" i="92"/>
  <c r="D193" i="92" s="1"/>
  <c r="D181" i="92"/>
  <c r="D195" i="92" s="1"/>
  <c r="D186" i="92"/>
  <c r="D196" i="92" s="1"/>
  <c r="E101" i="92"/>
  <c r="E116" i="92"/>
  <c r="E119" i="92" s="1"/>
  <c r="E121" i="92" s="1"/>
  <c r="E188" i="92" s="1"/>
  <c r="E141" i="92"/>
  <c r="E165" i="92"/>
  <c r="E192" i="92" s="1"/>
  <c r="E173" i="92"/>
  <c r="E193" i="92" s="1"/>
  <c r="E181" i="92"/>
  <c r="E195" i="92" s="1"/>
  <c r="E186" i="92"/>
  <c r="E196" i="92" s="1"/>
  <c r="F101" i="92"/>
  <c r="F116" i="92"/>
  <c r="F119" i="92" s="1"/>
  <c r="F121" i="92" s="1"/>
  <c r="F188" i="92" s="1"/>
  <c r="F141" i="92"/>
  <c r="F165" i="92"/>
  <c r="F192" i="92" s="1"/>
  <c r="F173" i="92"/>
  <c r="F193" i="92" s="1"/>
  <c r="F181" i="92"/>
  <c r="F195" i="92" s="1"/>
  <c r="F186" i="92"/>
  <c r="F196" i="92" s="1"/>
  <c r="G101" i="92"/>
  <c r="G116" i="92"/>
  <c r="G119" i="92" s="1"/>
  <c r="G121" i="92" s="1"/>
  <c r="G188" i="92" s="1"/>
  <c r="G141" i="92"/>
  <c r="G165" i="92"/>
  <c r="G192" i="92" s="1"/>
  <c r="G173" i="92"/>
  <c r="G193" i="92" s="1"/>
  <c r="G186" i="92"/>
  <c r="G196" i="92" s="1"/>
  <c r="H101" i="92"/>
  <c r="H116" i="92"/>
  <c r="H119" i="92" s="1"/>
  <c r="H121" i="92" s="1"/>
  <c r="H188" i="92" s="1"/>
  <c r="H141" i="92"/>
  <c r="H165" i="92"/>
  <c r="H192" i="92" s="1"/>
  <c r="H173" i="92"/>
  <c r="H193" i="92" s="1"/>
  <c r="H186" i="92"/>
  <c r="H196" i="92" s="1"/>
  <c r="I101" i="92"/>
  <c r="I116" i="92"/>
  <c r="I119" i="92" s="1"/>
  <c r="I121" i="92" s="1"/>
  <c r="I188" i="92" s="1"/>
  <c r="I141" i="92"/>
  <c r="I165" i="92"/>
  <c r="I192" i="92" s="1"/>
  <c r="I173" i="92"/>
  <c r="I193" i="92" s="1"/>
  <c r="I186" i="92"/>
  <c r="I196" i="92" s="1"/>
  <c r="J101" i="92"/>
  <c r="J116" i="92"/>
  <c r="J119" i="92" s="1"/>
  <c r="J121" i="92" s="1"/>
  <c r="J188" i="92" s="1"/>
  <c r="J141" i="92"/>
  <c r="J165" i="92"/>
  <c r="J192" i="92" s="1"/>
  <c r="J173" i="92"/>
  <c r="J193" i="92" s="1"/>
  <c r="J186" i="92"/>
  <c r="J196" i="92" s="1"/>
  <c r="K152" i="91"/>
  <c r="L152" i="91"/>
  <c r="M152" i="91"/>
  <c r="N152" i="91"/>
  <c r="K12" i="90"/>
  <c r="K13" i="90" s="1"/>
  <c r="C66" i="116"/>
  <c r="C12" i="116"/>
  <c r="C15" i="116" s="1"/>
  <c r="D14" i="85"/>
  <c r="C14" i="85"/>
  <c r="C82" i="116"/>
  <c r="C78" i="116"/>
  <c r="C29" i="116"/>
  <c r="C7" i="116"/>
  <c r="E4" i="79"/>
  <c r="O42" i="104"/>
  <c r="L42" i="104"/>
  <c r="M42" i="104"/>
  <c r="N42" i="104"/>
  <c r="M41" i="104"/>
  <c r="N41" i="104"/>
  <c r="O41" i="104"/>
  <c r="R20" i="91"/>
  <c r="S20" i="91"/>
  <c r="T20" i="91"/>
  <c r="U20" i="91"/>
  <c r="V20" i="91"/>
  <c r="W20" i="91"/>
  <c r="Q20" i="91"/>
  <c r="D102" i="91"/>
  <c r="D114" i="91" s="1"/>
  <c r="D272" i="91" s="1"/>
  <c r="E102" i="91"/>
  <c r="E114" i="91" s="1"/>
  <c r="K102" i="91"/>
  <c r="K13" i="91" s="1"/>
  <c r="K14" i="91" s="1"/>
  <c r="L102" i="91"/>
  <c r="L13" i="91" s="1"/>
  <c r="M102" i="91"/>
  <c r="M13" i="91" s="1"/>
  <c r="M14" i="91" s="1"/>
  <c r="N6" i="126" s="1"/>
  <c r="N102" i="91"/>
  <c r="N13" i="91" s="1"/>
  <c r="N14" i="91" s="1"/>
  <c r="O6" i="126" s="1"/>
  <c r="K132" i="92"/>
  <c r="K135" i="92" s="1"/>
  <c r="L132" i="92"/>
  <c r="L135" i="92" s="1"/>
  <c r="M132" i="92"/>
  <c r="M135" i="92" s="1"/>
  <c r="N132" i="92"/>
  <c r="N135" i="92" s="1"/>
  <c r="C267" i="91"/>
  <c r="C270" i="91" s="1"/>
  <c r="K110" i="91"/>
  <c r="K32" i="91" s="1"/>
  <c r="K34" i="91" s="1"/>
  <c r="L110" i="91"/>
  <c r="L32" i="91" s="1"/>
  <c r="L34" i="91" s="1"/>
  <c r="M31" i="126" s="1"/>
  <c r="M110" i="91"/>
  <c r="M32" i="91" s="1"/>
  <c r="M34" i="91" s="1"/>
  <c r="N31" i="126" s="1"/>
  <c r="N110" i="91"/>
  <c r="N32" i="91" s="1"/>
  <c r="N34" i="91" s="1"/>
  <c r="O31" i="126" s="1"/>
  <c r="C110" i="91"/>
  <c r="D110" i="91"/>
  <c r="E110" i="91"/>
  <c r="F110" i="91"/>
  <c r="C185" i="90"/>
  <c r="D185" i="90"/>
  <c r="AL12" i="93"/>
  <c r="AP12" i="93" s="1"/>
  <c r="AL11" i="93"/>
  <c r="AP11" i="93" s="1"/>
  <c r="AL10" i="93"/>
  <c r="AM13" i="93"/>
  <c r="AN13" i="93"/>
  <c r="AO13" i="93"/>
  <c r="C13" i="108"/>
  <c r="C53" i="108"/>
  <c r="C64" i="108"/>
  <c r="C79" i="108"/>
  <c r="C75" i="108"/>
  <c r="C34" i="108"/>
  <c r="C23" i="108"/>
  <c r="C57" i="108"/>
  <c r="C18" i="108"/>
  <c r="T8" i="104"/>
  <c r="L40" i="104"/>
  <c r="M40" i="104"/>
  <c r="N40" i="104"/>
  <c r="O40" i="104"/>
  <c r="M39" i="104"/>
  <c r="N39" i="104"/>
  <c r="O39" i="104"/>
  <c r="L45" i="104"/>
  <c r="M45" i="104"/>
  <c r="N45" i="104"/>
  <c r="O45" i="104"/>
  <c r="E34" i="104"/>
  <c r="G34" i="104"/>
  <c r="H34" i="104"/>
  <c r="I34" i="104"/>
  <c r="J34" i="104"/>
  <c r="K34" i="104"/>
  <c r="L34" i="104"/>
  <c r="M34" i="104"/>
  <c r="N34" i="104"/>
  <c r="O34" i="104"/>
  <c r="F33" i="104"/>
  <c r="L33" i="104"/>
  <c r="M33" i="104"/>
  <c r="N33" i="104"/>
  <c r="O33" i="104"/>
  <c r="E32" i="104"/>
  <c r="L32" i="104"/>
  <c r="M32" i="104"/>
  <c r="N32" i="104"/>
  <c r="O32" i="104"/>
  <c r="L28" i="104"/>
  <c r="M28" i="104"/>
  <c r="N28" i="104"/>
  <c r="O28" i="104"/>
  <c r="C44" i="106"/>
  <c r="O45" i="92"/>
  <c r="O37" i="92"/>
  <c r="O36" i="92"/>
  <c r="O29" i="92"/>
  <c r="F22" i="106" s="1"/>
  <c r="O25" i="92"/>
  <c r="F18" i="106" s="1"/>
  <c r="O16" i="92"/>
  <c r="F12" i="106" s="1"/>
  <c r="P10" i="91"/>
  <c r="O10" i="91"/>
  <c r="O65" i="105"/>
  <c r="O156" i="105" s="1"/>
  <c r="B190" i="105"/>
  <c r="B187" i="105"/>
  <c r="B186" i="105"/>
  <c r="B185" i="105"/>
  <c r="O181" i="105"/>
  <c r="O191" i="105" s="1"/>
  <c r="N181" i="105"/>
  <c r="N191" i="105" s="1"/>
  <c r="M181" i="105"/>
  <c r="M191" i="105" s="1"/>
  <c r="L181" i="105"/>
  <c r="L191" i="105" s="1"/>
  <c r="K181" i="105"/>
  <c r="K191" i="105" s="1"/>
  <c r="J181" i="105"/>
  <c r="J191" i="105" s="1"/>
  <c r="I181" i="105"/>
  <c r="I191" i="105" s="1"/>
  <c r="H181" i="105"/>
  <c r="H191" i="105" s="1"/>
  <c r="G181" i="105"/>
  <c r="G191" i="105" s="1"/>
  <c r="F181" i="105"/>
  <c r="F191" i="105" s="1"/>
  <c r="E181" i="105"/>
  <c r="E191" i="105" s="1"/>
  <c r="D181" i="105"/>
  <c r="D191" i="105" s="1"/>
  <c r="C181" i="105"/>
  <c r="C191" i="105" s="1"/>
  <c r="N179" i="105"/>
  <c r="M179" i="105"/>
  <c r="L179" i="105"/>
  <c r="K179" i="105"/>
  <c r="J179" i="105"/>
  <c r="I179" i="105"/>
  <c r="H179" i="105"/>
  <c r="G179" i="105"/>
  <c r="F179" i="105"/>
  <c r="E179" i="105"/>
  <c r="D179" i="105"/>
  <c r="C179" i="105"/>
  <c r="O176" i="105"/>
  <c r="O190" i="105" s="1"/>
  <c r="N176" i="105"/>
  <c r="N190" i="105" s="1"/>
  <c r="M176" i="105"/>
  <c r="M190" i="105" s="1"/>
  <c r="L176" i="105"/>
  <c r="L190" i="105" s="1"/>
  <c r="K176" i="105"/>
  <c r="K190" i="105" s="1"/>
  <c r="J176" i="105"/>
  <c r="J190" i="105" s="1"/>
  <c r="I176" i="105"/>
  <c r="I190" i="105" s="1"/>
  <c r="H176" i="105"/>
  <c r="H190" i="105" s="1"/>
  <c r="F176" i="105"/>
  <c r="F190" i="105" s="1"/>
  <c r="E176" i="105"/>
  <c r="E190" i="105" s="1"/>
  <c r="D176" i="105"/>
  <c r="D190" i="105" s="1"/>
  <c r="C176" i="105"/>
  <c r="C190" i="105" s="1"/>
  <c r="N171" i="105"/>
  <c r="M171" i="105"/>
  <c r="L171" i="105"/>
  <c r="K171" i="105"/>
  <c r="J171" i="105"/>
  <c r="I171" i="105"/>
  <c r="H171" i="105"/>
  <c r="G171" i="105"/>
  <c r="F171" i="105"/>
  <c r="E171" i="105"/>
  <c r="D171" i="105"/>
  <c r="C171" i="105"/>
  <c r="O168" i="105"/>
  <c r="O188" i="105" s="1"/>
  <c r="N168" i="105"/>
  <c r="N188" i="105" s="1"/>
  <c r="M168" i="105"/>
  <c r="M188" i="105" s="1"/>
  <c r="L168" i="105"/>
  <c r="L188" i="105" s="1"/>
  <c r="K168" i="105"/>
  <c r="K188" i="105" s="1"/>
  <c r="J168" i="105"/>
  <c r="J188" i="105" s="1"/>
  <c r="I168" i="105"/>
  <c r="I188" i="105" s="1"/>
  <c r="H168" i="105"/>
  <c r="H188" i="105" s="1"/>
  <c r="G168" i="105"/>
  <c r="G188" i="105" s="1"/>
  <c r="F168" i="105"/>
  <c r="F188" i="105" s="1"/>
  <c r="E168" i="105"/>
  <c r="E188" i="105" s="1"/>
  <c r="D168" i="105"/>
  <c r="D188" i="105" s="1"/>
  <c r="C168" i="105"/>
  <c r="C188" i="105" s="1"/>
  <c r="N162" i="105"/>
  <c r="M162" i="105"/>
  <c r="L162" i="105"/>
  <c r="K162" i="105"/>
  <c r="J162" i="105"/>
  <c r="I162" i="105"/>
  <c r="H162" i="105"/>
  <c r="G162" i="105"/>
  <c r="F162" i="105"/>
  <c r="E162" i="105"/>
  <c r="D162" i="105"/>
  <c r="C162" i="105"/>
  <c r="O160" i="105"/>
  <c r="O187" i="105" s="1"/>
  <c r="N156" i="105"/>
  <c r="M156" i="105"/>
  <c r="L156" i="105"/>
  <c r="K156" i="105"/>
  <c r="J156" i="105"/>
  <c r="I156" i="105"/>
  <c r="H156" i="105"/>
  <c r="G156" i="105"/>
  <c r="F156" i="105"/>
  <c r="E156" i="105"/>
  <c r="D156" i="105"/>
  <c r="C156" i="105"/>
  <c r="O154" i="105"/>
  <c r="O186" i="105" s="1"/>
  <c r="N154" i="105"/>
  <c r="N186" i="105" s="1"/>
  <c r="M154" i="105"/>
  <c r="M186" i="105" s="1"/>
  <c r="L154" i="105"/>
  <c r="L186" i="105" s="1"/>
  <c r="K154" i="105"/>
  <c r="K186" i="105" s="1"/>
  <c r="J154" i="105"/>
  <c r="J186" i="105" s="1"/>
  <c r="I154" i="105"/>
  <c r="I186" i="105" s="1"/>
  <c r="H154" i="105"/>
  <c r="H186" i="105" s="1"/>
  <c r="N148" i="105"/>
  <c r="M148" i="105"/>
  <c r="L148" i="105"/>
  <c r="K148" i="105"/>
  <c r="J148" i="105"/>
  <c r="I148" i="105"/>
  <c r="H148" i="105"/>
  <c r="G148" i="105"/>
  <c r="F148" i="105"/>
  <c r="E148" i="105"/>
  <c r="D148" i="105"/>
  <c r="C148" i="105"/>
  <c r="O136" i="105"/>
  <c r="N136" i="105"/>
  <c r="M136" i="105"/>
  <c r="L136" i="105"/>
  <c r="K136" i="105"/>
  <c r="J136" i="105"/>
  <c r="I136" i="105"/>
  <c r="H136" i="105"/>
  <c r="G136" i="105"/>
  <c r="F136" i="105"/>
  <c r="E136" i="105"/>
  <c r="D136" i="105"/>
  <c r="C136" i="105"/>
  <c r="O133" i="105"/>
  <c r="N133" i="105"/>
  <c r="M133" i="105"/>
  <c r="L133" i="105"/>
  <c r="K133" i="105"/>
  <c r="J133" i="105"/>
  <c r="I133" i="105"/>
  <c r="H133" i="105"/>
  <c r="N132" i="105"/>
  <c r="M132" i="105"/>
  <c r="L132" i="105"/>
  <c r="K132" i="105"/>
  <c r="J132" i="105"/>
  <c r="I132" i="105"/>
  <c r="H132" i="105"/>
  <c r="G132" i="105"/>
  <c r="F132" i="105"/>
  <c r="E132" i="105"/>
  <c r="D132" i="105"/>
  <c r="C132" i="105"/>
  <c r="O127" i="105"/>
  <c r="O130" i="105" s="1"/>
  <c r="O184" i="105" s="1"/>
  <c r="N127" i="105"/>
  <c r="N130" i="105" s="1"/>
  <c r="M127" i="105"/>
  <c r="M130" i="105" s="1"/>
  <c r="L127" i="105"/>
  <c r="L130" i="105" s="1"/>
  <c r="K127" i="105"/>
  <c r="K130" i="105" s="1"/>
  <c r="J127" i="105"/>
  <c r="J130" i="105" s="1"/>
  <c r="I127" i="105"/>
  <c r="I130" i="105" s="1"/>
  <c r="H127" i="105"/>
  <c r="H130" i="105" s="1"/>
  <c r="N120" i="105"/>
  <c r="M120" i="105"/>
  <c r="L120" i="105"/>
  <c r="K120" i="105"/>
  <c r="J120" i="105"/>
  <c r="I120" i="105"/>
  <c r="H120" i="105"/>
  <c r="G120" i="105"/>
  <c r="F120" i="105"/>
  <c r="E120" i="105"/>
  <c r="D120" i="105"/>
  <c r="C120" i="105"/>
  <c r="O113" i="105"/>
  <c r="O116" i="105" s="1"/>
  <c r="O118" i="105" s="1"/>
  <c r="O183" i="105" s="1"/>
  <c r="N113" i="105"/>
  <c r="N116" i="105" s="1"/>
  <c r="N118" i="105" s="1"/>
  <c r="N183" i="105" s="1"/>
  <c r="M113" i="105"/>
  <c r="M116" i="105" s="1"/>
  <c r="M118" i="105" s="1"/>
  <c r="M183" i="105" s="1"/>
  <c r="L113" i="105"/>
  <c r="L116" i="105" s="1"/>
  <c r="L118" i="105" s="1"/>
  <c r="L183" i="105" s="1"/>
  <c r="K113" i="105"/>
  <c r="K116" i="105" s="1"/>
  <c r="K118" i="105" s="1"/>
  <c r="K183" i="105" s="1"/>
  <c r="J113" i="105"/>
  <c r="J116" i="105" s="1"/>
  <c r="J118" i="105" s="1"/>
  <c r="J183" i="105" s="1"/>
  <c r="I113" i="105"/>
  <c r="I116" i="105" s="1"/>
  <c r="I118" i="105" s="1"/>
  <c r="I183" i="105" s="1"/>
  <c r="H113" i="105"/>
  <c r="H116" i="105" s="1"/>
  <c r="H118" i="105" s="1"/>
  <c r="H183" i="105" s="1"/>
  <c r="N104" i="105"/>
  <c r="M104" i="105"/>
  <c r="L104" i="105"/>
  <c r="K104" i="105"/>
  <c r="J104" i="105"/>
  <c r="I104" i="105"/>
  <c r="H104" i="105"/>
  <c r="G104" i="105"/>
  <c r="F104" i="105"/>
  <c r="E104" i="105"/>
  <c r="D104" i="105"/>
  <c r="C104" i="105"/>
  <c r="N100" i="105"/>
  <c r="M100" i="105"/>
  <c r="L100" i="105"/>
  <c r="K100" i="105"/>
  <c r="J100" i="105"/>
  <c r="I100" i="105"/>
  <c r="H100" i="105"/>
  <c r="G100" i="105"/>
  <c r="F100" i="105"/>
  <c r="E100" i="105"/>
  <c r="D100" i="105"/>
  <c r="C100" i="105"/>
  <c r="O98" i="105"/>
  <c r="N98" i="105"/>
  <c r="M98" i="105"/>
  <c r="L98" i="105"/>
  <c r="L36" i="105" s="1"/>
  <c r="L38" i="105" s="1"/>
  <c r="K98" i="105"/>
  <c r="K36" i="105" s="1"/>
  <c r="K38" i="105" s="1"/>
  <c r="J98" i="105"/>
  <c r="J36" i="105" s="1"/>
  <c r="J38" i="105" s="1"/>
  <c r="I98" i="105"/>
  <c r="I36" i="105" s="1"/>
  <c r="I38" i="105" s="1"/>
  <c r="H98" i="105"/>
  <c r="H36" i="105" s="1"/>
  <c r="H38" i="105" s="1"/>
  <c r="G98" i="105"/>
  <c r="G36" i="105" s="1"/>
  <c r="F98" i="105"/>
  <c r="E98" i="105"/>
  <c r="D98" i="105"/>
  <c r="C98" i="105"/>
  <c r="N93" i="105"/>
  <c r="M93" i="105"/>
  <c r="L93" i="105"/>
  <c r="K93" i="105"/>
  <c r="J93" i="105"/>
  <c r="I93" i="105"/>
  <c r="H93" i="105"/>
  <c r="G93" i="105"/>
  <c r="F93" i="105"/>
  <c r="E93" i="105"/>
  <c r="D93" i="105"/>
  <c r="C93" i="105"/>
  <c r="O90" i="105"/>
  <c r="N90" i="105"/>
  <c r="N12" i="105" s="1"/>
  <c r="N13" i="105" s="1"/>
  <c r="O8" i="126" s="1"/>
  <c r="M90" i="105"/>
  <c r="M12" i="105" s="1"/>
  <c r="M13" i="105" s="1"/>
  <c r="L90" i="105"/>
  <c r="L12" i="105" s="1"/>
  <c r="L13" i="105" s="1"/>
  <c r="K90" i="105"/>
  <c r="J90" i="105"/>
  <c r="I90" i="105"/>
  <c r="I12" i="105" s="1"/>
  <c r="I13" i="105" s="1"/>
  <c r="N68" i="105"/>
  <c r="M68" i="105"/>
  <c r="L68" i="105"/>
  <c r="K68" i="105"/>
  <c r="J68" i="105"/>
  <c r="I68" i="105"/>
  <c r="H68" i="105"/>
  <c r="G68" i="105"/>
  <c r="F68" i="105"/>
  <c r="E68" i="105"/>
  <c r="D68" i="105"/>
  <c r="C68" i="105"/>
  <c r="N47" i="105"/>
  <c r="M47" i="105"/>
  <c r="L47" i="105"/>
  <c r="K47" i="105"/>
  <c r="N27" i="105"/>
  <c r="M27" i="105"/>
  <c r="L27" i="105"/>
  <c r="K27" i="105"/>
  <c r="B3" i="105"/>
  <c r="D34" i="104"/>
  <c r="O52" i="90"/>
  <c r="O51" i="90"/>
  <c r="O37" i="90"/>
  <c r="O38" i="90"/>
  <c r="O39" i="90"/>
  <c r="O40" i="90"/>
  <c r="K140" i="90"/>
  <c r="K142" i="90" s="1"/>
  <c r="K16" i="90" s="1"/>
  <c r="L140" i="90"/>
  <c r="L142" i="90" s="1"/>
  <c r="M140" i="90"/>
  <c r="M142" i="90" s="1"/>
  <c r="N140" i="90"/>
  <c r="N142" i="90" s="1"/>
  <c r="N41" i="88"/>
  <c r="F413" i="88"/>
  <c r="G390" i="88"/>
  <c r="G44" i="88" s="1"/>
  <c r="T4" i="104"/>
  <c r="P7" i="90"/>
  <c r="N12" i="88"/>
  <c r="C33" i="103"/>
  <c r="C61" i="103"/>
  <c r="C42" i="103"/>
  <c r="C50" i="103" s="1"/>
  <c r="L226" i="50"/>
  <c r="C11" i="103"/>
  <c r="C54" i="103"/>
  <c r="C21" i="103"/>
  <c r="C16" i="103"/>
  <c r="G113" i="88"/>
  <c r="G86" i="88"/>
  <c r="G254" i="91"/>
  <c r="G268" i="91" s="1"/>
  <c r="H144" i="90"/>
  <c r="E406" i="88"/>
  <c r="N52" i="92"/>
  <c r="M52" i="92"/>
  <c r="N41" i="92"/>
  <c r="O48" i="126" s="1"/>
  <c r="N38" i="92"/>
  <c r="M38" i="92"/>
  <c r="L38" i="92"/>
  <c r="K38" i="92"/>
  <c r="N13" i="92"/>
  <c r="N43" i="91"/>
  <c r="O46" i="126" s="1"/>
  <c r="M43" i="91"/>
  <c r="N46" i="126" s="1"/>
  <c r="L43" i="91"/>
  <c r="M46" i="126" s="1"/>
  <c r="K43" i="91"/>
  <c r="L46" i="126" s="1"/>
  <c r="N38" i="91"/>
  <c r="M38" i="91"/>
  <c r="L38" i="91"/>
  <c r="K38" i="91"/>
  <c r="N25" i="91"/>
  <c r="M25" i="91"/>
  <c r="L25" i="91"/>
  <c r="K25" i="91"/>
  <c r="N13" i="90"/>
  <c r="O5" i="126" s="1"/>
  <c r="L13" i="90"/>
  <c r="M13" i="90"/>
  <c r="N5" i="126" s="1"/>
  <c r="N54" i="90"/>
  <c r="O44" i="126" s="1"/>
  <c r="M44" i="126"/>
  <c r="K54" i="90"/>
  <c r="L44" i="126" s="1"/>
  <c r="C57" i="64"/>
  <c r="C69" i="64"/>
  <c r="N49" i="88"/>
  <c r="N23" i="88"/>
  <c r="O186" i="92"/>
  <c r="O196" i="92" s="1"/>
  <c r="O184" i="92"/>
  <c r="O181" i="92"/>
  <c r="O195" i="92" s="1"/>
  <c r="O176" i="92"/>
  <c r="O173" i="92"/>
  <c r="O193" i="92" s="1"/>
  <c r="O167" i="92"/>
  <c r="O165" i="92"/>
  <c r="O192" i="92" s="1"/>
  <c r="O161" i="92"/>
  <c r="O159" i="92"/>
  <c r="O191" i="92" s="1"/>
  <c r="O153" i="92"/>
  <c r="O141" i="92"/>
  <c r="O138" i="92"/>
  <c r="O137" i="92"/>
  <c r="O132" i="92"/>
  <c r="O135" i="92" s="1"/>
  <c r="O189" i="92" s="1"/>
  <c r="O123" i="92"/>
  <c r="O116" i="92"/>
  <c r="O119" i="92" s="1"/>
  <c r="O121" i="92" s="1"/>
  <c r="O188" i="92" s="1"/>
  <c r="O111" i="92"/>
  <c r="O107" i="92"/>
  <c r="O103" i="92"/>
  <c r="O101" i="92"/>
  <c r="O97" i="92"/>
  <c r="O94" i="92"/>
  <c r="O68" i="92"/>
  <c r="G318" i="88"/>
  <c r="C397" i="88"/>
  <c r="D318" i="88"/>
  <c r="E318" i="88"/>
  <c r="F318" i="88"/>
  <c r="E113" i="88"/>
  <c r="C123" i="64"/>
  <c r="C116" i="64"/>
  <c r="C107" i="64"/>
  <c r="C111" i="64" s="1"/>
  <c r="C85" i="64"/>
  <c r="C92" i="64" s="1"/>
  <c r="C78" i="64"/>
  <c r="C74" i="64"/>
  <c r="L42" i="92"/>
  <c r="K42" i="92"/>
  <c r="N18" i="88"/>
  <c r="H32" i="97"/>
  <c r="G32" i="97"/>
  <c r="H31" i="97"/>
  <c r="G31" i="97"/>
  <c r="H30" i="97"/>
  <c r="G30" i="97"/>
  <c r="H29" i="97"/>
  <c r="G29" i="97"/>
  <c r="H28" i="97"/>
  <c r="G28" i="97"/>
  <c r="H27" i="97"/>
  <c r="J18" i="97"/>
  <c r="H18" i="97"/>
  <c r="G18" i="97"/>
  <c r="G7" i="97"/>
  <c r="J7" i="97" s="1"/>
  <c r="G6" i="97"/>
  <c r="J6" i="97" s="1"/>
  <c r="L27" i="97"/>
  <c r="R26" i="97"/>
  <c r="Q26" i="97"/>
  <c r="P26" i="97"/>
  <c r="O26" i="97"/>
  <c r="N26" i="97"/>
  <c r="R25" i="97"/>
  <c r="Q25" i="97"/>
  <c r="P25" i="97"/>
  <c r="O25" i="97"/>
  <c r="N25" i="97"/>
  <c r="R24" i="97"/>
  <c r="Q24" i="97"/>
  <c r="P24" i="97"/>
  <c r="O24" i="97"/>
  <c r="N24" i="97"/>
  <c r="R23" i="97"/>
  <c r="Q23" i="97"/>
  <c r="P23" i="97"/>
  <c r="O23" i="97"/>
  <c r="N23" i="97"/>
  <c r="R22" i="97"/>
  <c r="Q22" i="97"/>
  <c r="P22" i="97"/>
  <c r="O22" i="97"/>
  <c r="N22" i="97"/>
  <c r="R21" i="97"/>
  <c r="Q21" i="97"/>
  <c r="P21" i="97"/>
  <c r="O21" i="97"/>
  <c r="N21" i="97"/>
  <c r="R20" i="97"/>
  <c r="Q20" i="97"/>
  <c r="P20" i="97"/>
  <c r="O20" i="97"/>
  <c r="N20" i="97"/>
  <c r="R19" i="97"/>
  <c r="Q19" i="97"/>
  <c r="P19" i="97"/>
  <c r="O19" i="97"/>
  <c r="N19" i="97"/>
  <c r="M18" i="97"/>
  <c r="R17" i="97"/>
  <c r="Q17" i="97"/>
  <c r="P17" i="97"/>
  <c r="O17" i="97"/>
  <c r="N17" i="97"/>
  <c r="R16" i="97"/>
  <c r="Q16" i="97"/>
  <c r="P16" i="97"/>
  <c r="O16" i="97"/>
  <c r="N16" i="97"/>
  <c r="T15" i="97"/>
  <c r="H15" i="97" s="1"/>
  <c r="M15" i="97"/>
  <c r="G15" i="97" s="1"/>
  <c r="J15" i="97" s="1"/>
  <c r="R14" i="97"/>
  <c r="Q14" i="97"/>
  <c r="P14" i="97"/>
  <c r="O14" i="97"/>
  <c r="N14" i="97"/>
  <c r="R13" i="97"/>
  <c r="Q13" i="97"/>
  <c r="P13" i="97"/>
  <c r="O13" i="97"/>
  <c r="N13" i="97"/>
  <c r="R12" i="97"/>
  <c r="Q12" i="97"/>
  <c r="P12" i="97"/>
  <c r="O12" i="97"/>
  <c r="N12" i="97"/>
  <c r="R11" i="97"/>
  <c r="Q11" i="97"/>
  <c r="P11" i="97"/>
  <c r="O11" i="97"/>
  <c r="N11" i="97"/>
  <c r="R10" i="97"/>
  <c r="Q10" i="97"/>
  <c r="P10" i="97"/>
  <c r="O10" i="97"/>
  <c r="N10" i="97"/>
  <c r="R9" i="97"/>
  <c r="Q9" i="97"/>
  <c r="P9" i="97"/>
  <c r="O9" i="97"/>
  <c r="N9" i="97"/>
  <c r="R8" i="97"/>
  <c r="Q8" i="97"/>
  <c r="P8" i="97"/>
  <c r="O8" i="97"/>
  <c r="N8" i="97"/>
  <c r="T7" i="97"/>
  <c r="H7" i="97" s="1"/>
  <c r="T6" i="97"/>
  <c r="H6" i="97" s="1"/>
  <c r="R5" i="97"/>
  <c r="Q5" i="97"/>
  <c r="P5" i="97"/>
  <c r="O5" i="97"/>
  <c r="N5" i="97"/>
  <c r="R4" i="97"/>
  <c r="Q4" i="97"/>
  <c r="P4" i="97"/>
  <c r="O4" i="97"/>
  <c r="N4" i="97"/>
  <c r="F31" i="96"/>
  <c r="G31" i="96" s="1"/>
  <c r="J31" i="96" s="1"/>
  <c r="F30" i="96"/>
  <c r="G30" i="96" s="1"/>
  <c r="F29" i="96"/>
  <c r="G29" i="96" s="1"/>
  <c r="F28" i="96"/>
  <c r="G28" i="96" s="1"/>
  <c r="F27" i="96"/>
  <c r="G27" i="96" s="1"/>
  <c r="F26" i="96"/>
  <c r="G26" i="96" s="1"/>
  <c r="G25" i="96"/>
  <c r="F24" i="96"/>
  <c r="G24" i="96" s="1"/>
  <c r="F23" i="96"/>
  <c r="G23" i="96" s="1"/>
  <c r="F22" i="96"/>
  <c r="G22" i="96" s="1"/>
  <c r="F21" i="96"/>
  <c r="G21" i="96" s="1"/>
  <c r="F20" i="96"/>
  <c r="G20" i="96" s="1"/>
  <c r="F19" i="96"/>
  <c r="G19" i="96" s="1"/>
  <c r="F18" i="96"/>
  <c r="G18" i="96" s="1"/>
  <c r="F17" i="96"/>
  <c r="G17" i="96" s="1"/>
  <c r="E16" i="96"/>
  <c r="F16" i="96" s="1"/>
  <c r="F15" i="96"/>
  <c r="G15" i="96" s="1"/>
  <c r="F14" i="96"/>
  <c r="G14" i="96" s="1"/>
  <c r="F13" i="96"/>
  <c r="G13" i="96" s="1"/>
  <c r="F12" i="96"/>
  <c r="G12" i="96" s="1"/>
  <c r="F11" i="96"/>
  <c r="G11" i="96" s="1"/>
  <c r="E10" i="96"/>
  <c r="F10" i="96" s="1"/>
  <c r="E9" i="96"/>
  <c r="F9" i="96" s="1"/>
  <c r="E8" i="96"/>
  <c r="F8" i="96" s="1"/>
  <c r="E44" i="96"/>
  <c r="E45" i="96" s="1"/>
  <c r="L49" i="96"/>
  <c r="L55" i="96" s="1"/>
  <c r="L61" i="96"/>
  <c r="E62" i="96"/>
  <c r="E64" i="96" s="1"/>
  <c r="M61" i="96"/>
  <c r="M63" i="96" s="1"/>
  <c r="I66" i="96"/>
  <c r="K51" i="96"/>
  <c r="I60" i="96"/>
  <c r="I63" i="96"/>
  <c r="G60" i="96"/>
  <c r="E56" i="96"/>
  <c r="E49" i="96"/>
  <c r="H28" i="98"/>
  <c r="G28" i="98"/>
  <c r="F28" i="98"/>
  <c r="E28" i="98"/>
  <c r="G27" i="98"/>
  <c r="F27" i="98"/>
  <c r="E27" i="98"/>
  <c r="E70" i="99"/>
  <c r="G24" i="98"/>
  <c r="F24" i="98"/>
  <c r="E24" i="98"/>
  <c r="F19" i="98"/>
  <c r="H20" i="98"/>
  <c r="G22" i="98"/>
  <c r="F22" i="98"/>
  <c r="E22" i="98"/>
  <c r="G20" i="98"/>
  <c r="F20" i="98"/>
  <c r="E20" i="98"/>
  <c r="G19" i="98"/>
  <c r="E6" i="96"/>
  <c r="G4" i="67"/>
  <c r="G5" i="67"/>
  <c r="XFC6" i="67"/>
  <c r="XFB6" i="67"/>
  <c r="XFA6" i="67"/>
  <c r="XEZ6" i="67"/>
  <c r="XEY6" i="67"/>
  <c r="XEX6" i="67"/>
  <c r="XEW6" i="67"/>
  <c r="XEV6" i="67"/>
  <c r="XEU6" i="67"/>
  <c r="XET6" i="67"/>
  <c r="XES6" i="67"/>
  <c r="XER6" i="67"/>
  <c r="XEQ6" i="67"/>
  <c r="XEP6" i="67"/>
  <c r="XEO6" i="67"/>
  <c r="XEN6" i="67"/>
  <c r="XEM6" i="67"/>
  <c r="XEL6" i="67"/>
  <c r="XEK6" i="67"/>
  <c r="XEJ6" i="67"/>
  <c r="XEI6" i="67"/>
  <c r="XEH6" i="67"/>
  <c r="XEG6" i="67"/>
  <c r="XEF6" i="67"/>
  <c r="XEE6" i="67"/>
  <c r="XED6" i="67"/>
  <c r="XEC6" i="67"/>
  <c r="XEB6" i="67"/>
  <c r="XEA6" i="67"/>
  <c r="XDZ6" i="67"/>
  <c r="XDY6" i="67"/>
  <c r="XDX6" i="67"/>
  <c r="XDW6" i="67"/>
  <c r="XDV6" i="67"/>
  <c r="XDU6" i="67"/>
  <c r="XDT6" i="67"/>
  <c r="XDS6" i="67"/>
  <c r="XDR6" i="67"/>
  <c r="XDQ6" i="67"/>
  <c r="XDP6" i="67"/>
  <c r="XDO6" i="67"/>
  <c r="XDN6" i="67"/>
  <c r="XDM6" i="67"/>
  <c r="XDL6" i="67"/>
  <c r="XDK6" i="67"/>
  <c r="XDJ6" i="67"/>
  <c r="XDI6" i="67"/>
  <c r="XDH6" i="67"/>
  <c r="XDG6" i="67"/>
  <c r="XDF6" i="67"/>
  <c r="XDE6" i="67"/>
  <c r="XDD6" i="67"/>
  <c r="XDC6" i="67"/>
  <c r="XDB6" i="67"/>
  <c r="XDA6" i="67"/>
  <c r="XCZ6" i="67"/>
  <c r="XCY6" i="67"/>
  <c r="XCX6" i="67"/>
  <c r="XCW6" i="67"/>
  <c r="XCV6" i="67"/>
  <c r="XCU6" i="67"/>
  <c r="XCT6" i="67"/>
  <c r="XCS6" i="67"/>
  <c r="XCR6" i="67"/>
  <c r="XCQ6" i="67"/>
  <c r="XCP6" i="67"/>
  <c r="XCO6" i="67"/>
  <c r="XCN6" i="67"/>
  <c r="XCM6" i="67"/>
  <c r="XCL6" i="67"/>
  <c r="XCK6" i="67"/>
  <c r="XCJ6" i="67"/>
  <c r="XCI6" i="67"/>
  <c r="XCH6" i="67"/>
  <c r="XCG6" i="67"/>
  <c r="XCF6" i="67"/>
  <c r="XCE6" i="67"/>
  <c r="XCD6" i="67"/>
  <c r="XCC6" i="67"/>
  <c r="XCB6" i="67"/>
  <c r="XCA6" i="67"/>
  <c r="XBZ6" i="67"/>
  <c r="XBY6" i="67"/>
  <c r="XBX6" i="67"/>
  <c r="XBW6" i="67"/>
  <c r="XBV6" i="67"/>
  <c r="XBU6" i="67"/>
  <c r="XBT6" i="67"/>
  <c r="XBS6" i="67"/>
  <c r="XBR6" i="67"/>
  <c r="XBQ6" i="67"/>
  <c r="XBP6" i="67"/>
  <c r="XBO6" i="67"/>
  <c r="XBN6" i="67"/>
  <c r="XBM6" i="67"/>
  <c r="XBL6" i="67"/>
  <c r="XBK6" i="67"/>
  <c r="XBJ6" i="67"/>
  <c r="XBI6" i="67"/>
  <c r="XBH6" i="67"/>
  <c r="XBG6" i="67"/>
  <c r="XBF6" i="67"/>
  <c r="XBE6" i="67"/>
  <c r="XBD6" i="67"/>
  <c r="XBC6" i="67"/>
  <c r="XBB6" i="67"/>
  <c r="XBA6" i="67"/>
  <c r="XAZ6" i="67"/>
  <c r="XAY6" i="67"/>
  <c r="XAX6" i="67"/>
  <c r="XAW6" i="67"/>
  <c r="XAV6" i="67"/>
  <c r="XAU6" i="67"/>
  <c r="XAT6" i="67"/>
  <c r="XAS6" i="67"/>
  <c r="XAR6" i="67"/>
  <c r="XAQ6" i="67"/>
  <c r="XAP6" i="67"/>
  <c r="XAO6" i="67"/>
  <c r="XAN6" i="67"/>
  <c r="XAM6" i="67"/>
  <c r="XAL6" i="67"/>
  <c r="XAK6" i="67"/>
  <c r="XAJ6" i="67"/>
  <c r="XAI6" i="67"/>
  <c r="XAH6" i="67"/>
  <c r="XAG6" i="67"/>
  <c r="XAF6" i="67"/>
  <c r="XAE6" i="67"/>
  <c r="XAD6" i="67"/>
  <c r="XAC6" i="67"/>
  <c r="XAB6" i="67"/>
  <c r="XAA6" i="67"/>
  <c r="WZZ6" i="67"/>
  <c r="WZY6" i="67"/>
  <c r="WZX6" i="67"/>
  <c r="WZW6" i="67"/>
  <c r="WZV6" i="67"/>
  <c r="WZU6" i="67"/>
  <c r="WZT6" i="67"/>
  <c r="WZS6" i="67"/>
  <c r="WZR6" i="67"/>
  <c r="WZQ6" i="67"/>
  <c r="WZP6" i="67"/>
  <c r="WZO6" i="67"/>
  <c r="WZN6" i="67"/>
  <c r="WZM6" i="67"/>
  <c r="WZL6" i="67"/>
  <c r="WZK6" i="67"/>
  <c r="WZJ6" i="67"/>
  <c r="WZI6" i="67"/>
  <c r="WZH6" i="67"/>
  <c r="WZG6" i="67"/>
  <c r="WZF6" i="67"/>
  <c r="WZE6" i="67"/>
  <c r="WZD6" i="67"/>
  <c r="WZC6" i="67"/>
  <c r="WZB6" i="67"/>
  <c r="WZA6" i="67"/>
  <c r="WYZ6" i="67"/>
  <c r="WYY6" i="67"/>
  <c r="WYX6" i="67"/>
  <c r="WYW6" i="67"/>
  <c r="WYV6" i="67"/>
  <c r="WYU6" i="67"/>
  <c r="WYT6" i="67"/>
  <c r="WYS6" i="67"/>
  <c r="WYR6" i="67"/>
  <c r="WYQ6" i="67"/>
  <c r="WYP6" i="67"/>
  <c r="WYO6" i="67"/>
  <c r="WYN6" i="67"/>
  <c r="WYM6" i="67"/>
  <c r="WYL6" i="67"/>
  <c r="WYK6" i="67"/>
  <c r="WYJ6" i="67"/>
  <c r="WYI6" i="67"/>
  <c r="WYH6" i="67"/>
  <c r="WYG6" i="67"/>
  <c r="WYF6" i="67"/>
  <c r="WYE6" i="67"/>
  <c r="WYD6" i="67"/>
  <c r="WYC6" i="67"/>
  <c r="WYB6" i="67"/>
  <c r="WYA6" i="67"/>
  <c r="WXZ6" i="67"/>
  <c r="WXY6" i="67"/>
  <c r="WXX6" i="67"/>
  <c r="WXW6" i="67"/>
  <c r="WXV6" i="67"/>
  <c r="WXU6" i="67"/>
  <c r="WXT6" i="67"/>
  <c r="WXS6" i="67"/>
  <c r="WXR6" i="67"/>
  <c r="WXQ6" i="67"/>
  <c r="WXP6" i="67"/>
  <c r="WXO6" i="67"/>
  <c r="WXN6" i="67"/>
  <c r="WXM6" i="67"/>
  <c r="WXL6" i="67"/>
  <c r="WXK6" i="67"/>
  <c r="WXJ6" i="67"/>
  <c r="WXI6" i="67"/>
  <c r="WXH6" i="67"/>
  <c r="WXG6" i="67"/>
  <c r="WXF6" i="67"/>
  <c r="WXE6" i="67"/>
  <c r="WXD6" i="67"/>
  <c r="WXC6" i="67"/>
  <c r="WXB6" i="67"/>
  <c r="WXA6" i="67"/>
  <c r="WWZ6" i="67"/>
  <c r="WWY6" i="67"/>
  <c r="WWX6" i="67"/>
  <c r="WWW6" i="67"/>
  <c r="WWV6" i="67"/>
  <c r="WWU6" i="67"/>
  <c r="WWT6" i="67"/>
  <c r="WWS6" i="67"/>
  <c r="WWR6" i="67"/>
  <c r="WWQ6" i="67"/>
  <c r="WWP6" i="67"/>
  <c r="WWO6" i="67"/>
  <c r="WWN6" i="67"/>
  <c r="WWM6" i="67"/>
  <c r="WWL6" i="67"/>
  <c r="WWK6" i="67"/>
  <c r="WWJ6" i="67"/>
  <c r="WWI6" i="67"/>
  <c r="WWH6" i="67"/>
  <c r="WWG6" i="67"/>
  <c r="WWF6" i="67"/>
  <c r="WWE6" i="67"/>
  <c r="WWD6" i="67"/>
  <c r="WWC6" i="67"/>
  <c r="WWB6" i="67"/>
  <c r="WWA6" i="67"/>
  <c r="WVZ6" i="67"/>
  <c r="WVY6" i="67"/>
  <c r="WVX6" i="67"/>
  <c r="WVW6" i="67"/>
  <c r="WVV6" i="67"/>
  <c r="WVU6" i="67"/>
  <c r="WVT6" i="67"/>
  <c r="WVS6" i="67"/>
  <c r="WVR6" i="67"/>
  <c r="WVQ6" i="67"/>
  <c r="WVP6" i="67"/>
  <c r="WVO6" i="67"/>
  <c r="WVN6" i="67"/>
  <c r="WVM6" i="67"/>
  <c r="WVL6" i="67"/>
  <c r="WVK6" i="67"/>
  <c r="WVJ6" i="67"/>
  <c r="WVI6" i="67"/>
  <c r="WVH6" i="67"/>
  <c r="WVG6" i="67"/>
  <c r="WVF6" i="67"/>
  <c r="WVE6" i="67"/>
  <c r="WVD6" i="67"/>
  <c r="WVC6" i="67"/>
  <c r="WVB6" i="67"/>
  <c r="WVA6" i="67"/>
  <c r="WUZ6" i="67"/>
  <c r="WUY6" i="67"/>
  <c r="WUX6" i="67"/>
  <c r="WUW6" i="67"/>
  <c r="WUV6" i="67"/>
  <c r="WUU6" i="67"/>
  <c r="WUT6" i="67"/>
  <c r="WUS6" i="67"/>
  <c r="WUR6" i="67"/>
  <c r="WUQ6" i="67"/>
  <c r="WUP6" i="67"/>
  <c r="WUO6" i="67"/>
  <c r="WUN6" i="67"/>
  <c r="WUM6" i="67"/>
  <c r="WUL6" i="67"/>
  <c r="WUK6" i="67"/>
  <c r="WUJ6" i="67"/>
  <c r="WUI6" i="67"/>
  <c r="WUH6" i="67"/>
  <c r="WUG6" i="67"/>
  <c r="WUF6" i="67"/>
  <c r="WUE6" i="67"/>
  <c r="WUD6" i="67"/>
  <c r="WUC6" i="67"/>
  <c r="WUB6" i="67"/>
  <c r="WUA6" i="67"/>
  <c r="WTZ6" i="67"/>
  <c r="WTY6" i="67"/>
  <c r="WTX6" i="67"/>
  <c r="WTW6" i="67"/>
  <c r="WTV6" i="67"/>
  <c r="WTU6" i="67"/>
  <c r="WTT6" i="67"/>
  <c r="WTS6" i="67"/>
  <c r="WTR6" i="67"/>
  <c r="WTQ6" i="67"/>
  <c r="WTP6" i="67"/>
  <c r="WTO6" i="67"/>
  <c r="WTN6" i="67"/>
  <c r="WTM6" i="67"/>
  <c r="WTL6" i="67"/>
  <c r="WTK6" i="67"/>
  <c r="WTJ6" i="67"/>
  <c r="WTI6" i="67"/>
  <c r="WTH6" i="67"/>
  <c r="WTG6" i="67"/>
  <c r="WTF6" i="67"/>
  <c r="WTE6" i="67"/>
  <c r="WTD6" i="67"/>
  <c r="WTC6" i="67"/>
  <c r="WTB6" i="67"/>
  <c r="WTA6" i="67"/>
  <c r="WSZ6" i="67"/>
  <c r="WSY6" i="67"/>
  <c r="WSX6" i="67"/>
  <c r="WSW6" i="67"/>
  <c r="WSV6" i="67"/>
  <c r="WSU6" i="67"/>
  <c r="WST6" i="67"/>
  <c r="WSS6" i="67"/>
  <c r="WSR6" i="67"/>
  <c r="WSQ6" i="67"/>
  <c r="WSP6" i="67"/>
  <c r="WSO6" i="67"/>
  <c r="WSN6" i="67"/>
  <c r="WSM6" i="67"/>
  <c r="WSL6" i="67"/>
  <c r="WSK6" i="67"/>
  <c r="WSJ6" i="67"/>
  <c r="WSI6" i="67"/>
  <c r="WSH6" i="67"/>
  <c r="WSG6" i="67"/>
  <c r="WSF6" i="67"/>
  <c r="WSE6" i="67"/>
  <c r="WSD6" i="67"/>
  <c r="WSC6" i="67"/>
  <c r="WSB6" i="67"/>
  <c r="WSA6" i="67"/>
  <c r="WRZ6" i="67"/>
  <c r="WRY6" i="67"/>
  <c r="WRX6" i="67"/>
  <c r="WRW6" i="67"/>
  <c r="WRV6" i="67"/>
  <c r="WRU6" i="67"/>
  <c r="WRT6" i="67"/>
  <c r="WRS6" i="67"/>
  <c r="WRR6" i="67"/>
  <c r="WRQ6" i="67"/>
  <c r="WRP6" i="67"/>
  <c r="WRO6" i="67"/>
  <c r="WRN6" i="67"/>
  <c r="WRM6" i="67"/>
  <c r="WRL6" i="67"/>
  <c r="WRK6" i="67"/>
  <c r="WRJ6" i="67"/>
  <c r="WRI6" i="67"/>
  <c r="WRH6" i="67"/>
  <c r="WRG6" i="67"/>
  <c r="WRF6" i="67"/>
  <c r="WRE6" i="67"/>
  <c r="WRD6" i="67"/>
  <c r="WRC6" i="67"/>
  <c r="WRB6" i="67"/>
  <c r="WRA6" i="67"/>
  <c r="WQZ6" i="67"/>
  <c r="WQY6" i="67"/>
  <c r="WQX6" i="67"/>
  <c r="WQW6" i="67"/>
  <c r="WQV6" i="67"/>
  <c r="WQU6" i="67"/>
  <c r="WQT6" i="67"/>
  <c r="WQS6" i="67"/>
  <c r="WQR6" i="67"/>
  <c r="WQQ6" i="67"/>
  <c r="WQP6" i="67"/>
  <c r="WQO6" i="67"/>
  <c r="WQN6" i="67"/>
  <c r="WQM6" i="67"/>
  <c r="WQL6" i="67"/>
  <c r="WQK6" i="67"/>
  <c r="WQJ6" i="67"/>
  <c r="WQI6" i="67"/>
  <c r="WQH6" i="67"/>
  <c r="WQG6" i="67"/>
  <c r="WQF6" i="67"/>
  <c r="WQE6" i="67"/>
  <c r="WQD6" i="67"/>
  <c r="WQC6" i="67"/>
  <c r="WQB6" i="67"/>
  <c r="WQA6" i="67"/>
  <c r="WPZ6" i="67"/>
  <c r="WPY6" i="67"/>
  <c r="WPX6" i="67"/>
  <c r="WPW6" i="67"/>
  <c r="WPV6" i="67"/>
  <c r="WPU6" i="67"/>
  <c r="WPT6" i="67"/>
  <c r="WPS6" i="67"/>
  <c r="WPR6" i="67"/>
  <c r="WPQ6" i="67"/>
  <c r="WPP6" i="67"/>
  <c r="WPO6" i="67"/>
  <c r="WPN6" i="67"/>
  <c r="WPM6" i="67"/>
  <c r="WPL6" i="67"/>
  <c r="WPK6" i="67"/>
  <c r="WPJ6" i="67"/>
  <c r="WPI6" i="67"/>
  <c r="WPH6" i="67"/>
  <c r="WPG6" i="67"/>
  <c r="WPF6" i="67"/>
  <c r="WPE6" i="67"/>
  <c r="WPD6" i="67"/>
  <c r="WPC6" i="67"/>
  <c r="WPB6" i="67"/>
  <c r="WPA6" i="67"/>
  <c r="WOZ6" i="67"/>
  <c r="WOY6" i="67"/>
  <c r="WOX6" i="67"/>
  <c r="WOW6" i="67"/>
  <c r="WOV6" i="67"/>
  <c r="WOU6" i="67"/>
  <c r="WOT6" i="67"/>
  <c r="WOS6" i="67"/>
  <c r="WOR6" i="67"/>
  <c r="WOQ6" i="67"/>
  <c r="WOP6" i="67"/>
  <c r="WOO6" i="67"/>
  <c r="WON6" i="67"/>
  <c r="WOM6" i="67"/>
  <c r="WOL6" i="67"/>
  <c r="WOK6" i="67"/>
  <c r="WOJ6" i="67"/>
  <c r="WOI6" i="67"/>
  <c r="WOH6" i="67"/>
  <c r="WOG6" i="67"/>
  <c r="WOF6" i="67"/>
  <c r="WOE6" i="67"/>
  <c r="WOD6" i="67"/>
  <c r="WOC6" i="67"/>
  <c r="WOB6" i="67"/>
  <c r="WOA6" i="67"/>
  <c r="WNZ6" i="67"/>
  <c r="WNY6" i="67"/>
  <c r="WNX6" i="67"/>
  <c r="WNW6" i="67"/>
  <c r="WNV6" i="67"/>
  <c r="WNU6" i="67"/>
  <c r="WNT6" i="67"/>
  <c r="WNS6" i="67"/>
  <c r="WNR6" i="67"/>
  <c r="WNQ6" i="67"/>
  <c r="WNP6" i="67"/>
  <c r="WNO6" i="67"/>
  <c r="WNN6" i="67"/>
  <c r="WNM6" i="67"/>
  <c r="WNL6" i="67"/>
  <c r="WNK6" i="67"/>
  <c r="WNJ6" i="67"/>
  <c r="WNI6" i="67"/>
  <c r="WNH6" i="67"/>
  <c r="WNG6" i="67"/>
  <c r="WNF6" i="67"/>
  <c r="WNE6" i="67"/>
  <c r="WND6" i="67"/>
  <c r="WNC6" i="67"/>
  <c r="WNB6" i="67"/>
  <c r="WNA6" i="67"/>
  <c r="WMZ6" i="67"/>
  <c r="WMY6" i="67"/>
  <c r="WMX6" i="67"/>
  <c r="WMW6" i="67"/>
  <c r="WMV6" i="67"/>
  <c r="WMU6" i="67"/>
  <c r="WMT6" i="67"/>
  <c r="WMS6" i="67"/>
  <c r="WMR6" i="67"/>
  <c r="WMQ6" i="67"/>
  <c r="WMP6" i="67"/>
  <c r="WMO6" i="67"/>
  <c r="WMN6" i="67"/>
  <c r="WMM6" i="67"/>
  <c r="WML6" i="67"/>
  <c r="WMK6" i="67"/>
  <c r="WMJ6" i="67"/>
  <c r="WMI6" i="67"/>
  <c r="WMH6" i="67"/>
  <c r="WMG6" i="67"/>
  <c r="WMF6" i="67"/>
  <c r="WME6" i="67"/>
  <c r="WMD6" i="67"/>
  <c r="WMC6" i="67"/>
  <c r="WMB6" i="67"/>
  <c r="WMA6" i="67"/>
  <c r="WLZ6" i="67"/>
  <c r="WLY6" i="67"/>
  <c r="WLX6" i="67"/>
  <c r="WLW6" i="67"/>
  <c r="WLV6" i="67"/>
  <c r="WLU6" i="67"/>
  <c r="WLT6" i="67"/>
  <c r="WLS6" i="67"/>
  <c r="WLR6" i="67"/>
  <c r="WLQ6" i="67"/>
  <c r="WLP6" i="67"/>
  <c r="WLO6" i="67"/>
  <c r="WLN6" i="67"/>
  <c r="WLM6" i="67"/>
  <c r="WLL6" i="67"/>
  <c r="WLK6" i="67"/>
  <c r="WLJ6" i="67"/>
  <c r="WLI6" i="67"/>
  <c r="WLH6" i="67"/>
  <c r="WLG6" i="67"/>
  <c r="WLF6" i="67"/>
  <c r="WLE6" i="67"/>
  <c r="WLD6" i="67"/>
  <c r="WLC6" i="67"/>
  <c r="WLB6" i="67"/>
  <c r="WLA6" i="67"/>
  <c r="WKZ6" i="67"/>
  <c r="WKY6" i="67"/>
  <c r="WKX6" i="67"/>
  <c r="WKW6" i="67"/>
  <c r="WKV6" i="67"/>
  <c r="WKU6" i="67"/>
  <c r="WKT6" i="67"/>
  <c r="WKS6" i="67"/>
  <c r="WKR6" i="67"/>
  <c r="WKQ6" i="67"/>
  <c r="WKP6" i="67"/>
  <c r="WKO6" i="67"/>
  <c r="WKN6" i="67"/>
  <c r="WKM6" i="67"/>
  <c r="WKL6" i="67"/>
  <c r="WKK6" i="67"/>
  <c r="WKJ6" i="67"/>
  <c r="WKI6" i="67"/>
  <c r="WKH6" i="67"/>
  <c r="WKG6" i="67"/>
  <c r="WKF6" i="67"/>
  <c r="WKE6" i="67"/>
  <c r="WKD6" i="67"/>
  <c r="WKC6" i="67"/>
  <c r="WKB6" i="67"/>
  <c r="WKA6" i="67"/>
  <c r="WJZ6" i="67"/>
  <c r="WJY6" i="67"/>
  <c r="WJX6" i="67"/>
  <c r="WJW6" i="67"/>
  <c r="WJV6" i="67"/>
  <c r="WJU6" i="67"/>
  <c r="WJT6" i="67"/>
  <c r="WJS6" i="67"/>
  <c r="WJR6" i="67"/>
  <c r="WJQ6" i="67"/>
  <c r="WJP6" i="67"/>
  <c r="WJO6" i="67"/>
  <c r="WJN6" i="67"/>
  <c r="WJM6" i="67"/>
  <c r="WJL6" i="67"/>
  <c r="WJK6" i="67"/>
  <c r="WJJ6" i="67"/>
  <c r="WJI6" i="67"/>
  <c r="WJH6" i="67"/>
  <c r="WJG6" i="67"/>
  <c r="WJF6" i="67"/>
  <c r="WJE6" i="67"/>
  <c r="WJD6" i="67"/>
  <c r="WJC6" i="67"/>
  <c r="WJB6" i="67"/>
  <c r="WJA6" i="67"/>
  <c r="WIZ6" i="67"/>
  <c r="WIY6" i="67"/>
  <c r="WIX6" i="67"/>
  <c r="WIW6" i="67"/>
  <c r="WIV6" i="67"/>
  <c r="WIU6" i="67"/>
  <c r="WIT6" i="67"/>
  <c r="WIS6" i="67"/>
  <c r="WIR6" i="67"/>
  <c r="WIQ6" i="67"/>
  <c r="WIP6" i="67"/>
  <c r="WIO6" i="67"/>
  <c r="WIN6" i="67"/>
  <c r="WIM6" i="67"/>
  <c r="WIL6" i="67"/>
  <c r="WIK6" i="67"/>
  <c r="WIJ6" i="67"/>
  <c r="WII6" i="67"/>
  <c r="WIH6" i="67"/>
  <c r="WIG6" i="67"/>
  <c r="WIF6" i="67"/>
  <c r="WIE6" i="67"/>
  <c r="WID6" i="67"/>
  <c r="WIC6" i="67"/>
  <c r="WIB6" i="67"/>
  <c r="WIA6" i="67"/>
  <c r="WHZ6" i="67"/>
  <c r="WHY6" i="67"/>
  <c r="WHX6" i="67"/>
  <c r="WHW6" i="67"/>
  <c r="WHV6" i="67"/>
  <c r="WHU6" i="67"/>
  <c r="WHT6" i="67"/>
  <c r="WHS6" i="67"/>
  <c r="WHR6" i="67"/>
  <c r="WHQ6" i="67"/>
  <c r="WHP6" i="67"/>
  <c r="WHO6" i="67"/>
  <c r="WHN6" i="67"/>
  <c r="WHM6" i="67"/>
  <c r="WHL6" i="67"/>
  <c r="WHK6" i="67"/>
  <c r="WHJ6" i="67"/>
  <c r="WHI6" i="67"/>
  <c r="WHH6" i="67"/>
  <c r="WHG6" i="67"/>
  <c r="WHF6" i="67"/>
  <c r="WHE6" i="67"/>
  <c r="WHD6" i="67"/>
  <c r="WHC6" i="67"/>
  <c r="WHB6" i="67"/>
  <c r="WHA6" i="67"/>
  <c r="WGZ6" i="67"/>
  <c r="WGY6" i="67"/>
  <c r="WGX6" i="67"/>
  <c r="WGW6" i="67"/>
  <c r="WGV6" i="67"/>
  <c r="WGU6" i="67"/>
  <c r="WGT6" i="67"/>
  <c r="WGS6" i="67"/>
  <c r="WGR6" i="67"/>
  <c r="WGQ6" i="67"/>
  <c r="WGP6" i="67"/>
  <c r="WGO6" i="67"/>
  <c r="WGN6" i="67"/>
  <c r="WGM6" i="67"/>
  <c r="WGL6" i="67"/>
  <c r="WGK6" i="67"/>
  <c r="WGJ6" i="67"/>
  <c r="WGI6" i="67"/>
  <c r="WGH6" i="67"/>
  <c r="WGG6" i="67"/>
  <c r="WGF6" i="67"/>
  <c r="WGE6" i="67"/>
  <c r="WGD6" i="67"/>
  <c r="WGC6" i="67"/>
  <c r="WGB6" i="67"/>
  <c r="WGA6" i="67"/>
  <c r="WFZ6" i="67"/>
  <c r="WFY6" i="67"/>
  <c r="WFX6" i="67"/>
  <c r="WFW6" i="67"/>
  <c r="WFV6" i="67"/>
  <c r="WFU6" i="67"/>
  <c r="WFT6" i="67"/>
  <c r="WFS6" i="67"/>
  <c r="WFR6" i="67"/>
  <c r="WFQ6" i="67"/>
  <c r="WFP6" i="67"/>
  <c r="WFO6" i="67"/>
  <c r="WFN6" i="67"/>
  <c r="WFM6" i="67"/>
  <c r="WFL6" i="67"/>
  <c r="WFK6" i="67"/>
  <c r="WFJ6" i="67"/>
  <c r="WFI6" i="67"/>
  <c r="WFH6" i="67"/>
  <c r="WFG6" i="67"/>
  <c r="WFF6" i="67"/>
  <c r="WFE6" i="67"/>
  <c r="WFD6" i="67"/>
  <c r="WFC6" i="67"/>
  <c r="WFB6" i="67"/>
  <c r="WFA6" i="67"/>
  <c r="WEZ6" i="67"/>
  <c r="WEY6" i="67"/>
  <c r="WEX6" i="67"/>
  <c r="WEW6" i="67"/>
  <c r="WEV6" i="67"/>
  <c r="WEU6" i="67"/>
  <c r="WET6" i="67"/>
  <c r="WES6" i="67"/>
  <c r="WER6" i="67"/>
  <c r="WEQ6" i="67"/>
  <c r="WEP6" i="67"/>
  <c r="WEO6" i="67"/>
  <c r="WEN6" i="67"/>
  <c r="WEM6" i="67"/>
  <c r="WEL6" i="67"/>
  <c r="WEK6" i="67"/>
  <c r="WEJ6" i="67"/>
  <c r="WEI6" i="67"/>
  <c r="WEH6" i="67"/>
  <c r="WEG6" i="67"/>
  <c r="WEF6" i="67"/>
  <c r="WEE6" i="67"/>
  <c r="WED6" i="67"/>
  <c r="WEC6" i="67"/>
  <c r="WEB6" i="67"/>
  <c r="WEA6" i="67"/>
  <c r="WDZ6" i="67"/>
  <c r="WDY6" i="67"/>
  <c r="WDX6" i="67"/>
  <c r="WDW6" i="67"/>
  <c r="WDV6" i="67"/>
  <c r="WDU6" i="67"/>
  <c r="WDT6" i="67"/>
  <c r="WDS6" i="67"/>
  <c r="WDR6" i="67"/>
  <c r="WDQ6" i="67"/>
  <c r="WDP6" i="67"/>
  <c r="WDO6" i="67"/>
  <c r="WDN6" i="67"/>
  <c r="WDM6" i="67"/>
  <c r="WDL6" i="67"/>
  <c r="WDK6" i="67"/>
  <c r="WDJ6" i="67"/>
  <c r="WDI6" i="67"/>
  <c r="WDH6" i="67"/>
  <c r="WDG6" i="67"/>
  <c r="WDF6" i="67"/>
  <c r="WDE6" i="67"/>
  <c r="WDD6" i="67"/>
  <c r="WDC6" i="67"/>
  <c r="WDB6" i="67"/>
  <c r="WDA6" i="67"/>
  <c r="WCZ6" i="67"/>
  <c r="WCY6" i="67"/>
  <c r="WCX6" i="67"/>
  <c r="WCW6" i="67"/>
  <c r="WCV6" i="67"/>
  <c r="WCU6" i="67"/>
  <c r="WCT6" i="67"/>
  <c r="WCS6" i="67"/>
  <c r="WCR6" i="67"/>
  <c r="WCQ6" i="67"/>
  <c r="WCP6" i="67"/>
  <c r="WCO6" i="67"/>
  <c r="WCN6" i="67"/>
  <c r="WCM6" i="67"/>
  <c r="WCL6" i="67"/>
  <c r="WCK6" i="67"/>
  <c r="WCJ6" i="67"/>
  <c r="WCI6" i="67"/>
  <c r="WCH6" i="67"/>
  <c r="WCG6" i="67"/>
  <c r="WCF6" i="67"/>
  <c r="WCE6" i="67"/>
  <c r="WCD6" i="67"/>
  <c r="WCC6" i="67"/>
  <c r="WCB6" i="67"/>
  <c r="WCA6" i="67"/>
  <c r="WBZ6" i="67"/>
  <c r="WBY6" i="67"/>
  <c r="WBX6" i="67"/>
  <c r="WBW6" i="67"/>
  <c r="WBV6" i="67"/>
  <c r="WBU6" i="67"/>
  <c r="WBT6" i="67"/>
  <c r="WBS6" i="67"/>
  <c r="WBR6" i="67"/>
  <c r="WBQ6" i="67"/>
  <c r="WBP6" i="67"/>
  <c r="WBO6" i="67"/>
  <c r="WBN6" i="67"/>
  <c r="WBM6" i="67"/>
  <c r="WBL6" i="67"/>
  <c r="WBK6" i="67"/>
  <c r="WBJ6" i="67"/>
  <c r="WBI6" i="67"/>
  <c r="WBH6" i="67"/>
  <c r="WBG6" i="67"/>
  <c r="WBF6" i="67"/>
  <c r="WBE6" i="67"/>
  <c r="WBD6" i="67"/>
  <c r="WBC6" i="67"/>
  <c r="WBB6" i="67"/>
  <c r="WBA6" i="67"/>
  <c r="WAZ6" i="67"/>
  <c r="WAY6" i="67"/>
  <c r="WAX6" i="67"/>
  <c r="WAW6" i="67"/>
  <c r="WAV6" i="67"/>
  <c r="WAU6" i="67"/>
  <c r="WAT6" i="67"/>
  <c r="WAS6" i="67"/>
  <c r="WAR6" i="67"/>
  <c r="WAQ6" i="67"/>
  <c r="WAP6" i="67"/>
  <c r="WAO6" i="67"/>
  <c r="WAN6" i="67"/>
  <c r="WAM6" i="67"/>
  <c r="WAL6" i="67"/>
  <c r="WAK6" i="67"/>
  <c r="WAJ6" i="67"/>
  <c r="WAI6" i="67"/>
  <c r="WAH6" i="67"/>
  <c r="WAG6" i="67"/>
  <c r="WAF6" i="67"/>
  <c r="WAE6" i="67"/>
  <c r="WAD6" i="67"/>
  <c r="WAC6" i="67"/>
  <c r="WAB6" i="67"/>
  <c r="WAA6" i="67"/>
  <c r="VZZ6" i="67"/>
  <c r="VZY6" i="67"/>
  <c r="VZX6" i="67"/>
  <c r="VZW6" i="67"/>
  <c r="VZV6" i="67"/>
  <c r="VZU6" i="67"/>
  <c r="VZT6" i="67"/>
  <c r="VZS6" i="67"/>
  <c r="VZR6" i="67"/>
  <c r="VZQ6" i="67"/>
  <c r="VZP6" i="67"/>
  <c r="VZO6" i="67"/>
  <c r="VZN6" i="67"/>
  <c r="VZM6" i="67"/>
  <c r="VZL6" i="67"/>
  <c r="VZK6" i="67"/>
  <c r="VZJ6" i="67"/>
  <c r="VZI6" i="67"/>
  <c r="VZH6" i="67"/>
  <c r="VZG6" i="67"/>
  <c r="VZF6" i="67"/>
  <c r="VZE6" i="67"/>
  <c r="VZD6" i="67"/>
  <c r="VZC6" i="67"/>
  <c r="VZB6" i="67"/>
  <c r="VZA6" i="67"/>
  <c r="VYZ6" i="67"/>
  <c r="VYY6" i="67"/>
  <c r="VYX6" i="67"/>
  <c r="VYW6" i="67"/>
  <c r="VYV6" i="67"/>
  <c r="VYU6" i="67"/>
  <c r="VYT6" i="67"/>
  <c r="VYS6" i="67"/>
  <c r="VYR6" i="67"/>
  <c r="VYQ6" i="67"/>
  <c r="VYP6" i="67"/>
  <c r="VYO6" i="67"/>
  <c r="VYN6" i="67"/>
  <c r="VYM6" i="67"/>
  <c r="VYL6" i="67"/>
  <c r="VYK6" i="67"/>
  <c r="VYJ6" i="67"/>
  <c r="VYI6" i="67"/>
  <c r="VYH6" i="67"/>
  <c r="VYG6" i="67"/>
  <c r="VYF6" i="67"/>
  <c r="VYE6" i="67"/>
  <c r="VYD6" i="67"/>
  <c r="VYC6" i="67"/>
  <c r="VYB6" i="67"/>
  <c r="VYA6" i="67"/>
  <c r="VXZ6" i="67"/>
  <c r="VXY6" i="67"/>
  <c r="VXX6" i="67"/>
  <c r="VXW6" i="67"/>
  <c r="VXV6" i="67"/>
  <c r="VXU6" i="67"/>
  <c r="VXT6" i="67"/>
  <c r="VXS6" i="67"/>
  <c r="VXR6" i="67"/>
  <c r="VXQ6" i="67"/>
  <c r="VXP6" i="67"/>
  <c r="VXO6" i="67"/>
  <c r="VXN6" i="67"/>
  <c r="VXM6" i="67"/>
  <c r="VXL6" i="67"/>
  <c r="VXK6" i="67"/>
  <c r="VXJ6" i="67"/>
  <c r="VXI6" i="67"/>
  <c r="VXH6" i="67"/>
  <c r="VXG6" i="67"/>
  <c r="VXF6" i="67"/>
  <c r="VXE6" i="67"/>
  <c r="VXD6" i="67"/>
  <c r="VXC6" i="67"/>
  <c r="VXB6" i="67"/>
  <c r="VXA6" i="67"/>
  <c r="VWZ6" i="67"/>
  <c r="VWY6" i="67"/>
  <c r="VWX6" i="67"/>
  <c r="VWW6" i="67"/>
  <c r="VWV6" i="67"/>
  <c r="VWU6" i="67"/>
  <c r="VWT6" i="67"/>
  <c r="VWS6" i="67"/>
  <c r="VWR6" i="67"/>
  <c r="VWQ6" i="67"/>
  <c r="VWP6" i="67"/>
  <c r="VWO6" i="67"/>
  <c r="VWN6" i="67"/>
  <c r="VWM6" i="67"/>
  <c r="VWL6" i="67"/>
  <c r="VWK6" i="67"/>
  <c r="VWJ6" i="67"/>
  <c r="VWI6" i="67"/>
  <c r="VWH6" i="67"/>
  <c r="VWG6" i="67"/>
  <c r="VWF6" i="67"/>
  <c r="VWE6" i="67"/>
  <c r="VWD6" i="67"/>
  <c r="VWC6" i="67"/>
  <c r="VWB6" i="67"/>
  <c r="VWA6" i="67"/>
  <c r="VVZ6" i="67"/>
  <c r="VVY6" i="67"/>
  <c r="VVX6" i="67"/>
  <c r="VVW6" i="67"/>
  <c r="VVV6" i="67"/>
  <c r="VVU6" i="67"/>
  <c r="VVT6" i="67"/>
  <c r="VVS6" i="67"/>
  <c r="VVR6" i="67"/>
  <c r="VVQ6" i="67"/>
  <c r="VVP6" i="67"/>
  <c r="VVO6" i="67"/>
  <c r="VVN6" i="67"/>
  <c r="VVM6" i="67"/>
  <c r="VVL6" i="67"/>
  <c r="VVK6" i="67"/>
  <c r="VVJ6" i="67"/>
  <c r="VVI6" i="67"/>
  <c r="VVH6" i="67"/>
  <c r="VVG6" i="67"/>
  <c r="VVF6" i="67"/>
  <c r="VVE6" i="67"/>
  <c r="VVD6" i="67"/>
  <c r="VVC6" i="67"/>
  <c r="VVB6" i="67"/>
  <c r="VVA6" i="67"/>
  <c r="VUZ6" i="67"/>
  <c r="VUY6" i="67"/>
  <c r="VUX6" i="67"/>
  <c r="VUW6" i="67"/>
  <c r="VUV6" i="67"/>
  <c r="VUU6" i="67"/>
  <c r="VUT6" i="67"/>
  <c r="VUS6" i="67"/>
  <c r="VUR6" i="67"/>
  <c r="VUQ6" i="67"/>
  <c r="VUP6" i="67"/>
  <c r="VUO6" i="67"/>
  <c r="VUN6" i="67"/>
  <c r="VUM6" i="67"/>
  <c r="VUL6" i="67"/>
  <c r="VUK6" i="67"/>
  <c r="VUJ6" i="67"/>
  <c r="VUI6" i="67"/>
  <c r="VUH6" i="67"/>
  <c r="VUG6" i="67"/>
  <c r="VUF6" i="67"/>
  <c r="VUE6" i="67"/>
  <c r="VUD6" i="67"/>
  <c r="VUC6" i="67"/>
  <c r="VUB6" i="67"/>
  <c r="VUA6" i="67"/>
  <c r="VTZ6" i="67"/>
  <c r="VTY6" i="67"/>
  <c r="VTX6" i="67"/>
  <c r="VTW6" i="67"/>
  <c r="VTV6" i="67"/>
  <c r="VTU6" i="67"/>
  <c r="VTT6" i="67"/>
  <c r="VTS6" i="67"/>
  <c r="VTR6" i="67"/>
  <c r="VTQ6" i="67"/>
  <c r="VTP6" i="67"/>
  <c r="VTO6" i="67"/>
  <c r="VTN6" i="67"/>
  <c r="VTM6" i="67"/>
  <c r="VTL6" i="67"/>
  <c r="VTK6" i="67"/>
  <c r="VTJ6" i="67"/>
  <c r="VTI6" i="67"/>
  <c r="VTH6" i="67"/>
  <c r="VTG6" i="67"/>
  <c r="VTF6" i="67"/>
  <c r="VTE6" i="67"/>
  <c r="VTD6" i="67"/>
  <c r="VTC6" i="67"/>
  <c r="VTB6" i="67"/>
  <c r="VTA6" i="67"/>
  <c r="VSZ6" i="67"/>
  <c r="VSY6" i="67"/>
  <c r="VSX6" i="67"/>
  <c r="VSW6" i="67"/>
  <c r="VSV6" i="67"/>
  <c r="VSU6" i="67"/>
  <c r="VST6" i="67"/>
  <c r="VSS6" i="67"/>
  <c r="VSR6" i="67"/>
  <c r="VSQ6" i="67"/>
  <c r="VSP6" i="67"/>
  <c r="VSO6" i="67"/>
  <c r="VSN6" i="67"/>
  <c r="VSM6" i="67"/>
  <c r="VSL6" i="67"/>
  <c r="VSK6" i="67"/>
  <c r="VSJ6" i="67"/>
  <c r="VSI6" i="67"/>
  <c r="VSH6" i="67"/>
  <c r="VSG6" i="67"/>
  <c r="VSF6" i="67"/>
  <c r="VSE6" i="67"/>
  <c r="VSD6" i="67"/>
  <c r="VSC6" i="67"/>
  <c r="VSB6" i="67"/>
  <c r="VSA6" i="67"/>
  <c r="VRZ6" i="67"/>
  <c r="VRY6" i="67"/>
  <c r="VRX6" i="67"/>
  <c r="VRW6" i="67"/>
  <c r="VRV6" i="67"/>
  <c r="VRU6" i="67"/>
  <c r="VRT6" i="67"/>
  <c r="VRS6" i="67"/>
  <c r="VRR6" i="67"/>
  <c r="VRQ6" i="67"/>
  <c r="VRP6" i="67"/>
  <c r="VRO6" i="67"/>
  <c r="VRN6" i="67"/>
  <c r="VRM6" i="67"/>
  <c r="VRL6" i="67"/>
  <c r="VRK6" i="67"/>
  <c r="VRJ6" i="67"/>
  <c r="VRI6" i="67"/>
  <c r="VRH6" i="67"/>
  <c r="VRG6" i="67"/>
  <c r="VRF6" i="67"/>
  <c r="VRE6" i="67"/>
  <c r="VRD6" i="67"/>
  <c r="VRC6" i="67"/>
  <c r="VRB6" i="67"/>
  <c r="VRA6" i="67"/>
  <c r="VQZ6" i="67"/>
  <c r="VQY6" i="67"/>
  <c r="VQX6" i="67"/>
  <c r="VQW6" i="67"/>
  <c r="VQV6" i="67"/>
  <c r="VQU6" i="67"/>
  <c r="VQT6" i="67"/>
  <c r="VQS6" i="67"/>
  <c r="VQR6" i="67"/>
  <c r="VQQ6" i="67"/>
  <c r="VQP6" i="67"/>
  <c r="VQO6" i="67"/>
  <c r="VQN6" i="67"/>
  <c r="VQM6" i="67"/>
  <c r="VQL6" i="67"/>
  <c r="VQK6" i="67"/>
  <c r="VQJ6" i="67"/>
  <c r="VQI6" i="67"/>
  <c r="VQH6" i="67"/>
  <c r="VQG6" i="67"/>
  <c r="VQF6" i="67"/>
  <c r="VQE6" i="67"/>
  <c r="VQD6" i="67"/>
  <c r="VQC6" i="67"/>
  <c r="VQB6" i="67"/>
  <c r="VQA6" i="67"/>
  <c r="VPZ6" i="67"/>
  <c r="VPY6" i="67"/>
  <c r="VPX6" i="67"/>
  <c r="VPW6" i="67"/>
  <c r="VPV6" i="67"/>
  <c r="VPU6" i="67"/>
  <c r="VPT6" i="67"/>
  <c r="VPS6" i="67"/>
  <c r="VPR6" i="67"/>
  <c r="VPQ6" i="67"/>
  <c r="VPP6" i="67"/>
  <c r="VPO6" i="67"/>
  <c r="VPN6" i="67"/>
  <c r="VPM6" i="67"/>
  <c r="VPL6" i="67"/>
  <c r="VPK6" i="67"/>
  <c r="VPJ6" i="67"/>
  <c r="VPI6" i="67"/>
  <c r="VPH6" i="67"/>
  <c r="VPG6" i="67"/>
  <c r="VPF6" i="67"/>
  <c r="VPE6" i="67"/>
  <c r="VPD6" i="67"/>
  <c r="VPC6" i="67"/>
  <c r="VPB6" i="67"/>
  <c r="VPA6" i="67"/>
  <c r="VOZ6" i="67"/>
  <c r="VOY6" i="67"/>
  <c r="VOX6" i="67"/>
  <c r="VOW6" i="67"/>
  <c r="VOV6" i="67"/>
  <c r="VOU6" i="67"/>
  <c r="VOT6" i="67"/>
  <c r="VOS6" i="67"/>
  <c r="VOR6" i="67"/>
  <c r="VOQ6" i="67"/>
  <c r="VOP6" i="67"/>
  <c r="VOO6" i="67"/>
  <c r="VON6" i="67"/>
  <c r="VOM6" i="67"/>
  <c r="VOL6" i="67"/>
  <c r="VOK6" i="67"/>
  <c r="VOJ6" i="67"/>
  <c r="VOI6" i="67"/>
  <c r="VOH6" i="67"/>
  <c r="VOG6" i="67"/>
  <c r="VOF6" i="67"/>
  <c r="VOE6" i="67"/>
  <c r="VOD6" i="67"/>
  <c r="VOC6" i="67"/>
  <c r="VOB6" i="67"/>
  <c r="VOA6" i="67"/>
  <c r="VNZ6" i="67"/>
  <c r="VNY6" i="67"/>
  <c r="VNX6" i="67"/>
  <c r="VNW6" i="67"/>
  <c r="VNV6" i="67"/>
  <c r="VNU6" i="67"/>
  <c r="VNT6" i="67"/>
  <c r="VNS6" i="67"/>
  <c r="VNR6" i="67"/>
  <c r="VNQ6" i="67"/>
  <c r="VNP6" i="67"/>
  <c r="VNO6" i="67"/>
  <c r="VNN6" i="67"/>
  <c r="VNM6" i="67"/>
  <c r="VNL6" i="67"/>
  <c r="VNK6" i="67"/>
  <c r="VNJ6" i="67"/>
  <c r="VNI6" i="67"/>
  <c r="VNH6" i="67"/>
  <c r="VNG6" i="67"/>
  <c r="VNF6" i="67"/>
  <c r="VNE6" i="67"/>
  <c r="VND6" i="67"/>
  <c r="VNC6" i="67"/>
  <c r="VNB6" i="67"/>
  <c r="VNA6" i="67"/>
  <c r="VMZ6" i="67"/>
  <c r="VMY6" i="67"/>
  <c r="VMX6" i="67"/>
  <c r="VMW6" i="67"/>
  <c r="VMV6" i="67"/>
  <c r="VMU6" i="67"/>
  <c r="VMT6" i="67"/>
  <c r="VMS6" i="67"/>
  <c r="VMR6" i="67"/>
  <c r="VMQ6" i="67"/>
  <c r="VMP6" i="67"/>
  <c r="VMO6" i="67"/>
  <c r="VMN6" i="67"/>
  <c r="VMM6" i="67"/>
  <c r="VML6" i="67"/>
  <c r="VMK6" i="67"/>
  <c r="VMJ6" i="67"/>
  <c r="VMI6" i="67"/>
  <c r="VMH6" i="67"/>
  <c r="VMG6" i="67"/>
  <c r="VMF6" i="67"/>
  <c r="VME6" i="67"/>
  <c r="VMD6" i="67"/>
  <c r="VMC6" i="67"/>
  <c r="VMB6" i="67"/>
  <c r="VMA6" i="67"/>
  <c r="VLZ6" i="67"/>
  <c r="VLY6" i="67"/>
  <c r="VLX6" i="67"/>
  <c r="VLW6" i="67"/>
  <c r="VLV6" i="67"/>
  <c r="VLU6" i="67"/>
  <c r="VLT6" i="67"/>
  <c r="VLS6" i="67"/>
  <c r="VLR6" i="67"/>
  <c r="VLQ6" i="67"/>
  <c r="VLP6" i="67"/>
  <c r="VLO6" i="67"/>
  <c r="VLN6" i="67"/>
  <c r="VLM6" i="67"/>
  <c r="VLL6" i="67"/>
  <c r="VLK6" i="67"/>
  <c r="VLJ6" i="67"/>
  <c r="VLI6" i="67"/>
  <c r="VLH6" i="67"/>
  <c r="VLG6" i="67"/>
  <c r="VLF6" i="67"/>
  <c r="VLE6" i="67"/>
  <c r="VLD6" i="67"/>
  <c r="VLC6" i="67"/>
  <c r="VLB6" i="67"/>
  <c r="VLA6" i="67"/>
  <c r="VKZ6" i="67"/>
  <c r="VKY6" i="67"/>
  <c r="VKX6" i="67"/>
  <c r="VKW6" i="67"/>
  <c r="VKV6" i="67"/>
  <c r="VKU6" i="67"/>
  <c r="VKT6" i="67"/>
  <c r="VKS6" i="67"/>
  <c r="VKR6" i="67"/>
  <c r="VKQ6" i="67"/>
  <c r="VKP6" i="67"/>
  <c r="VKO6" i="67"/>
  <c r="VKN6" i="67"/>
  <c r="VKM6" i="67"/>
  <c r="VKL6" i="67"/>
  <c r="VKK6" i="67"/>
  <c r="VKJ6" i="67"/>
  <c r="VKI6" i="67"/>
  <c r="VKH6" i="67"/>
  <c r="VKG6" i="67"/>
  <c r="VKF6" i="67"/>
  <c r="VKE6" i="67"/>
  <c r="VKD6" i="67"/>
  <c r="VKC6" i="67"/>
  <c r="VKB6" i="67"/>
  <c r="VKA6" i="67"/>
  <c r="VJZ6" i="67"/>
  <c r="VJY6" i="67"/>
  <c r="VJX6" i="67"/>
  <c r="VJW6" i="67"/>
  <c r="VJV6" i="67"/>
  <c r="VJU6" i="67"/>
  <c r="VJT6" i="67"/>
  <c r="VJS6" i="67"/>
  <c r="VJR6" i="67"/>
  <c r="VJQ6" i="67"/>
  <c r="VJP6" i="67"/>
  <c r="VJO6" i="67"/>
  <c r="VJN6" i="67"/>
  <c r="VJM6" i="67"/>
  <c r="VJL6" i="67"/>
  <c r="VJK6" i="67"/>
  <c r="VJJ6" i="67"/>
  <c r="VJI6" i="67"/>
  <c r="VJH6" i="67"/>
  <c r="VJG6" i="67"/>
  <c r="VJF6" i="67"/>
  <c r="VJE6" i="67"/>
  <c r="VJD6" i="67"/>
  <c r="VJC6" i="67"/>
  <c r="VJB6" i="67"/>
  <c r="VJA6" i="67"/>
  <c r="VIZ6" i="67"/>
  <c r="VIY6" i="67"/>
  <c r="VIX6" i="67"/>
  <c r="VIW6" i="67"/>
  <c r="VIV6" i="67"/>
  <c r="VIU6" i="67"/>
  <c r="VIT6" i="67"/>
  <c r="VIS6" i="67"/>
  <c r="VIR6" i="67"/>
  <c r="VIQ6" i="67"/>
  <c r="VIP6" i="67"/>
  <c r="VIO6" i="67"/>
  <c r="VIN6" i="67"/>
  <c r="VIM6" i="67"/>
  <c r="VIL6" i="67"/>
  <c r="VIK6" i="67"/>
  <c r="VIJ6" i="67"/>
  <c r="VII6" i="67"/>
  <c r="VIH6" i="67"/>
  <c r="VIG6" i="67"/>
  <c r="VIF6" i="67"/>
  <c r="VIE6" i="67"/>
  <c r="VID6" i="67"/>
  <c r="VIC6" i="67"/>
  <c r="VIB6" i="67"/>
  <c r="VIA6" i="67"/>
  <c r="VHZ6" i="67"/>
  <c r="VHY6" i="67"/>
  <c r="VHX6" i="67"/>
  <c r="VHW6" i="67"/>
  <c r="VHV6" i="67"/>
  <c r="VHU6" i="67"/>
  <c r="VHT6" i="67"/>
  <c r="VHS6" i="67"/>
  <c r="VHR6" i="67"/>
  <c r="VHQ6" i="67"/>
  <c r="VHP6" i="67"/>
  <c r="VHO6" i="67"/>
  <c r="VHN6" i="67"/>
  <c r="VHM6" i="67"/>
  <c r="VHL6" i="67"/>
  <c r="VHK6" i="67"/>
  <c r="VHJ6" i="67"/>
  <c r="VHI6" i="67"/>
  <c r="VHH6" i="67"/>
  <c r="VHG6" i="67"/>
  <c r="VHF6" i="67"/>
  <c r="VHE6" i="67"/>
  <c r="VHD6" i="67"/>
  <c r="VHC6" i="67"/>
  <c r="VHB6" i="67"/>
  <c r="VHA6" i="67"/>
  <c r="VGZ6" i="67"/>
  <c r="VGY6" i="67"/>
  <c r="VGX6" i="67"/>
  <c r="VGW6" i="67"/>
  <c r="VGV6" i="67"/>
  <c r="VGU6" i="67"/>
  <c r="VGT6" i="67"/>
  <c r="VGS6" i="67"/>
  <c r="VGR6" i="67"/>
  <c r="VGQ6" i="67"/>
  <c r="VGP6" i="67"/>
  <c r="VGO6" i="67"/>
  <c r="VGN6" i="67"/>
  <c r="VGM6" i="67"/>
  <c r="VGL6" i="67"/>
  <c r="VGK6" i="67"/>
  <c r="VGJ6" i="67"/>
  <c r="VGI6" i="67"/>
  <c r="VGH6" i="67"/>
  <c r="VGG6" i="67"/>
  <c r="VGF6" i="67"/>
  <c r="VGE6" i="67"/>
  <c r="VGD6" i="67"/>
  <c r="VGC6" i="67"/>
  <c r="VGB6" i="67"/>
  <c r="VGA6" i="67"/>
  <c r="VFZ6" i="67"/>
  <c r="VFY6" i="67"/>
  <c r="VFX6" i="67"/>
  <c r="VFW6" i="67"/>
  <c r="VFV6" i="67"/>
  <c r="VFU6" i="67"/>
  <c r="VFT6" i="67"/>
  <c r="VFS6" i="67"/>
  <c r="VFR6" i="67"/>
  <c r="VFQ6" i="67"/>
  <c r="VFP6" i="67"/>
  <c r="VFO6" i="67"/>
  <c r="VFN6" i="67"/>
  <c r="VFM6" i="67"/>
  <c r="VFL6" i="67"/>
  <c r="VFK6" i="67"/>
  <c r="VFJ6" i="67"/>
  <c r="VFI6" i="67"/>
  <c r="VFH6" i="67"/>
  <c r="VFG6" i="67"/>
  <c r="VFF6" i="67"/>
  <c r="VFE6" i="67"/>
  <c r="VFD6" i="67"/>
  <c r="VFC6" i="67"/>
  <c r="VFB6" i="67"/>
  <c r="VFA6" i="67"/>
  <c r="VEZ6" i="67"/>
  <c r="VEY6" i="67"/>
  <c r="VEX6" i="67"/>
  <c r="VEW6" i="67"/>
  <c r="VEV6" i="67"/>
  <c r="VEU6" i="67"/>
  <c r="VET6" i="67"/>
  <c r="VES6" i="67"/>
  <c r="VER6" i="67"/>
  <c r="VEQ6" i="67"/>
  <c r="VEP6" i="67"/>
  <c r="VEO6" i="67"/>
  <c r="VEN6" i="67"/>
  <c r="VEM6" i="67"/>
  <c r="VEL6" i="67"/>
  <c r="VEK6" i="67"/>
  <c r="VEJ6" i="67"/>
  <c r="VEI6" i="67"/>
  <c r="VEH6" i="67"/>
  <c r="VEG6" i="67"/>
  <c r="VEF6" i="67"/>
  <c r="VEE6" i="67"/>
  <c r="VED6" i="67"/>
  <c r="VEC6" i="67"/>
  <c r="VEB6" i="67"/>
  <c r="VEA6" i="67"/>
  <c r="VDZ6" i="67"/>
  <c r="VDY6" i="67"/>
  <c r="VDX6" i="67"/>
  <c r="VDW6" i="67"/>
  <c r="VDV6" i="67"/>
  <c r="VDU6" i="67"/>
  <c r="VDT6" i="67"/>
  <c r="VDS6" i="67"/>
  <c r="VDR6" i="67"/>
  <c r="VDQ6" i="67"/>
  <c r="VDP6" i="67"/>
  <c r="VDO6" i="67"/>
  <c r="VDN6" i="67"/>
  <c r="VDM6" i="67"/>
  <c r="VDL6" i="67"/>
  <c r="VDK6" i="67"/>
  <c r="VDJ6" i="67"/>
  <c r="VDI6" i="67"/>
  <c r="VDH6" i="67"/>
  <c r="VDG6" i="67"/>
  <c r="VDF6" i="67"/>
  <c r="VDE6" i="67"/>
  <c r="VDD6" i="67"/>
  <c r="VDC6" i="67"/>
  <c r="VDB6" i="67"/>
  <c r="VDA6" i="67"/>
  <c r="VCZ6" i="67"/>
  <c r="VCY6" i="67"/>
  <c r="VCX6" i="67"/>
  <c r="VCW6" i="67"/>
  <c r="VCV6" i="67"/>
  <c r="VCU6" i="67"/>
  <c r="VCT6" i="67"/>
  <c r="VCS6" i="67"/>
  <c r="VCR6" i="67"/>
  <c r="VCQ6" i="67"/>
  <c r="VCP6" i="67"/>
  <c r="VCO6" i="67"/>
  <c r="VCN6" i="67"/>
  <c r="VCM6" i="67"/>
  <c r="VCL6" i="67"/>
  <c r="VCK6" i="67"/>
  <c r="VCJ6" i="67"/>
  <c r="VCI6" i="67"/>
  <c r="VCH6" i="67"/>
  <c r="VCG6" i="67"/>
  <c r="VCF6" i="67"/>
  <c r="VCE6" i="67"/>
  <c r="VCD6" i="67"/>
  <c r="VCC6" i="67"/>
  <c r="VCB6" i="67"/>
  <c r="VCA6" i="67"/>
  <c r="VBZ6" i="67"/>
  <c r="VBY6" i="67"/>
  <c r="VBX6" i="67"/>
  <c r="VBW6" i="67"/>
  <c r="VBV6" i="67"/>
  <c r="VBU6" i="67"/>
  <c r="VBT6" i="67"/>
  <c r="VBS6" i="67"/>
  <c r="VBR6" i="67"/>
  <c r="VBQ6" i="67"/>
  <c r="VBP6" i="67"/>
  <c r="VBO6" i="67"/>
  <c r="VBN6" i="67"/>
  <c r="VBM6" i="67"/>
  <c r="VBL6" i="67"/>
  <c r="VBK6" i="67"/>
  <c r="VBJ6" i="67"/>
  <c r="VBI6" i="67"/>
  <c r="VBH6" i="67"/>
  <c r="VBG6" i="67"/>
  <c r="VBF6" i="67"/>
  <c r="VBE6" i="67"/>
  <c r="VBD6" i="67"/>
  <c r="VBC6" i="67"/>
  <c r="VBB6" i="67"/>
  <c r="VBA6" i="67"/>
  <c r="VAZ6" i="67"/>
  <c r="VAY6" i="67"/>
  <c r="VAX6" i="67"/>
  <c r="VAW6" i="67"/>
  <c r="VAV6" i="67"/>
  <c r="VAU6" i="67"/>
  <c r="VAT6" i="67"/>
  <c r="VAS6" i="67"/>
  <c r="VAR6" i="67"/>
  <c r="VAQ6" i="67"/>
  <c r="VAP6" i="67"/>
  <c r="VAO6" i="67"/>
  <c r="VAN6" i="67"/>
  <c r="VAM6" i="67"/>
  <c r="VAL6" i="67"/>
  <c r="VAK6" i="67"/>
  <c r="VAJ6" i="67"/>
  <c r="VAI6" i="67"/>
  <c r="VAH6" i="67"/>
  <c r="VAG6" i="67"/>
  <c r="VAF6" i="67"/>
  <c r="VAE6" i="67"/>
  <c r="VAD6" i="67"/>
  <c r="VAC6" i="67"/>
  <c r="VAB6" i="67"/>
  <c r="VAA6" i="67"/>
  <c r="UZZ6" i="67"/>
  <c r="UZY6" i="67"/>
  <c r="UZX6" i="67"/>
  <c r="UZW6" i="67"/>
  <c r="UZV6" i="67"/>
  <c r="UZU6" i="67"/>
  <c r="UZT6" i="67"/>
  <c r="UZS6" i="67"/>
  <c r="UZR6" i="67"/>
  <c r="UZQ6" i="67"/>
  <c r="UZP6" i="67"/>
  <c r="UZO6" i="67"/>
  <c r="UZN6" i="67"/>
  <c r="UZM6" i="67"/>
  <c r="UZL6" i="67"/>
  <c r="UZK6" i="67"/>
  <c r="UZJ6" i="67"/>
  <c r="UZI6" i="67"/>
  <c r="UZH6" i="67"/>
  <c r="UZG6" i="67"/>
  <c r="UZF6" i="67"/>
  <c r="UZE6" i="67"/>
  <c r="UZD6" i="67"/>
  <c r="UZC6" i="67"/>
  <c r="UZB6" i="67"/>
  <c r="UZA6" i="67"/>
  <c r="UYZ6" i="67"/>
  <c r="UYY6" i="67"/>
  <c r="UYX6" i="67"/>
  <c r="UYW6" i="67"/>
  <c r="UYV6" i="67"/>
  <c r="UYU6" i="67"/>
  <c r="UYT6" i="67"/>
  <c r="UYS6" i="67"/>
  <c r="UYR6" i="67"/>
  <c r="UYQ6" i="67"/>
  <c r="UYP6" i="67"/>
  <c r="UYO6" i="67"/>
  <c r="UYN6" i="67"/>
  <c r="UYM6" i="67"/>
  <c r="UYL6" i="67"/>
  <c r="UYK6" i="67"/>
  <c r="UYJ6" i="67"/>
  <c r="UYI6" i="67"/>
  <c r="UYH6" i="67"/>
  <c r="UYG6" i="67"/>
  <c r="UYF6" i="67"/>
  <c r="UYE6" i="67"/>
  <c r="UYD6" i="67"/>
  <c r="UYC6" i="67"/>
  <c r="UYB6" i="67"/>
  <c r="UYA6" i="67"/>
  <c r="UXZ6" i="67"/>
  <c r="UXY6" i="67"/>
  <c r="UXX6" i="67"/>
  <c r="UXW6" i="67"/>
  <c r="UXV6" i="67"/>
  <c r="UXU6" i="67"/>
  <c r="UXT6" i="67"/>
  <c r="UXS6" i="67"/>
  <c r="UXR6" i="67"/>
  <c r="UXQ6" i="67"/>
  <c r="UXP6" i="67"/>
  <c r="UXO6" i="67"/>
  <c r="UXN6" i="67"/>
  <c r="UXM6" i="67"/>
  <c r="UXL6" i="67"/>
  <c r="UXK6" i="67"/>
  <c r="UXJ6" i="67"/>
  <c r="UXI6" i="67"/>
  <c r="UXH6" i="67"/>
  <c r="UXG6" i="67"/>
  <c r="UXF6" i="67"/>
  <c r="UXE6" i="67"/>
  <c r="UXD6" i="67"/>
  <c r="UXC6" i="67"/>
  <c r="UXB6" i="67"/>
  <c r="UXA6" i="67"/>
  <c r="UWZ6" i="67"/>
  <c r="UWY6" i="67"/>
  <c r="UWX6" i="67"/>
  <c r="UWW6" i="67"/>
  <c r="UWV6" i="67"/>
  <c r="UWU6" i="67"/>
  <c r="UWT6" i="67"/>
  <c r="UWS6" i="67"/>
  <c r="UWR6" i="67"/>
  <c r="UWQ6" i="67"/>
  <c r="UWP6" i="67"/>
  <c r="UWO6" i="67"/>
  <c r="UWN6" i="67"/>
  <c r="UWM6" i="67"/>
  <c r="UWL6" i="67"/>
  <c r="UWK6" i="67"/>
  <c r="UWJ6" i="67"/>
  <c r="UWI6" i="67"/>
  <c r="UWH6" i="67"/>
  <c r="UWG6" i="67"/>
  <c r="UWF6" i="67"/>
  <c r="UWE6" i="67"/>
  <c r="UWD6" i="67"/>
  <c r="UWC6" i="67"/>
  <c r="UWB6" i="67"/>
  <c r="UWA6" i="67"/>
  <c r="UVZ6" i="67"/>
  <c r="UVY6" i="67"/>
  <c r="UVX6" i="67"/>
  <c r="UVW6" i="67"/>
  <c r="UVV6" i="67"/>
  <c r="UVU6" i="67"/>
  <c r="UVT6" i="67"/>
  <c r="UVS6" i="67"/>
  <c r="UVR6" i="67"/>
  <c r="UVQ6" i="67"/>
  <c r="UVP6" i="67"/>
  <c r="UVO6" i="67"/>
  <c r="UVN6" i="67"/>
  <c r="UVM6" i="67"/>
  <c r="UVL6" i="67"/>
  <c r="UVK6" i="67"/>
  <c r="UVJ6" i="67"/>
  <c r="UVI6" i="67"/>
  <c r="UVH6" i="67"/>
  <c r="UVG6" i="67"/>
  <c r="UVF6" i="67"/>
  <c r="UVE6" i="67"/>
  <c r="UVD6" i="67"/>
  <c r="UVC6" i="67"/>
  <c r="UVB6" i="67"/>
  <c r="UVA6" i="67"/>
  <c r="UUZ6" i="67"/>
  <c r="UUY6" i="67"/>
  <c r="UUX6" i="67"/>
  <c r="UUW6" i="67"/>
  <c r="UUV6" i="67"/>
  <c r="UUU6" i="67"/>
  <c r="UUT6" i="67"/>
  <c r="UUS6" i="67"/>
  <c r="UUR6" i="67"/>
  <c r="UUQ6" i="67"/>
  <c r="UUP6" i="67"/>
  <c r="UUO6" i="67"/>
  <c r="UUN6" i="67"/>
  <c r="UUM6" i="67"/>
  <c r="UUL6" i="67"/>
  <c r="UUK6" i="67"/>
  <c r="UUJ6" i="67"/>
  <c r="UUI6" i="67"/>
  <c r="UUH6" i="67"/>
  <c r="UUG6" i="67"/>
  <c r="UUF6" i="67"/>
  <c r="UUE6" i="67"/>
  <c r="UUD6" i="67"/>
  <c r="UUC6" i="67"/>
  <c r="UUB6" i="67"/>
  <c r="UUA6" i="67"/>
  <c r="UTZ6" i="67"/>
  <c r="UTY6" i="67"/>
  <c r="UTX6" i="67"/>
  <c r="UTW6" i="67"/>
  <c r="UTV6" i="67"/>
  <c r="UTU6" i="67"/>
  <c r="UTT6" i="67"/>
  <c r="UTS6" i="67"/>
  <c r="UTR6" i="67"/>
  <c r="UTQ6" i="67"/>
  <c r="UTP6" i="67"/>
  <c r="UTO6" i="67"/>
  <c r="UTN6" i="67"/>
  <c r="UTM6" i="67"/>
  <c r="UTL6" i="67"/>
  <c r="UTK6" i="67"/>
  <c r="UTJ6" i="67"/>
  <c r="UTI6" i="67"/>
  <c r="UTH6" i="67"/>
  <c r="UTG6" i="67"/>
  <c r="UTF6" i="67"/>
  <c r="UTE6" i="67"/>
  <c r="UTD6" i="67"/>
  <c r="UTC6" i="67"/>
  <c r="UTB6" i="67"/>
  <c r="UTA6" i="67"/>
  <c r="USZ6" i="67"/>
  <c r="USY6" i="67"/>
  <c r="USX6" i="67"/>
  <c r="USW6" i="67"/>
  <c r="USV6" i="67"/>
  <c r="USU6" i="67"/>
  <c r="UST6" i="67"/>
  <c r="USS6" i="67"/>
  <c r="USR6" i="67"/>
  <c r="USQ6" i="67"/>
  <c r="USP6" i="67"/>
  <c r="USO6" i="67"/>
  <c r="USN6" i="67"/>
  <c r="USM6" i="67"/>
  <c r="USL6" i="67"/>
  <c r="USK6" i="67"/>
  <c r="USJ6" i="67"/>
  <c r="USI6" i="67"/>
  <c r="USH6" i="67"/>
  <c r="USG6" i="67"/>
  <c r="USF6" i="67"/>
  <c r="USE6" i="67"/>
  <c r="USD6" i="67"/>
  <c r="USC6" i="67"/>
  <c r="USB6" i="67"/>
  <c r="USA6" i="67"/>
  <c r="URZ6" i="67"/>
  <c r="URY6" i="67"/>
  <c r="URX6" i="67"/>
  <c r="URW6" i="67"/>
  <c r="URV6" i="67"/>
  <c r="URU6" i="67"/>
  <c r="URT6" i="67"/>
  <c r="URS6" i="67"/>
  <c r="URR6" i="67"/>
  <c r="URQ6" i="67"/>
  <c r="URP6" i="67"/>
  <c r="URO6" i="67"/>
  <c r="URN6" i="67"/>
  <c r="URM6" i="67"/>
  <c r="URL6" i="67"/>
  <c r="URK6" i="67"/>
  <c r="URJ6" i="67"/>
  <c r="URI6" i="67"/>
  <c r="URH6" i="67"/>
  <c r="URG6" i="67"/>
  <c r="URF6" i="67"/>
  <c r="URE6" i="67"/>
  <c r="URD6" i="67"/>
  <c r="URC6" i="67"/>
  <c r="URB6" i="67"/>
  <c r="URA6" i="67"/>
  <c r="UQZ6" i="67"/>
  <c r="UQY6" i="67"/>
  <c r="UQX6" i="67"/>
  <c r="UQW6" i="67"/>
  <c r="UQV6" i="67"/>
  <c r="UQU6" i="67"/>
  <c r="UQT6" i="67"/>
  <c r="UQS6" i="67"/>
  <c r="UQR6" i="67"/>
  <c r="UQQ6" i="67"/>
  <c r="UQP6" i="67"/>
  <c r="UQO6" i="67"/>
  <c r="UQN6" i="67"/>
  <c r="UQM6" i="67"/>
  <c r="UQL6" i="67"/>
  <c r="UQK6" i="67"/>
  <c r="UQJ6" i="67"/>
  <c r="UQI6" i="67"/>
  <c r="UQH6" i="67"/>
  <c r="UQG6" i="67"/>
  <c r="UQF6" i="67"/>
  <c r="UQE6" i="67"/>
  <c r="UQD6" i="67"/>
  <c r="UQC6" i="67"/>
  <c r="UQB6" i="67"/>
  <c r="UQA6" i="67"/>
  <c r="UPZ6" i="67"/>
  <c r="UPY6" i="67"/>
  <c r="UPX6" i="67"/>
  <c r="UPW6" i="67"/>
  <c r="UPV6" i="67"/>
  <c r="UPU6" i="67"/>
  <c r="UPT6" i="67"/>
  <c r="UPS6" i="67"/>
  <c r="UPR6" i="67"/>
  <c r="UPQ6" i="67"/>
  <c r="UPP6" i="67"/>
  <c r="UPO6" i="67"/>
  <c r="UPN6" i="67"/>
  <c r="UPM6" i="67"/>
  <c r="UPL6" i="67"/>
  <c r="UPK6" i="67"/>
  <c r="UPJ6" i="67"/>
  <c r="UPI6" i="67"/>
  <c r="UPH6" i="67"/>
  <c r="UPG6" i="67"/>
  <c r="UPF6" i="67"/>
  <c r="UPE6" i="67"/>
  <c r="UPD6" i="67"/>
  <c r="UPC6" i="67"/>
  <c r="UPB6" i="67"/>
  <c r="UPA6" i="67"/>
  <c r="UOZ6" i="67"/>
  <c r="UOY6" i="67"/>
  <c r="UOX6" i="67"/>
  <c r="UOW6" i="67"/>
  <c r="UOV6" i="67"/>
  <c r="UOU6" i="67"/>
  <c r="UOT6" i="67"/>
  <c r="UOS6" i="67"/>
  <c r="UOR6" i="67"/>
  <c r="UOQ6" i="67"/>
  <c r="UOP6" i="67"/>
  <c r="UOO6" i="67"/>
  <c r="UON6" i="67"/>
  <c r="UOM6" i="67"/>
  <c r="UOL6" i="67"/>
  <c r="UOK6" i="67"/>
  <c r="UOJ6" i="67"/>
  <c r="UOI6" i="67"/>
  <c r="UOH6" i="67"/>
  <c r="UOG6" i="67"/>
  <c r="UOF6" i="67"/>
  <c r="UOE6" i="67"/>
  <c r="UOD6" i="67"/>
  <c r="UOC6" i="67"/>
  <c r="UOB6" i="67"/>
  <c r="UOA6" i="67"/>
  <c r="UNZ6" i="67"/>
  <c r="UNY6" i="67"/>
  <c r="UNX6" i="67"/>
  <c r="UNW6" i="67"/>
  <c r="UNV6" i="67"/>
  <c r="UNU6" i="67"/>
  <c r="UNT6" i="67"/>
  <c r="UNS6" i="67"/>
  <c r="UNR6" i="67"/>
  <c r="UNQ6" i="67"/>
  <c r="UNP6" i="67"/>
  <c r="UNO6" i="67"/>
  <c r="UNN6" i="67"/>
  <c r="UNM6" i="67"/>
  <c r="UNL6" i="67"/>
  <c r="UNK6" i="67"/>
  <c r="UNJ6" i="67"/>
  <c r="UNI6" i="67"/>
  <c r="UNH6" i="67"/>
  <c r="UNG6" i="67"/>
  <c r="UNF6" i="67"/>
  <c r="UNE6" i="67"/>
  <c r="UND6" i="67"/>
  <c r="UNC6" i="67"/>
  <c r="UNB6" i="67"/>
  <c r="UNA6" i="67"/>
  <c r="UMZ6" i="67"/>
  <c r="UMY6" i="67"/>
  <c r="UMX6" i="67"/>
  <c r="UMW6" i="67"/>
  <c r="UMV6" i="67"/>
  <c r="UMU6" i="67"/>
  <c r="UMT6" i="67"/>
  <c r="UMS6" i="67"/>
  <c r="UMR6" i="67"/>
  <c r="UMQ6" i="67"/>
  <c r="UMP6" i="67"/>
  <c r="UMO6" i="67"/>
  <c r="UMN6" i="67"/>
  <c r="UMM6" i="67"/>
  <c r="UML6" i="67"/>
  <c r="UMK6" i="67"/>
  <c r="UMJ6" i="67"/>
  <c r="UMI6" i="67"/>
  <c r="UMH6" i="67"/>
  <c r="UMG6" i="67"/>
  <c r="UMF6" i="67"/>
  <c r="UME6" i="67"/>
  <c r="UMD6" i="67"/>
  <c r="UMC6" i="67"/>
  <c r="UMB6" i="67"/>
  <c r="UMA6" i="67"/>
  <c r="ULZ6" i="67"/>
  <c r="ULY6" i="67"/>
  <c r="ULX6" i="67"/>
  <c r="ULW6" i="67"/>
  <c r="ULV6" i="67"/>
  <c r="ULU6" i="67"/>
  <c r="ULT6" i="67"/>
  <c r="ULS6" i="67"/>
  <c r="ULR6" i="67"/>
  <c r="ULQ6" i="67"/>
  <c r="ULP6" i="67"/>
  <c r="ULO6" i="67"/>
  <c r="ULN6" i="67"/>
  <c r="ULM6" i="67"/>
  <c r="ULL6" i="67"/>
  <c r="ULK6" i="67"/>
  <c r="ULJ6" i="67"/>
  <c r="ULI6" i="67"/>
  <c r="ULH6" i="67"/>
  <c r="ULG6" i="67"/>
  <c r="ULF6" i="67"/>
  <c r="ULE6" i="67"/>
  <c r="ULD6" i="67"/>
  <c r="ULC6" i="67"/>
  <c r="ULB6" i="67"/>
  <c r="ULA6" i="67"/>
  <c r="UKZ6" i="67"/>
  <c r="UKY6" i="67"/>
  <c r="UKX6" i="67"/>
  <c r="UKW6" i="67"/>
  <c r="UKV6" i="67"/>
  <c r="UKU6" i="67"/>
  <c r="UKT6" i="67"/>
  <c r="UKS6" i="67"/>
  <c r="UKR6" i="67"/>
  <c r="UKQ6" i="67"/>
  <c r="UKP6" i="67"/>
  <c r="UKO6" i="67"/>
  <c r="UKN6" i="67"/>
  <c r="UKM6" i="67"/>
  <c r="UKL6" i="67"/>
  <c r="UKK6" i="67"/>
  <c r="UKJ6" i="67"/>
  <c r="UKI6" i="67"/>
  <c r="UKH6" i="67"/>
  <c r="UKG6" i="67"/>
  <c r="UKF6" i="67"/>
  <c r="UKE6" i="67"/>
  <c r="UKD6" i="67"/>
  <c r="UKC6" i="67"/>
  <c r="UKB6" i="67"/>
  <c r="UKA6" i="67"/>
  <c r="UJZ6" i="67"/>
  <c r="UJY6" i="67"/>
  <c r="UJX6" i="67"/>
  <c r="UJW6" i="67"/>
  <c r="UJV6" i="67"/>
  <c r="UJU6" i="67"/>
  <c r="UJT6" i="67"/>
  <c r="UJS6" i="67"/>
  <c r="UJR6" i="67"/>
  <c r="UJQ6" i="67"/>
  <c r="UJP6" i="67"/>
  <c r="UJO6" i="67"/>
  <c r="UJN6" i="67"/>
  <c r="UJM6" i="67"/>
  <c r="UJL6" i="67"/>
  <c r="UJK6" i="67"/>
  <c r="UJJ6" i="67"/>
  <c r="UJI6" i="67"/>
  <c r="UJH6" i="67"/>
  <c r="UJG6" i="67"/>
  <c r="UJF6" i="67"/>
  <c r="UJE6" i="67"/>
  <c r="UJD6" i="67"/>
  <c r="UJC6" i="67"/>
  <c r="UJB6" i="67"/>
  <c r="UJA6" i="67"/>
  <c r="UIZ6" i="67"/>
  <c r="UIY6" i="67"/>
  <c r="UIX6" i="67"/>
  <c r="UIW6" i="67"/>
  <c r="UIV6" i="67"/>
  <c r="UIU6" i="67"/>
  <c r="UIT6" i="67"/>
  <c r="UIS6" i="67"/>
  <c r="UIR6" i="67"/>
  <c r="UIQ6" i="67"/>
  <c r="UIP6" i="67"/>
  <c r="UIO6" i="67"/>
  <c r="UIN6" i="67"/>
  <c r="UIM6" i="67"/>
  <c r="UIL6" i="67"/>
  <c r="UIK6" i="67"/>
  <c r="UIJ6" i="67"/>
  <c r="UII6" i="67"/>
  <c r="UIH6" i="67"/>
  <c r="UIG6" i="67"/>
  <c r="UIF6" i="67"/>
  <c r="UIE6" i="67"/>
  <c r="UID6" i="67"/>
  <c r="UIC6" i="67"/>
  <c r="UIB6" i="67"/>
  <c r="UIA6" i="67"/>
  <c r="UHZ6" i="67"/>
  <c r="UHY6" i="67"/>
  <c r="UHX6" i="67"/>
  <c r="UHW6" i="67"/>
  <c r="UHV6" i="67"/>
  <c r="UHU6" i="67"/>
  <c r="UHT6" i="67"/>
  <c r="UHS6" i="67"/>
  <c r="UHR6" i="67"/>
  <c r="UHQ6" i="67"/>
  <c r="UHP6" i="67"/>
  <c r="UHO6" i="67"/>
  <c r="UHN6" i="67"/>
  <c r="UHM6" i="67"/>
  <c r="UHL6" i="67"/>
  <c r="UHK6" i="67"/>
  <c r="UHJ6" i="67"/>
  <c r="UHI6" i="67"/>
  <c r="UHH6" i="67"/>
  <c r="UHG6" i="67"/>
  <c r="UHF6" i="67"/>
  <c r="UHE6" i="67"/>
  <c r="UHD6" i="67"/>
  <c r="UHC6" i="67"/>
  <c r="UHB6" i="67"/>
  <c r="UHA6" i="67"/>
  <c r="UGZ6" i="67"/>
  <c r="UGY6" i="67"/>
  <c r="UGX6" i="67"/>
  <c r="UGW6" i="67"/>
  <c r="UGV6" i="67"/>
  <c r="UGU6" i="67"/>
  <c r="UGT6" i="67"/>
  <c r="UGS6" i="67"/>
  <c r="UGR6" i="67"/>
  <c r="UGQ6" i="67"/>
  <c r="UGP6" i="67"/>
  <c r="UGO6" i="67"/>
  <c r="UGN6" i="67"/>
  <c r="UGM6" i="67"/>
  <c r="UGL6" i="67"/>
  <c r="UGK6" i="67"/>
  <c r="UGJ6" i="67"/>
  <c r="UGI6" i="67"/>
  <c r="UGH6" i="67"/>
  <c r="UGG6" i="67"/>
  <c r="UGF6" i="67"/>
  <c r="UGE6" i="67"/>
  <c r="UGD6" i="67"/>
  <c r="UGC6" i="67"/>
  <c r="UGB6" i="67"/>
  <c r="UGA6" i="67"/>
  <c r="UFZ6" i="67"/>
  <c r="UFY6" i="67"/>
  <c r="UFX6" i="67"/>
  <c r="UFW6" i="67"/>
  <c r="UFV6" i="67"/>
  <c r="UFU6" i="67"/>
  <c r="UFT6" i="67"/>
  <c r="UFS6" i="67"/>
  <c r="UFR6" i="67"/>
  <c r="UFQ6" i="67"/>
  <c r="UFP6" i="67"/>
  <c r="UFO6" i="67"/>
  <c r="UFN6" i="67"/>
  <c r="UFM6" i="67"/>
  <c r="UFL6" i="67"/>
  <c r="UFK6" i="67"/>
  <c r="UFJ6" i="67"/>
  <c r="UFI6" i="67"/>
  <c r="UFH6" i="67"/>
  <c r="UFG6" i="67"/>
  <c r="UFF6" i="67"/>
  <c r="UFE6" i="67"/>
  <c r="UFD6" i="67"/>
  <c r="UFC6" i="67"/>
  <c r="UFB6" i="67"/>
  <c r="UFA6" i="67"/>
  <c r="UEZ6" i="67"/>
  <c r="UEY6" i="67"/>
  <c r="UEX6" i="67"/>
  <c r="UEW6" i="67"/>
  <c r="UEV6" i="67"/>
  <c r="UEU6" i="67"/>
  <c r="UET6" i="67"/>
  <c r="UES6" i="67"/>
  <c r="UER6" i="67"/>
  <c r="UEQ6" i="67"/>
  <c r="UEP6" i="67"/>
  <c r="UEO6" i="67"/>
  <c r="UEN6" i="67"/>
  <c r="UEM6" i="67"/>
  <c r="UEL6" i="67"/>
  <c r="UEK6" i="67"/>
  <c r="UEJ6" i="67"/>
  <c r="UEI6" i="67"/>
  <c r="UEH6" i="67"/>
  <c r="UEG6" i="67"/>
  <c r="UEF6" i="67"/>
  <c r="UEE6" i="67"/>
  <c r="UED6" i="67"/>
  <c r="UEC6" i="67"/>
  <c r="UEB6" i="67"/>
  <c r="UEA6" i="67"/>
  <c r="UDZ6" i="67"/>
  <c r="UDY6" i="67"/>
  <c r="UDX6" i="67"/>
  <c r="UDW6" i="67"/>
  <c r="UDV6" i="67"/>
  <c r="UDU6" i="67"/>
  <c r="UDT6" i="67"/>
  <c r="UDS6" i="67"/>
  <c r="UDR6" i="67"/>
  <c r="UDQ6" i="67"/>
  <c r="UDP6" i="67"/>
  <c r="UDO6" i="67"/>
  <c r="UDN6" i="67"/>
  <c r="UDM6" i="67"/>
  <c r="UDL6" i="67"/>
  <c r="UDK6" i="67"/>
  <c r="UDJ6" i="67"/>
  <c r="UDI6" i="67"/>
  <c r="UDH6" i="67"/>
  <c r="UDG6" i="67"/>
  <c r="UDF6" i="67"/>
  <c r="UDE6" i="67"/>
  <c r="UDD6" i="67"/>
  <c r="UDC6" i="67"/>
  <c r="UDB6" i="67"/>
  <c r="UDA6" i="67"/>
  <c r="UCZ6" i="67"/>
  <c r="UCY6" i="67"/>
  <c r="UCX6" i="67"/>
  <c r="UCW6" i="67"/>
  <c r="UCV6" i="67"/>
  <c r="UCU6" i="67"/>
  <c r="UCT6" i="67"/>
  <c r="UCS6" i="67"/>
  <c r="UCR6" i="67"/>
  <c r="UCQ6" i="67"/>
  <c r="UCP6" i="67"/>
  <c r="UCO6" i="67"/>
  <c r="UCN6" i="67"/>
  <c r="UCM6" i="67"/>
  <c r="UCL6" i="67"/>
  <c r="UCK6" i="67"/>
  <c r="UCJ6" i="67"/>
  <c r="UCI6" i="67"/>
  <c r="UCH6" i="67"/>
  <c r="UCG6" i="67"/>
  <c r="UCF6" i="67"/>
  <c r="UCE6" i="67"/>
  <c r="UCD6" i="67"/>
  <c r="UCC6" i="67"/>
  <c r="UCB6" i="67"/>
  <c r="UCA6" i="67"/>
  <c r="UBZ6" i="67"/>
  <c r="UBY6" i="67"/>
  <c r="UBX6" i="67"/>
  <c r="UBW6" i="67"/>
  <c r="UBV6" i="67"/>
  <c r="UBU6" i="67"/>
  <c r="UBT6" i="67"/>
  <c r="UBS6" i="67"/>
  <c r="UBR6" i="67"/>
  <c r="UBQ6" i="67"/>
  <c r="UBP6" i="67"/>
  <c r="UBO6" i="67"/>
  <c r="UBN6" i="67"/>
  <c r="UBM6" i="67"/>
  <c r="UBL6" i="67"/>
  <c r="UBK6" i="67"/>
  <c r="UBJ6" i="67"/>
  <c r="UBI6" i="67"/>
  <c r="UBH6" i="67"/>
  <c r="UBG6" i="67"/>
  <c r="UBF6" i="67"/>
  <c r="UBE6" i="67"/>
  <c r="UBD6" i="67"/>
  <c r="UBC6" i="67"/>
  <c r="UBB6" i="67"/>
  <c r="UBA6" i="67"/>
  <c r="UAZ6" i="67"/>
  <c r="UAY6" i="67"/>
  <c r="UAX6" i="67"/>
  <c r="UAW6" i="67"/>
  <c r="UAV6" i="67"/>
  <c r="UAU6" i="67"/>
  <c r="UAT6" i="67"/>
  <c r="UAS6" i="67"/>
  <c r="UAR6" i="67"/>
  <c r="UAQ6" i="67"/>
  <c r="UAP6" i="67"/>
  <c r="UAO6" i="67"/>
  <c r="UAN6" i="67"/>
  <c r="UAM6" i="67"/>
  <c r="UAL6" i="67"/>
  <c r="UAK6" i="67"/>
  <c r="UAJ6" i="67"/>
  <c r="UAI6" i="67"/>
  <c r="UAH6" i="67"/>
  <c r="UAG6" i="67"/>
  <c r="UAF6" i="67"/>
  <c r="UAE6" i="67"/>
  <c r="UAD6" i="67"/>
  <c r="UAC6" i="67"/>
  <c r="UAB6" i="67"/>
  <c r="UAA6" i="67"/>
  <c r="TZZ6" i="67"/>
  <c r="TZY6" i="67"/>
  <c r="TZX6" i="67"/>
  <c r="TZW6" i="67"/>
  <c r="TZV6" i="67"/>
  <c r="TZU6" i="67"/>
  <c r="TZT6" i="67"/>
  <c r="TZS6" i="67"/>
  <c r="TZR6" i="67"/>
  <c r="TZQ6" i="67"/>
  <c r="TZP6" i="67"/>
  <c r="TZO6" i="67"/>
  <c r="TZN6" i="67"/>
  <c r="TZM6" i="67"/>
  <c r="TZL6" i="67"/>
  <c r="TZK6" i="67"/>
  <c r="TZJ6" i="67"/>
  <c r="TZI6" i="67"/>
  <c r="TZH6" i="67"/>
  <c r="TZG6" i="67"/>
  <c r="TZF6" i="67"/>
  <c r="TZE6" i="67"/>
  <c r="TZD6" i="67"/>
  <c r="TZC6" i="67"/>
  <c r="TZB6" i="67"/>
  <c r="TZA6" i="67"/>
  <c r="TYZ6" i="67"/>
  <c r="TYY6" i="67"/>
  <c r="TYX6" i="67"/>
  <c r="TYW6" i="67"/>
  <c r="TYV6" i="67"/>
  <c r="TYU6" i="67"/>
  <c r="TYT6" i="67"/>
  <c r="TYS6" i="67"/>
  <c r="TYR6" i="67"/>
  <c r="TYQ6" i="67"/>
  <c r="TYP6" i="67"/>
  <c r="TYO6" i="67"/>
  <c r="TYN6" i="67"/>
  <c r="TYM6" i="67"/>
  <c r="TYL6" i="67"/>
  <c r="TYK6" i="67"/>
  <c r="TYJ6" i="67"/>
  <c r="TYI6" i="67"/>
  <c r="TYH6" i="67"/>
  <c r="TYG6" i="67"/>
  <c r="TYF6" i="67"/>
  <c r="TYE6" i="67"/>
  <c r="TYD6" i="67"/>
  <c r="TYC6" i="67"/>
  <c r="TYB6" i="67"/>
  <c r="TYA6" i="67"/>
  <c r="TXZ6" i="67"/>
  <c r="TXY6" i="67"/>
  <c r="TXX6" i="67"/>
  <c r="TXW6" i="67"/>
  <c r="TXV6" i="67"/>
  <c r="TXU6" i="67"/>
  <c r="TXT6" i="67"/>
  <c r="TXS6" i="67"/>
  <c r="TXR6" i="67"/>
  <c r="TXQ6" i="67"/>
  <c r="TXP6" i="67"/>
  <c r="TXO6" i="67"/>
  <c r="TXN6" i="67"/>
  <c r="TXM6" i="67"/>
  <c r="TXL6" i="67"/>
  <c r="TXK6" i="67"/>
  <c r="TXJ6" i="67"/>
  <c r="TXI6" i="67"/>
  <c r="TXH6" i="67"/>
  <c r="TXG6" i="67"/>
  <c r="TXF6" i="67"/>
  <c r="TXE6" i="67"/>
  <c r="TXD6" i="67"/>
  <c r="TXC6" i="67"/>
  <c r="TXB6" i="67"/>
  <c r="TXA6" i="67"/>
  <c r="TWZ6" i="67"/>
  <c r="TWY6" i="67"/>
  <c r="TWX6" i="67"/>
  <c r="TWW6" i="67"/>
  <c r="TWV6" i="67"/>
  <c r="TWU6" i="67"/>
  <c r="TWT6" i="67"/>
  <c r="TWS6" i="67"/>
  <c r="TWR6" i="67"/>
  <c r="TWQ6" i="67"/>
  <c r="TWP6" i="67"/>
  <c r="TWO6" i="67"/>
  <c r="TWN6" i="67"/>
  <c r="TWM6" i="67"/>
  <c r="TWL6" i="67"/>
  <c r="TWK6" i="67"/>
  <c r="TWJ6" i="67"/>
  <c r="TWI6" i="67"/>
  <c r="TWH6" i="67"/>
  <c r="TWG6" i="67"/>
  <c r="TWF6" i="67"/>
  <c r="TWE6" i="67"/>
  <c r="TWD6" i="67"/>
  <c r="TWC6" i="67"/>
  <c r="TWB6" i="67"/>
  <c r="TWA6" i="67"/>
  <c r="TVZ6" i="67"/>
  <c r="TVY6" i="67"/>
  <c r="TVX6" i="67"/>
  <c r="TVW6" i="67"/>
  <c r="TVV6" i="67"/>
  <c r="TVU6" i="67"/>
  <c r="TVT6" i="67"/>
  <c r="TVS6" i="67"/>
  <c r="TVR6" i="67"/>
  <c r="TVQ6" i="67"/>
  <c r="TVP6" i="67"/>
  <c r="TVO6" i="67"/>
  <c r="TVN6" i="67"/>
  <c r="TVM6" i="67"/>
  <c r="TVL6" i="67"/>
  <c r="TVK6" i="67"/>
  <c r="TVJ6" i="67"/>
  <c r="TVI6" i="67"/>
  <c r="TVH6" i="67"/>
  <c r="TVG6" i="67"/>
  <c r="TVF6" i="67"/>
  <c r="TVE6" i="67"/>
  <c r="TVD6" i="67"/>
  <c r="TVC6" i="67"/>
  <c r="TVB6" i="67"/>
  <c r="TVA6" i="67"/>
  <c r="TUZ6" i="67"/>
  <c r="TUY6" i="67"/>
  <c r="TUX6" i="67"/>
  <c r="TUW6" i="67"/>
  <c r="TUV6" i="67"/>
  <c r="TUU6" i="67"/>
  <c r="TUT6" i="67"/>
  <c r="TUS6" i="67"/>
  <c r="TUR6" i="67"/>
  <c r="TUQ6" i="67"/>
  <c r="TUP6" i="67"/>
  <c r="TUO6" i="67"/>
  <c r="TUN6" i="67"/>
  <c r="TUM6" i="67"/>
  <c r="TUL6" i="67"/>
  <c r="TUK6" i="67"/>
  <c r="TUJ6" i="67"/>
  <c r="TUI6" i="67"/>
  <c r="TUH6" i="67"/>
  <c r="TUG6" i="67"/>
  <c r="TUF6" i="67"/>
  <c r="TUE6" i="67"/>
  <c r="TUD6" i="67"/>
  <c r="TUC6" i="67"/>
  <c r="TUB6" i="67"/>
  <c r="TUA6" i="67"/>
  <c r="TTZ6" i="67"/>
  <c r="TTY6" i="67"/>
  <c r="TTX6" i="67"/>
  <c r="TTW6" i="67"/>
  <c r="TTV6" i="67"/>
  <c r="TTU6" i="67"/>
  <c r="TTT6" i="67"/>
  <c r="TTS6" i="67"/>
  <c r="TTR6" i="67"/>
  <c r="TTQ6" i="67"/>
  <c r="TTP6" i="67"/>
  <c r="TTO6" i="67"/>
  <c r="TTN6" i="67"/>
  <c r="TTM6" i="67"/>
  <c r="TTL6" i="67"/>
  <c r="TTK6" i="67"/>
  <c r="TTJ6" i="67"/>
  <c r="TTI6" i="67"/>
  <c r="TTH6" i="67"/>
  <c r="TTG6" i="67"/>
  <c r="TTF6" i="67"/>
  <c r="TTE6" i="67"/>
  <c r="TTD6" i="67"/>
  <c r="TTC6" i="67"/>
  <c r="TTB6" i="67"/>
  <c r="TTA6" i="67"/>
  <c r="TSZ6" i="67"/>
  <c r="TSY6" i="67"/>
  <c r="TSX6" i="67"/>
  <c r="TSW6" i="67"/>
  <c r="TSV6" i="67"/>
  <c r="TSU6" i="67"/>
  <c r="TST6" i="67"/>
  <c r="TSS6" i="67"/>
  <c r="TSR6" i="67"/>
  <c r="TSQ6" i="67"/>
  <c r="TSP6" i="67"/>
  <c r="TSO6" i="67"/>
  <c r="TSN6" i="67"/>
  <c r="TSM6" i="67"/>
  <c r="TSL6" i="67"/>
  <c r="TSK6" i="67"/>
  <c r="TSJ6" i="67"/>
  <c r="TSI6" i="67"/>
  <c r="TSH6" i="67"/>
  <c r="TSG6" i="67"/>
  <c r="TSF6" i="67"/>
  <c r="TSE6" i="67"/>
  <c r="TSD6" i="67"/>
  <c r="TSC6" i="67"/>
  <c r="TSB6" i="67"/>
  <c r="TSA6" i="67"/>
  <c r="TRZ6" i="67"/>
  <c r="TRY6" i="67"/>
  <c r="TRX6" i="67"/>
  <c r="TRW6" i="67"/>
  <c r="TRV6" i="67"/>
  <c r="TRU6" i="67"/>
  <c r="TRT6" i="67"/>
  <c r="TRS6" i="67"/>
  <c r="TRR6" i="67"/>
  <c r="TRQ6" i="67"/>
  <c r="TRP6" i="67"/>
  <c r="TRO6" i="67"/>
  <c r="TRN6" i="67"/>
  <c r="TRM6" i="67"/>
  <c r="TRL6" i="67"/>
  <c r="TRK6" i="67"/>
  <c r="TRJ6" i="67"/>
  <c r="TRI6" i="67"/>
  <c r="TRH6" i="67"/>
  <c r="TRG6" i="67"/>
  <c r="TRF6" i="67"/>
  <c r="TRE6" i="67"/>
  <c r="TRD6" i="67"/>
  <c r="TRC6" i="67"/>
  <c r="TRB6" i="67"/>
  <c r="TRA6" i="67"/>
  <c r="TQZ6" i="67"/>
  <c r="TQY6" i="67"/>
  <c r="TQX6" i="67"/>
  <c r="TQW6" i="67"/>
  <c r="TQV6" i="67"/>
  <c r="TQU6" i="67"/>
  <c r="TQT6" i="67"/>
  <c r="TQS6" i="67"/>
  <c r="TQR6" i="67"/>
  <c r="TQQ6" i="67"/>
  <c r="TQP6" i="67"/>
  <c r="TQO6" i="67"/>
  <c r="TQN6" i="67"/>
  <c r="TQM6" i="67"/>
  <c r="TQL6" i="67"/>
  <c r="TQK6" i="67"/>
  <c r="TQJ6" i="67"/>
  <c r="TQI6" i="67"/>
  <c r="TQH6" i="67"/>
  <c r="TQG6" i="67"/>
  <c r="TQF6" i="67"/>
  <c r="TQE6" i="67"/>
  <c r="TQD6" i="67"/>
  <c r="TQC6" i="67"/>
  <c r="TQB6" i="67"/>
  <c r="TQA6" i="67"/>
  <c r="TPZ6" i="67"/>
  <c r="TPY6" i="67"/>
  <c r="TPX6" i="67"/>
  <c r="TPW6" i="67"/>
  <c r="TPV6" i="67"/>
  <c r="TPU6" i="67"/>
  <c r="TPT6" i="67"/>
  <c r="TPS6" i="67"/>
  <c r="TPR6" i="67"/>
  <c r="TPQ6" i="67"/>
  <c r="TPP6" i="67"/>
  <c r="TPO6" i="67"/>
  <c r="TPN6" i="67"/>
  <c r="TPM6" i="67"/>
  <c r="TPL6" i="67"/>
  <c r="TPK6" i="67"/>
  <c r="TPJ6" i="67"/>
  <c r="TPI6" i="67"/>
  <c r="TPH6" i="67"/>
  <c r="TPG6" i="67"/>
  <c r="TPF6" i="67"/>
  <c r="TPE6" i="67"/>
  <c r="TPD6" i="67"/>
  <c r="TPC6" i="67"/>
  <c r="TPB6" i="67"/>
  <c r="TPA6" i="67"/>
  <c r="TOZ6" i="67"/>
  <c r="TOY6" i="67"/>
  <c r="TOX6" i="67"/>
  <c r="TOW6" i="67"/>
  <c r="TOV6" i="67"/>
  <c r="TOU6" i="67"/>
  <c r="TOT6" i="67"/>
  <c r="TOS6" i="67"/>
  <c r="TOR6" i="67"/>
  <c r="TOQ6" i="67"/>
  <c r="TOP6" i="67"/>
  <c r="TOO6" i="67"/>
  <c r="TON6" i="67"/>
  <c r="TOM6" i="67"/>
  <c r="TOL6" i="67"/>
  <c r="TOK6" i="67"/>
  <c r="TOJ6" i="67"/>
  <c r="TOI6" i="67"/>
  <c r="TOH6" i="67"/>
  <c r="TOG6" i="67"/>
  <c r="TOF6" i="67"/>
  <c r="TOE6" i="67"/>
  <c r="TOD6" i="67"/>
  <c r="TOC6" i="67"/>
  <c r="TOB6" i="67"/>
  <c r="TOA6" i="67"/>
  <c r="TNZ6" i="67"/>
  <c r="TNY6" i="67"/>
  <c r="TNX6" i="67"/>
  <c r="TNW6" i="67"/>
  <c r="TNV6" i="67"/>
  <c r="TNU6" i="67"/>
  <c r="TNT6" i="67"/>
  <c r="TNS6" i="67"/>
  <c r="TNR6" i="67"/>
  <c r="TNQ6" i="67"/>
  <c r="TNP6" i="67"/>
  <c r="TNO6" i="67"/>
  <c r="TNN6" i="67"/>
  <c r="TNM6" i="67"/>
  <c r="TNL6" i="67"/>
  <c r="TNK6" i="67"/>
  <c r="TNJ6" i="67"/>
  <c r="TNI6" i="67"/>
  <c r="TNH6" i="67"/>
  <c r="TNG6" i="67"/>
  <c r="TNF6" i="67"/>
  <c r="TNE6" i="67"/>
  <c r="TND6" i="67"/>
  <c r="TNC6" i="67"/>
  <c r="TNB6" i="67"/>
  <c r="TNA6" i="67"/>
  <c r="TMZ6" i="67"/>
  <c r="TMY6" i="67"/>
  <c r="TMX6" i="67"/>
  <c r="TMW6" i="67"/>
  <c r="TMV6" i="67"/>
  <c r="TMU6" i="67"/>
  <c r="TMT6" i="67"/>
  <c r="TMS6" i="67"/>
  <c r="TMR6" i="67"/>
  <c r="TMQ6" i="67"/>
  <c r="TMP6" i="67"/>
  <c r="TMO6" i="67"/>
  <c r="TMN6" i="67"/>
  <c r="TMM6" i="67"/>
  <c r="TML6" i="67"/>
  <c r="TMK6" i="67"/>
  <c r="TMJ6" i="67"/>
  <c r="TMI6" i="67"/>
  <c r="TMH6" i="67"/>
  <c r="TMG6" i="67"/>
  <c r="TMF6" i="67"/>
  <c r="TME6" i="67"/>
  <c r="TMD6" i="67"/>
  <c r="TMC6" i="67"/>
  <c r="TMB6" i="67"/>
  <c r="TMA6" i="67"/>
  <c r="TLZ6" i="67"/>
  <c r="TLY6" i="67"/>
  <c r="TLX6" i="67"/>
  <c r="TLW6" i="67"/>
  <c r="TLV6" i="67"/>
  <c r="TLU6" i="67"/>
  <c r="TLT6" i="67"/>
  <c r="TLS6" i="67"/>
  <c r="TLR6" i="67"/>
  <c r="TLQ6" i="67"/>
  <c r="TLP6" i="67"/>
  <c r="TLO6" i="67"/>
  <c r="TLN6" i="67"/>
  <c r="TLM6" i="67"/>
  <c r="TLL6" i="67"/>
  <c r="TLK6" i="67"/>
  <c r="TLJ6" i="67"/>
  <c r="TLI6" i="67"/>
  <c r="TLH6" i="67"/>
  <c r="TLG6" i="67"/>
  <c r="TLF6" i="67"/>
  <c r="TLE6" i="67"/>
  <c r="TLD6" i="67"/>
  <c r="TLC6" i="67"/>
  <c r="TLB6" i="67"/>
  <c r="TLA6" i="67"/>
  <c r="TKZ6" i="67"/>
  <c r="TKY6" i="67"/>
  <c r="TKX6" i="67"/>
  <c r="TKW6" i="67"/>
  <c r="TKV6" i="67"/>
  <c r="TKU6" i="67"/>
  <c r="TKT6" i="67"/>
  <c r="TKS6" i="67"/>
  <c r="TKR6" i="67"/>
  <c r="TKQ6" i="67"/>
  <c r="TKP6" i="67"/>
  <c r="TKO6" i="67"/>
  <c r="TKN6" i="67"/>
  <c r="TKM6" i="67"/>
  <c r="TKL6" i="67"/>
  <c r="TKK6" i="67"/>
  <c r="TKJ6" i="67"/>
  <c r="TKI6" i="67"/>
  <c r="TKH6" i="67"/>
  <c r="TKG6" i="67"/>
  <c r="TKF6" i="67"/>
  <c r="TKE6" i="67"/>
  <c r="TKD6" i="67"/>
  <c r="TKC6" i="67"/>
  <c r="TKB6" i="67"/>
  <c r="TKA6" i="67"/>
  <c r="TJZ6" i="67"/>
  <c r="TJY6" i="67"/>
  <c r="TJX6" i="67"/>
  <c r="TJW6" i="67"/>
  <c r="TJV6" i="67"/>
  <c r="TJU6" i="67"/>
  <c r="TJT6" i="67"/>
  <c r="TJS6" i="67"/>
  <c r="TJR6" i="67"/>
  <c r="TJQ6" i="67"/>
  <c r="TJP6" i="67"/>
  <c r="TJO6" i="67"/>
  <c r="TJN6" i="67"/>
  <c r="TJM6" i="67"/>
  <c r="TJL6" i="67"/>
  <c r="TJK6" i="67"/>
  <c r="TJJ6" i="67"/>
  <c r="TJI6" i="67"/>
  <c r="TJH6" i="67"/>
  <c r="TJG6" i="67"/>
  <c r="TJF6" i="67"/>
  <c r="TJE6" i="67"/>
  <c r="TJD6" i="67"/>
  <c r="TJC6" i="67"/>
  <c r="TJB6" i="67"/>
  <c r="TJA6" i="67"/>
  <c r="TIZ6" i="67"/>
  <c r="TIY6" i="67"/>
  <c r="TIX6" i="67"/>
  <c r="TIW6" i="67"/>
  <c r="TIV6" i="67"/>
  <c r="TIU6" i="67"/>
  <c r="TIT6" i="67"/>
  <c r="TIS6" i="67"/>
  <c r="TIR6" i="67"/>
  <c r="TIQ6" i="67"/>
  <c r="TIP6" i="67"/>
  <c r="TIO6" i="67"/>
  <c r="TIN6" i="67"/>
  <c r="TIM6" i="67"/>
  <c r="TIL6" i="67"/>
  <c r="TIK6" i="67"/>
  <c r="TIJ6" i="67"/>
  <c r="TII6" i="67"/>
  <c r="TIH6" i="67"/>
  <c r="TIG6" i="67"/>
  <c r="TIF6" i="67"/>
  <c r="TIE6" i="67"/>
  <c r="TID6" i="67"/>
  <c r="TIC6" i="67"/>
  <c r="TIB6" i="67"/>
  <c r="TIA6" i="67"/>
  <c r="THZ6" i="67"/>
  <c r="THY6" i="67"/>
  <c r="THX6" i="67"/>
  <c r="THW6" i="67"/>
  <c r="THV6" i="67"/>
  <c r="THU6" i="67"/>
  <c r="THT6" i="67"/>
  <c r="THS6" i="67"/>
  <c r="THR6" i="67"/>
  <c r="THQ6" i="67"/>
  <c r="THP6" i="67"/>
  <c r="THO6" i="67"/>
  <c r="THN6" i="67"/>
  <c r="THM6" i="67"/>
  <c r="THL6" i="67"/>
  <c r="THK6" i="67"/>
  <c r="THJ6" i="67"/>
  <c r="THI6" i="67"/>
  <c r="THH6" i="67"/>
  <c r="THG6" i="67"/>
  <c r="THF6" i="67"/>
  <c r="THE6" i="67"/>
  <c r="THD6" i="67"/>
  <c r="THC6" i="67"/>
  <c r="THB6" i="67"/>
  <c r="THA6" i="67"/>
  <c r="TGZ6" i="67"/>
  <c r="TGY6" i="67"/>
  <c r="TGX6" i="67"/>
  <c r="TGW6" i="67"/>
  <c r="TGV6" i="67"/>
  <c r="TGU6" i="67"/>
  <c r="TGT6" i="67"/>
  <c r="TGS6" i="67"/>
  <c r="TGR6" i="67"/>
  <c r="TGQ6" i="67"/>
  <c r="TGP6" i="67"/>
  <c r="TGO6" i="67"/>
  <c r="TGN6" i="67"/>
  <c r="TGM6" i="67"/>
  <c r="TGL6" i="67"/>
  <c r="TGK6" i="67"/>
  <c r="TGJ6" i="67"/>
  <c r="TGI6" i="67"/>
  <c r="TGH6" i="67"/>
  <c r="TGG6" i="67"/>
  <c r="TGF6" i="67"/>
  <c r="TGE6" i="67"/>
  <c r="TGD6" i="67"/>
  <c r="TGC6" i="67"/>
  <c r="TGB6" i="67"/>
  <c r="TGA6" i="67"/>
  <c r="TFZ6" i="67"/>
  <c r="TFY6" i="67"/>
  <c r="TFX6" i="67"/>
  <c r="TFW6" i="67"/>
  <c r="TFV6" i="67"/>
  <c r="TFU6" i="67"/>
  <c r="TFT6" i="67"/>
  <c r="TFS6" i="67"/>
  <c r="TFR6" i="67"/>
  <c r="TFQ6" i="67"/>
  <c r="TFP6" i="67"/>
  <c r="TFO6" i="67"/>
  <c r="TFN6" i="67"/>
  <c r="TFM6" i="67"/>
  <c r="TFL6" i="67"/>
  <c r="TFK6" i="67"/>
  <c r="TFJ6" i="67"/>
  <c r="TFI6" i="67"/>
  <c r="TFH6" i="67"/>
  <c r="TFG6" i="67"/>
  <c r="TFF6" i="67"/>
  <c r="TFE6" i="67"/>
  <c r="TFD6" i="67"/>
  <c r="TFC6" i="67"/>
  <c r="TFB6" i="67"/>
  <c r="TFA6" i="67"/>
  <c r="TEZ6" i="67"/>
  <c r="TEY6" i="67"/>
  <c r="TEX6" i="67"/>
  <c r="TEW6" i="67"/>
  <c r="TEV6" i="67"/>
  <c r="TEU6" i="67"/>
  <c r="TET6" i="67"/>
  <c r="TES6" i="67"/>
  <c r="TER6" i="67"/>
  <c r="TEQ6" i="67"/>
  <c r="TEP6" i="67"/>
  <c r="TEO6" i="67"/>
  <c r="TEN6" i="67"/>
  <c r="TEM6" i="67"/>
  <c r="TEL6" i="67"/>
  <c r="TEK6" i="67"/>
  <c r="TEJ6" i="67"/>
  <c r="TEI6" i="67"/>
  <c r="TEH6" i="67"/>
  <c r="TEG6" i="67"/>
  <c r="TEF6" i="67"/>
  <c r="TEE6" i="67"/>
  <c r="TED6" i="67"/>
  <c r="TEC6" i="67"/>
  <c r="TEB6" i="67"/>
  <c r="TEA6" i="67"/>
  <c r="TDZ6" i="67"/>
  <c r="TDY6" i="67"/>
  <c r="TDX6" i="67"/>
  <c r="TDW6" i="67"/>
  <c r="TDV6" i="67"/>
  <c r="TDU6" i="67"/>
  <c r="TDT6" i="67"/>
  <c r="TDS6" i="67"/>
  <c r="TDR6" i="67"/>
  <c r="TDQ6" i="67"/>
  <c r="TDP6" i="67"/>
  <c r="TDO6" i="67"/>
  <c r="TDN6" i="67"/>
  <c r="TDM6" i="67"/>
  <c r="TDL6" i="67"/>
  <c r="TDK6" i="67"/>
  <c r="TDJ6" i="67"/>
  <c r="TDI6" i="67"/>
  <c r="TDH6" i="67"/>
  <c r="TDG6" i="67"/>
  <c r="TDF6" i="67"/>
  <c r="TDE6" i="67"/>
  <c r="TDD6" i="67"/>
  <c r="TDC6" i="67"/>
  <c r="TDB6" i="67"/>
  <c r="TDA6" i="67"/>
  <c r="TCZ6" i="67"/>
  <c r="TCY6" i="67"/>
  <c r="TCX6" i="67"/>
  <c r="TCW6" i="67"/>
  <c r="TCV6" i="67"/>
  <c r="TCU6" i="67"/>
  <c r="TCT6" i="67"/>
  <c r="TCS6" i="67"/>
  <c r="TCR6" i="67"/>
  <c r="TCQ6" i="67"/>
  <c r="TCP6" i="67"/>
  <c r="TCO6" i="67"/>
  <c r="TCN6" i="67"/>
  <c r="TCM6" i="67"/>
  <c r="TCL6" i="67"/>
  <c r="TCK6" i="67"/>
  <c r="TCJ6" i="67"/>
  <c r="TCI6" i="67"/>
  <c r="TCH6" i="67"/>
  <c r="TCG6" i="67"/>
  <c r="TCF6" i="67"/>
  <c r="TCE6" i="67"/>
  <c r="TCD6" i="67"/>
  <c r="TCC6" i="67"/>
  <c r="TCB6" i="67"/>
  <c r="TCA6" i="67"/>
  <c r="TBZ6" i="67"/>
  <c r="TBY6" i="67"/>
  <c r="TBX6" i="67"/>
  <c r="TBW6" i="67"/>
  <c r="TBV6" i="67"/>
  <c r="TBU6" i="67"/>
  <c r="TBT6" i="67"/>
  <c r="TBS6" i="67"/>
  <c r="TBR6" i="67"/>
  <c r="TBQ6" i="67"/>
  <c r="TBP6" i="67"/>
  <c r="TBO6" i="67"/>
  <c r="TBN6" i="67"/>
  <c r="TBM6" i="67"/>
  <c r="TBL6" i="67"/>
  <c r="TBK6" i="67"/>
  <c r="TBJ6" i="67"/>
  <c r="TBI6" i="67"/>
  <c r="TBH6" i="67"/>
  <c r="TBG6" i="67"/>
  <c r="TBF6" i="67"/>
  <c r="TBE6" i="67"/>
  <c r="TBD6" i="67"/>
  <c r="TBC6" i="67"/>
  <c r="TBB6" i="67"/>
  <c r="TBA6" i="67"/>
  <c r="TAZ6" i="67"/>
  <c r="TAY6" i="67"/>
  <c r="TAX6" i="67"/>
  <c r="TAW6" i="67"/>
  <c r="TAV6" i="67"/>
  <c r="TAU6" i="67"/>
  <c r="TAT6" i="67"/>
  <c r="TAS6" i="67"/>
  <c r="TAR6" i="67"/>
  <c r="TAQ6" i="67"/>
  <c r="TAP6" i="67"/>
  <c r="TAO6" i="67"/>
  <c r="TAN6" i="67"/>
  <c r="TAM6" i="67"/>
  <c r="TAL6" i="67"/>
  <c r="TAK6" i="67"/>
  <c r="TAJ6" i="67"/>
  <c r="TAI6" i="67"/>
  <c r="TAH6" i="67"/>
  <c r="TAG6" i="67"/>
  <c r="TAF6" i="67"/>
  <c r="TAE6" i="67"/>
  <c r="TAD6" i="67"/>
  <c r="TAC6" i="67"/>
  <c r="TAB6" i="67"/>
  <c r="TAA6" i="67"/>
  <c r="SZZ6" i="67"/>
  <c r="SZY6" i="67"/>
  <c r="SZX6" i="67"/>
  <c r="SZW6" i="67"/>
  <c r="SZV6" i="67"/>
  <c r="SZU6" i="67"/>
  <c r="SZT6" i="67"/>
  <c r="SZS6" i="67"/>
  <c r="SZR6" i="67"/>
  <c r="SZQ6" i="67"/>
  <c r="SZP6" i="67"/>
  <c r="SZO6" i="67"/>
  <c r="SZN6" i="67"/>
  <c r="SZM6" i="67"/>
  <c r="SZL6" i="67"/>
  <c r="SZK6" i="67"/>
  <c r="SZJ6" i="67"/>
  <c r="SZI6" i="67"/>
  <c r="SZH6" i="67"/>
  <c r="SZG6" i="67"/>
  <c r="SZF6" i="67"/>
  <c r="SZE6" i="67"/>
  <c r="SZD6" i="67"/>
  <c r="SZC6" i="67"/>
  <c r="SZB6" i="67"/>
  <c r="SZA6" i="67"/>
  <c r="SYZ6" i="67"/>
  <c r="SYY6" i="67"/>
  <c r="SYX6" i="67"/>
  <c r="SYW6" i="67"/>
  <c r="SYV6" i="67"/>
  <c r="SYU6" i="67"/>
  <c r="SYT6" i="67"/>
  <c r="SYS6" i="67"/>
  <c r="SYR6" i="67"/>
  <c r="SYQ6" i="67"/>
  <c r="SYP6" i="67"/>
  <c r="SYO6" i="67"/>
  <c r="SYN6" i="67"/>
  <c r="SYM6" i="67"/>
  <c r="SYL6" i="67"/>
  <c r="SYK6" i="67"/>
  <c r="SYJ6" i="67"/>
  <c r="SYI6" i="67"/>
  <c r="SYH6" i="67"/>
  <c r="SYG6" i="67"/>
  <c r="SYF6" i="67"/>
  <c r="SYE6" i="67"/>
  <c r="SYD6" i="67"/>
  <c r="SYC6" i="67"/>
  <c r="SYB6" i="67"/>
  <c r="SYA6" i="67"/>
  <c r="SXZ6" i="67"/>
  <c r="SXY6" i="67"/>
  <c r="SXX6" i="67"/>
  <c r="SXW6" i="67"/>
  <c r="SXV6" i="67"/>
  <c r="SXU6" i="67"/>
  <c r="SXT6" i="67"/>
  <c r="SXS6" i="67"/>
  <c r="SXR6" i="67"/>
  <c r="SXQ6" i="67"/>
  <c r="SXP6" i="67"/>
  <c r="SXO6" i="67"/>
  <c r="SXN6" i="67"/>
  <c r="SXM6" i="67"/>
  <c r="SXL6" i="67"/>
  <c r="SXK6" i="67"/>
  <c r="SXJ6" i="67"/>
  <c r="SXI6" i="67"/>
  <c r="SXH6" i="67"/>
  <c r="SXG6" i="67"/>
  <c r="SXF6" i="67"/>
  <c r="SXE6" i="67"/>
  <c r="SXD6" i="67"/>
  <c r="SXC6" i="67"/>
  <c r="SXB6" i="67"/>
  <c r="SXA6" i="67"/>
  <c r="SWZ6" i="67"/>
  <c r="SWY6" i="67"/>
  <c r="SWX6" i="67"/>
  <c r="SWW6" i="67"/>
  <c r="SWV6" i="67"/>
  <c r="SWU6" i="67"/>
  <c r="SWT6" i="67"/>
  <c r="SWS6" i="67"/>
  <c r="SWR6" i="67"/>
  <c r="SWQ6" i="67"/>
  <c r="SWP6" i="67"/>
  <c r="SWO6" i="67"/>
  <c r="SWN6" i="67"/>
  <c r="SWM6" i="67"/>
  <c r="SWL6" i="67"/>
  <c r="SWK6" i="67"/>
  <c r="SWJ6" i="67"/>
  <c r="SWI6" i="67"/>
  <c r="SWH6" i="67"/>
  <c r="SWG6" i="67"/>
  <c r="SWF6" i="67"/>
  <c r="SWE6" i="67"/>
  <c r="SWD6" i="67"/>
  <c r="SWC6" i="67"/>
  <c r="SWB6" i="67"/>
  <c r="SWA6" i="67"/>
  <c r="SVZ6" i="67"/>
  <c r="SVY6" i="67"/>
  <c r="SVX6" i="67"/>
  <c r="SVW6" i="67"/>
  <c r="SVV6" i="67"/>
  <c r="SVU6" i="67"/>
  <c r="SVT6" i="67"/>
  <c r="SVS6" i="67"/>
  <c r="SVR6" i="67"/>
  <c r="SVQ6" i="67"/>
  <c r="SVP6" i="67"/>
  <c r="SVO6" i="67"/>
  <c r="SVN6" i="67"/>
  <c r="SVM6" i="67"/>
  <c r="SVL6" i="67"/>
  <c r="SVK6" i="67"/>
  <c r="SVJ6" i="67"/>
  <c r="SVI6" i="67"/>
  <c r="SVH6" i="67"/>
  <c r="SVG6" i="67"/>
  <c r="SVF6" i="67"/>
  <c r="SVE6" i="67"/>
  <c r="SVD6" i="67"/>
  <c r="SVC6" i="67"/>
  <c r="SVB6" i="67"/>
  <c r="SVA6" i="67"/>
  <c r="SUZ6" i="67"/>
  <c r="SUY6" i="67"/>
  <c r="SUX6" i="67"/>
  <c r="SUW6" i="67"/>
  <c r="SUV6" i="67"/>
  <c r="SUU6" i="67"/>
  <c r="SUT6" i="67"/>
  <c r="SUS6" i="67"/>
  <c r="SUR6" i="67"/>
  <c r="SUQ6" i="67"/>
  <c r="SUP6" i="67"/>
  <c r="SUO6" i="67"/>
  <c r="SUN6" i="67"/>
  <c r="SUM6" i="67"/>
  <c r="SUL6" i="67"/>
  <c r="SUK6" i="67"/>
  <c r="SUJ6" i="67"/>
  <c r="SUI6" i="67"/>
  <c r="SUH6" i="67"/>
  <c r="SUG6" i="67"/>
  <c r="SUF6" i="67"/>
  <c r="SUE6" i="67"/>
  <c r="SUD6" i="67"/>
  <c r="SUC6" i="67"/>
  <c r="SUB6" i="67"/>
  <c r="SUA6" i="67"/>
  <c r="STZ6" i="67"/>
  <c r="STY6" i="67"/>
  <c r="STX6" i="67"/>
  <c r="STW6" i="67"/>
  <c r="STV6" i="67"/>
  <c r="STU6" i="67"/>
  <c r="STT6" i="67"/>
  <c r="STS6" i="67"/>
  <c r="STR6" i="67"/>
  <c r="STQ6" i="67"/>
  <c r="STP6" i="67"/>
  <c r="STO6" i="67"/>
  <c r="STN6" i="67"/>
  <c r="STM6" i="67"/>
  <c r="STL6" i="67"/>
  <c r="STK6" i="67"/>
  <c r="STJ6" i="67"/>
  <c r="STI6" i="67"/>
  <c r="STH6" i="67"/>
  <c r="STG6" i="67"/>
  <c r="STF6" i="67"/>
  <c r="STE6" i="67"/>
  <c r="STD6" i="67"/>
  <c r="STC6" i="67"/>
  <c r="STB6" i="67"/>
  <c r="STA6" i="67"/>
  <c r="SSZ6" i="67"/>
  <c r="SSY6" i="67"/>
  <c r="SSX6" i="67"/>
  <c r="SSW6" i="67"/>
  <c r="SSV6" i="67"/>
  <c r="SSU6" i="67"/>
  <c r="SST6" i="67"/>
  <c r="SSS6" i="67"/>
  <c r="SSR6" i="67"/>
  <c r="SSQ6" i="67"/>
  <c r="SSP6" i="67"/>
  <c r="SSO6" i="67"/>
  <c r="SSN6" i="67"/>
  <c r="SSM6" i="67"/>
  <c r="SSL6" i="67"/>
  <c r="SSK6" i="67"/>
  <c r="SSJ6" i="67"/>
  <c r="SSI6" i="67"/>
  <c r="SSH6" i="67"/>
  <c r="SSG6" i="67"/>
  <c r="SSF6" i="67"/>
  <c r="SSE6" i="67"/>
  <c r="SSD6" i="67"/>
  <c r="SSC6" i="67"/>
  <c r="SSB6" i="67"/>
  <c r="SSA6" i="67"/>
  <c r="SRZ6" i="67"/>
  <c r="SRY6" i="67"/>
  <c r="SRX6" i="67"/>
  <c r="SRW6" i="67"/>
  <c r="SRV6" i="67"/>
  <c r="SRU6" i="67"/>
  <c r="SRT6" i="67"/>
  <c r="SRS6" i="67"/>
  <c r="SRR6" i="67"/>
  <c r="SRQ6" i="67"/>
  <c r="SRP6" i="67"/>
  <c r="SRO6" i="67"/>
  <c r="SRN6" i="67"/>
  <c r="SRM6" i="67"/>
  <c r="SRL6" i="67"/>
  <c r="SRK6" i="67"/>
  <c r="SRJ6" i="67"/>
  <c r="SRI6" i="67"/>
  <c r="SRH6" i="67"/>
  <c r="SRG6" i="67"/>
  <c r="SRF6" i="67"/>
  <c r="SRE6" i="67"/>
  <c r="SRD6" i="67"/>
  <c r="SRC6" i="67"/>
  <c r="SRB6" i="67"/>
  <c r="SRA6" i="67"/>
  <c r="SQZ6" i="67"/>
  <c r="SQY6" i="67"/>
  <c r="SQX6" i="67"/>
  <c r="SQW6" i="67"/>
  <c r="SQV6" i="67"/>
  <c r="SQU6" i="67"/>
  <c r="SQT6" i="67"/>
  <c r="SQS6" i="67"/>
  <c r="SQR6" i="67"/>
  <c r="SQQ6" i="67"/>
  <c r="SQP6" i="67"/>
  <c r="SQO6" i="67"/>
  <c r="SQN6" i="67"/>
  <c r="SQM6" i="67"/>
  <c r="SQL6" i="67"/>
  <c r="SQK6" i="67"/>
  <c r="SQJ6" i="67"/>
  <c r="SQI6" i="67"/>
  <c r="SQH6" i="67"/>
  <c r="SQG6" i="67"/>
  <c r="SQF6" i="67"/>
  <c r="SQE6" i="67"/>
  <c r="SQD6" i="67"/>
  <c r="SQC6" i="67"/>
  <c r="SQB6" i="67"/>
  <c r="SQA6" i="67"/>
  <c r="SPZ6" i="67"/>
  <c r="SPY6" i="67"/>
  <c r="SPX6" i="67"/>
  <c r="SPW6" i="67"/>
  <c r="SPV6" i="67"/>
  <c r="SPU6" i="67"/>
  <c r="SPT6" i="67"/>
  <c r="SPS6" i="67"/>
  <c r="SPR6" i="67"/>
  <c r="SPQ6" i="67"/>
  <c r="SPP6" i="67"/>
  <c r="SPO6" i="67"/>
  <c r="SPN6" i="67"/>
  <c r="SPM6" i="67"/>
  <c r="SPL6" i="67"/>
  <c r="SPK6" i="67"/>
  <c r="SPJ6" i="67"/>
  <c r="SPI6" i="67"/>
  <c r="SPH6" i="67"/>
  <c r="SPG6" i="67"/>
  <c r="SPF6" i="67"/>
  <c r="SPE6" i="67"/>
  <c r="SPD6" i="67"/>
  <c r="SPC6" i="67"/>
  <c r="SPB6" i="67"/>
  <c r="SPA6" i="67"/>
  <c r="SOZ6" i="67"/>
  <c r="SOY6" i="67"/>
  <c r="SOX6" i="67"/>
  <c r="SOW6" i="67"/>
  <c r="SOV6" i="67"/>
  <c r="SOU6" i="67"/>
  <c r="SOT6" i="67"/>
  <c r="SOS6" i="67"/>
  <c r="SOR6" i="67"/>
  <c r="SOQ6" i="67"/>
  <c r="SOP6" i="67"/>
  <c r="SOO6" i="67"/>
  <c r="SON6" i="67"/>
  <c r="SOM6" i="67"/>
  <c r="SOL6" i="67"/>
  <c r="SOK6" i="67"/>
  <c r="SOJ6" i="67"/>
  <c r="SOI6" i="67"/>
  <c r="SOH6" i="67"/>
  <c r="SOG6" i="67"/>
  <c r="SOF6" i="67"/>
  <c r="SOE6" i="67"/>
  <c r="SOD6" i="67"/>
  <c r="SOC6" i="67"/>
  <c r="SOB6" i="67"/>
  <c r="SOA6" i="67"/>
  <c r="SNZ6" i="67"/>
  <c r="SNY6" i="67"/>
  <c r="SNX6" i="67"/>
  <c r="SNW6" i="67"/>
  <c r="SNV6" i="67"/>
  <c r="SNU6" i="67"/>
  <c r="SNT6" i="67"/>
  <c r="SNS6" i="67"/>
  <c r="SNR6" i="67"/>
  <c r="SNQ6" i="67"/>
  <c r="SNP6" i="67"/>
  <c r="SNO6" i="67"/>
  <c r="SNN6" i="67"/>
  <c r="SNM6" i="67"/>
  <c r="SNL6" i="67"/>
  <c r="SNK6" i="67"/>
  <c r="SNJ6" i="67"/>
  <c r="SNI6" i="67"/>
  <c r="SNH6" i="67"/>
  <c r="SNG6" i="67"/>
  <c r="SNF6" i="67"/>
  <c r="SNE6" i="67"/>
  <c r="SND6" i="67"/>
  <c r="SNC6" i="67"/>
  <c r="SNB6" i="67"/>
  <c r="SNA6" i="67"/>
  <c r="SMZ6" i="67"/>
  <c r="SMY6" i="67"/>
  <c r="SMX6" i="67"/>
  <c r="SMW6" i="67"/>
  <c r="SMV6" i="67"/>
  <c r="SMU6" i="67"/>
  <c r="SMT6" i="67"/>
  <c r="SMS6" i="67"/>
  <c r="SMR6" i="67"/>
  <c r="SMQ6" i="67"/>
  <c r="SMP6" i="67"/>
  <c r="SMO6" i="67"/>
  <c r="SMN6" i="67"/>
  <c r="SMM6" i="67"/>
  <c r="SML6" i="67"/>
  <c r="SMK6" i="67"/>
  <c r="SMJ6" i="67"/>
  <c r="SMI6" i="67"/>
  <c r="SMH6" i="67"/>
  <c r="SMG6" i="67"/>
  <c r="SMF6" i="67"/>
  <c r="SME6" i="67"/>
  <c r="SMD6" i="67"/>
  <c r="SMC6" i="67"/>
  <c r="SMB6" i="67"/>
  <c r="SMA6" i="67"/>
  <c r="SLZ6" i="67"/>
  <c r="SLY6" i="67"/>
  <c r="SLX6" i="67"/>
  <c r="SLW6" i="67"/>
  <c r="SLV6" i="67"/>
  <c r="SLU6" i="67"/>
  <c r="SLT6" i="67"/>
  <c r="SLS6" i="67"/>
  <c r="SLR6" i="67"/>
  <c r="SLQ6" i="67"/>
  <c r="SLP6" i="67"/>
  <c r="SLO6" i="67"/>
  <c r="SLN6" i="67"/>
  <c r="SLM6" i="67"/>
  <c r="SLL6" i="67"/>
  <c r="SLK6" i="67"/>
  <c r="SLJ6" i="67"/>
  <c r="SLI6" i="67"/>
  <c r="SLH6" i="67"/>
  <c r="SLG6" i="67"/>
  <c r="SLF6" i="67"/>
  <c r="SLE6" i="67"/>
  <c r="SLD6" i="67"/>
  <c r="SLC6" i="67"/>
  <c r="SLB6" i="67"/>
  <c r="SLA6" i="67"/>
  <c r="SKZ6" i="67"/>
  <c r="SKY6" i="67"/>
  <c r="SKX6" i="67"/>
  <c r="SKW6" i="67"/>
  <c r="SKV6" i="67"/>
  <c r="SKU6" i="67"/>
  <c r="SKT6" i="67"/>
  <c r="SKS6" i="67"/>
  <c r="SKR6" i="67"/>
  <c r="SKQ6" i="67"/>
  <c r="SKP6" i="67"/>
  <c r="SKO6" i="67"/>
  <c r="SKN6" i="67"/>
  <c r="SKM6" i="67"/>
  <c r="SKL6" i="67"/>
  <c r="SKK6" i="67"/>
  <c r="SKJ6" i="67"/>
  <c r="SKI6" i="67"/>
  <c r="SKH6" i="67"/>
  <c r="SKG6" i="67"/>
  <c r="SKF6" i="67"/>
  <c r="SKE6" i="67"/>
  <c r="SKD6" i="67"/>
  <c r="SKC6" i="67"/>
  <c r="SKB6" i="67"/>
  <c r="SKA6" i="67"/>
  <c r="SJZ6" i="67"/>
  <c r="SJY6" i="67"/>
  <c r="SJX6" i="67"/>
  <c r="SJW6" i="67"/>
  <c r="SJV6" i="67"/>
  <c r="SJU6" i="67"/>
  <c r="SJT6" i="67"/>
  <c r="SJS6" i="67"/>
  <c r="SJR6" i="67"/>
  <c r="SJQ6" i="67"/>
  <c r="SJP6" i="67"/>
  <c r="SJO6" i="67"/>
  <c r="SJN6" i="67"/>
  <c r="SJM6" i="67"/>
  <c r="SJL6" i="67"/>
  <c r="SJK6" i="67"/>
  <c r="SJJ6" i="67"/>
  <c r="SJI6" i="67"/>
  <c r="SJH6" i="67"/>
  <c r="SJG6" i="67"/>
  <c r="SJF6" i="67"/>
  <c r="SJE6" i="67"/>
  <c r="SJD6" i="67"/>
  <c r="SJC6" i="67"/>
  <c r="SJB6" i="67"/>
  <c r="SJA6" i="67"/>
  <c r="SIZ6" i="67"/>
  <c r="SIY6" i="67"/>
  <c r="SIX6" i="67"/>
  <c r="SIW6" i="67"/>
  <c r="SIV6" i="67"/>
  <c r="SIU6" i="67"/>
  <c r="SIT6" i="67"/>
  <c r="SIS6" i="67"/>
  <c r="SIR6" i="67"/>
  <c r="SIQ6" i="67"/>
  <c r="SIP6" i="67"/>
  <c r="SIO6" i="67"/>
  <c r="SIN6" i="67"/>
  <c r="SIM6" i="67"/>
  <c r="SIL6" i="67"/>
  <c r="SIK6" i="67"/>
  <c r="SIJ6" i="67"/>
  <c r="SII6" i="67"/>
  <c r="SIH6" i="67"/>
  <c r="SIG6" i="67"/>
  <c r="SIF6" i="67"/>
  <c r="SIE6" i="67"/>
  <c r="SID6" i="67"/>
  <c r="SIC6" i="67"/>
  <c r="SIB6" i="67"/>
  <c r="SIA6" i="67"/>
  <c r="SHZ6" i="67"/>
  <c r="SHY6" i="67"/>
  <c r="SHX6" i="67"/>
  <c r="SHW6" i="67"/>
  <c r="SHV6" i="67"/>
  <c r="SHU6" i="67"/>
  <c r="SHT6" i="67"/>
  <c r="SHS6" i="67"/>
  <c r="SHR6" i="67"/>
  <c r="SHQ6" i="67"/>
  <c r="SHP6" i="67"/>
  <c r="SHO6" i="67"/>
  <c r="SHN6" i="67"/>
  <c r="SHM6" i="67"/>
  <c r="SHL6" i="67"/>
  <c r="SHK6" i="67"/>
  <c r="SHJ6" i="67"/>
  <c r="SHI6" i="67"/>
  <c r="SHH6" i="67"/>
  <c r="SHG6" i="67"/>
  <c r="SHF6" i="67"/>
  <c r="SHE6" i="67"/>
  <c r="SHD6" i="67"/>
  <c r="SHC6" i="67"/>
  <c r="SHB6" i="67"/>
  <c r="SHA6" i="67"/>
  <c r="SGZ6" i="67"/>
  <c r="SGY6" i="67"/>
  <c r="SGX6" i="67"/>
  <c r="SGW6" i="67"/>
  <c r="SGV6" i="67"/>
  <c r="SGU6" i="67"/>
  <c r="SGT6" i="67"/>
  <c r="SGS6" i="67"/>
  <c r="SGR6" i="67"/>
  <c r="SGQ6" i="67"/>
  <c r="SGP6" i="67"/>
  <c r="SGO6" i="67"/>
  <c r="SGN6" i="67"/>
  <c r="SGM6" i="67"/>
  <c r="SGL6" i="67"/>
  <c r="SGK6" i="67"/>
  <c r="SGJ6" i="67"/>
  <c r="SGI6" i="67"/>
  <c r="SGH6" i="67"/>
  <c r="SGG6" i="67"/>
  <c r="SGF6" i="67"/>
  <c r="SGE6" i="67"/>
  <c r="SGD6" i="67"/>
  <c r="SGC6" i="67"/>
  <c r="SGB6" i="67"/>
  <c r="SGA6" i="67"/>
  <c r="SFZ6" i="67"/>
  <c r="SFY6" i="67"/>
  <c r="SFX6" i="67"/>
  <c r="SFW6" i="67"/>
  <c r="SFV6" i="67"/>
  <c r="SFU6" i="67"/>
  <c r="SFT6" i="67"/>
  <c r="SFS6" i="67"/>
  <c r="SFR6" i="67"/>
  <c r="SFQ6" i="67"/>
  <c r="SFP6" i="67"/>
  <c r="SFO6" i="67"/>
  <c r="SFN6" i="67"/>
  <c r="SFM6" i="67"/>
  <c r="SFL6" i="67"/>
  <c r="SFK6" i="67"/>
  <c r="SFJ6" i="67"/>
  <c r="SFI6" i="67"/>
  <c r="SFH6" i="67"/>
  <c r="SFG6" i="67"/>
  <c r="SFF6" i="67"/>
  <c r="SFE6" i="67"/>
  <c r="SFD6" i="67"/>
  <c r="SFC6" i="67"/>
  <c r="SFB6" i="67"/>
  <c r="SFA6" i="67"/>
  <c r="SEZ6" i="67"/>
  <c r="SEY6" i="67"/>
  <c r="SEX6" i="67"/>
  <c r="SEW6" i="67"/>
  <c r="SEV6" i="67"/>
  <c r="SEU6" i="67"/>
  <c r="SET6" i="67"/>
  <c r="SES6" i="67"/>
  <c r="SER6" i="67"/>
  <c r="SEQ6" i="67"/>
  <c r="SEP6" i="67"/>
  <c r="SEO6" i="67"/>
  <c r="SEN6" i="67"/>
  <c r="SEM6" i="67"/>
  <c r="SEL6" i="67"/>
  <c r="SEK6" i="67"/>
  <c r="SEJ6" i="67"/>
  <c r="SEI6" i="67"/>
  <c r="SEH6" i="67"/>
  <c r="SEG6" i="67"/>
  <c r="SEF6" i="67"/>
  <c r="SEE6" i="67"/>
  <c r="SED6" i="67"/>
  <c r="SEC6" i="67"/>
  <c r="SEB6" i="67"/>
  <c r="SEA6" i="67"/>
  <c r="SDZ6" i="67"/>
  <c r="SDY6" i="67"/>
  <c r="SDX6" i="67"/>
  <c r="SDW6" i="67"/>
  <c r="SDV6" i="67"/>
  <c r="SDU6" i="67"/>
  <c r="SDT6" i="67"/>
  <c r="SDS6" i="67"/>
  <c r="SDR6" i="67"/>
  <c r="SDQ6" i="67"/>
  <c r="SDP6" i="67"/>
  <c r="SDO6" i="67"/>
  <c r="SDN6" i="67"/>
  <c r="SDM6" i="67"/>
  <c r="SDL6" i="67"/>
  <c r="SDK6" i="67"/>
  <c r="SDJ6" i="67"/>
  <c r="SDI6" i="67"/>
  <c r="SDH6" i="67"/>
  <c r="SDG6" i="67"/>
  <c r="SDF6" i="67"/>
  <c r="SDE6" i="67"/>
  <c r="SDD6" i="67"/>
  <c r="SDC6" i="67"/>
  <c r="SDB6" i="67"/>
  <c r="SDA6" i="67"/>
  <c r="SCZ6" i="67"/>
  <c r="SCY6" i="67"/>
  <c r="SCX6" i="67"/>
  <c r="SCW6" i="67"/>
  <c r="SCV6" i="67"/>
  <c r="SCU6" i="67"/>
  <c r="SCT6" i="67"/>
  <c r="SCS6" i="67"/>
  <c r="SCR6" i="67"/>
  <c r="SCQ6" i="67"/>
  <c r="SCP6" i="67"/>
  <c r="SCO6" i="67"/>
  <c r="SCN6" i="67"/>
  <c r="SCM6" i="67"/>
  <c r="SCL6" i="67"/>
  <c r="SCK6" i="67"/>
  <c r="SCJ6" i="67"/>
  <c r="SCI6" i="67"/>
  <c r="SCH6" i="67"/>
  <c r="SCG6" i="67"/>
  <c r="SCF6" i="67"/>
  <c r="SCE6" i="67"/>
  <c r="SCD6" i="67"/>
  <c r="SCC6" i="67"/>
  <c r="SCB6" i="67"/>
  <c r="SCA6" i="67"/>
  <c r="SBZ6" i="67"/>
  <c r="SBY6" i="67"/>
  <c r="SBX6" i="67"/>
  <c r="SBW6" i="67"/>
  <c r="SBV6" i="67"/>
  <c r="SBU6" i="67"/>
  <c r="SBT6" i="67"/>
  <c r="SBS6" i="67"/>
  <c r="SBR6" i="67"/>
  <c r="SBQ6" i="67"/>
  <c r="SBP6" i="67"/>
  <c r="SBO6" i="67"/>
  <c r="SBN6" i="67"/>
  <c r="SBM6" i="67"/>
  <c r="SBL6" i="67"/>
  <c r="SBK6" i="67"/>
  <c r="SBJ6" i="67"/>
  <c r="SBI6" i="67"/>
  <c r="SBH6" i="67"/>
  <c r="SBG6" i="67"/>
  <c r="SBF6" i="67"/>
  <c r="SBE6" i="67"/>
  <c r="SBD6" i="67"/>
  <c r="SBC6" i="67"/>
  <c r="SBB6" i="67"/>
  <c r="SBA6" i="67"/>
  <c r="SAZ6" i="67"/>
  <c r="SAY6" i="67"/>
  <c r="SAX6" i="67"/>
  <c r="SAW6" i="67"/>
  <c r="SAV6" i="67"/>
  <c r="SAU6" i="67"/>
  <c r="SAT6" i="67"/>
  <c r="SAS6" i="67"/>
  <c r="SAR6" i="67"/>
  <c r="SAQ6" i="67"/>
  <c r="SAP6" i="67"/>
  <c r="SAO6" i="67"/>
  <c r="SAN6" i="67"/>
  <c r="SAM6" i="67"/>
  <c r="SAL6" i="67"/>
  <c r="SAK6" i="67"/>
  <c r="SAJ6" i="67"/>
  <c r="SAI6" i="67"/>
  <c r="SAH6" i="67"/>
  <c r="SAG6" i="67"/>
  <c r="SAF6" i="67"/>
  <c r="SAE6" i="67"/>
  <c r="SAD6" i="67"/>
  <c r="SAC6" i="67"/>
  <c r="SAB6" i="67"/>
  <c r="SAA6" i="67"/>
  <c r="RZZ6" i="67"/>
  <c r="RZY6" i="67"/>
  <c r="RZX6" i="67"/>
  <c r="RZW6" i="67"/>
  <c r="RZV6" i="67"/>
  <c r="RZU6" i="67"/>
  <c r="RZT6" i="67"/>
  <c r="RZS6" i="67"/>
  <c r="RZR6" i="67"/>
  <c r="RZQ6" i="67"/>
  <c r="RZP6" i="67"/>
  <c r="RZO6" i="67"/>
  <c r="RZN6" i="67"/>
  <c r="RZM6" i="67"/>
  <c r="RZL6" i="67"/>
  <c r="RZK6" i="67"/>
  <c r="RZJ6" i="67"/>
  <c r="RZI6" i="67"/>
  <c r="RZH6" i="67"/>
  <c r="RZG6" i="67"/>
  <c r="RZF6" i="67"/>
  <c r="RZE6" i="67"/>
  <c r="RZD6" i="67"/>
  <c r="RZC6" i="67"/>
  <c r="RZB6" i="67"/>
  <c r="RZA6" i="67"/>
  <c r="RYZ6" i="67"/>
  <c r="RYY6" i="67"/>
  <c r="RYX6" i="67"/>
  <c r="RYW6" i="67"/>
  <c r="RYV6" i="67"/>
  <c r="RYU6" i="67"/>
  <c r="RYT6" i="67"/>
  <c r="RYS6" i="67"/>
  <c r="RYR6" i="67"/>
  <c r="RYQ6" i="67"/>
  <c r="RYP6" i="67"/>
  <c r="RYO6" i="67"/>
  <c r="RYN6" i="67"/>
  <c r="RYM6" i="67"/>
  <c r="RYL6" i="67"/>
  <c r="RYK6" i="67"/>
  <c r="RYJ6" i="67"/>
  <c r="RYI6" i="67"/>
  <c r="RYH6" i="67"/>
  <c r="RYG6" i="67"/>
  <c r="RYF6" i="67"/>
  <c r="RYE6" i="67"/>
  <c r="RYD6" i="67"/>
  <c r="RYC6" i="67"/>
  <c r="RYB6" i="67"/>
  <c r="RYA6" i="67"/>
  <c r="RXZ6" i="67"/>
  <c r="RXY6" i="67"/>
  <c r="RXX6" i="67"/>
  <c r="RXW6" i="67"/>
  <c r="RXV6" i="67"/>
  <c r="RXU6" i="67"/>
  <c r="RXT6" i="67"/>
  <c r="RXS6" i="67"/>
  <c r="RXR6" i="67"/>
  <c r="RXQ6" i="67"/>
  <c r="RXP6" i="67"/>
  <c r="RXO6" i="67"/>
  <c r="RXN6" i="67"/>
  <c r="RXM6" i="67"/>
  <c r="RXL6" i="67"/>
  <c r="RXK6" i="67"/>
  <c r="RXJ6" i="67"/>
  <c r="RXI6" i="67"/>
  <c r="RXH6" i="67"/>
  <c r="RXG6" i="67"/>
  <c r="RXF6" i="67"/>
  <c r="RXE6" i="67"/>
  <c r="RXD6" i="67"/>
  <c r="RXC6" i="67"/>
  <c r="RXB6" i="67"/>
  <c r="RXA6" i="67"/>
  <c r="RWZ6" i="67"/>
  <c r="RWY6" i="67"/>
  <c r="RWX6" i="67"/>
  <c r="RWW6" i="67"/>
  <c r="RWV6" i="67"/>
  <c r="RWU6" i="67"/>
  <c r="RWT6" i="67"/>
  <c r="RWS6" i="67"/>
  <c r="RWR6" i="67"/>
  <c r="RWQ6" i="67"/>
  <c r="RWP6" i="67"/>
  <c r="RWO6" i="67"/>
  <c r="RWN6" i="67"/>
  <c r="RWM6" i="67"/>
  <c r="RWL6" i="67"/>
  <c r="RWK6" i="67"/>
  <c r="RWJ6" i="67"/>
  <c r="RWI6" i="67"/>
  <c r="RWH6" i="67"/>
  <c r="RWG6" i="67"/>
  <c r="RWF6" i="67"/>
  <c r="RWE6" i="67"/>
  <c r="RWD6" i="67"/>
  <c r="RWC6" i="67"/>
  <c r="RWB6" i="67"/>
  <c r="RWA6" i="67"/>
  <c r="RVZ6" i="67"/>
  <c r="RVY6" i="67"/>
  <c r="RVX6" i="67"/>
  <c r="RVW6" i="67"/>
  <c r="RVV6" i="67"/>
  <c r="RVU6" i="67"/>
  <c r="RVT6" i="67"/>
  <c r="RVS6" i="67"/>
  <c r="RVR6" i="67"/>
  <c r="RVQ6" i="67"/>
  <c r="RVP6" i="67"/>
  <c r="RVO6" i="67"/>
  <c r="RVN6" i="67"/>
  <c r="RVM6" i="67"/>
  <c r="RVL6" i="67"/>
  <c r="RVK6" i="67"/>
  <c r="RVJ6" i="67"/>
  <c r="RVI6" i="67"/>
  <c r="RVH6" i="67"/>
  <c r="RVG6" i="67"/>
  <c r="RVF6" i="67"/>
  <c r="RVE6" i="67"/>
  <c r="RVD6" i="67"/>
  <c r="RVC6" i="67"/>
  <c r="RVB6" i="67"/>
  <c r="RVA6" i="67"/>
  <c r="RUZ6" i="67"/>
  <c r="RUY6" i="67"/>
  <c r="RUX6" i="67"/>
  <c r="RUW6" i="67"/>
  <c r="RUV6" i="67"/>
  <c r="RUU6" i="67"/>
  <c r="RUT6" i="67"/>
  <c r="RUS6" i="67"/>
  <c r="RUR6" i="67"/>
  <c r="RUQ6" i="67"/>
  <c r="RUP6" i="67"/>
  <c r="RUO6" i="67"/>
  <c r="RUN6" i="67"/>
  <c r="RUM6" i="67"/>
  <c r="RUL6" i="67"/>
  <c r="RUK6" i="67"/>
  <c r="RUJ6" i="67"/>
  <c r="RUI6" i="67"/>
  <c r="RUH6" i="67"/>
  <c r="RUG6" i="67"/>
  <c r="RUF6" i="67"/>
  <c r="RUE6" i="67"/>
  <c r="RUD6" i="67"/>
  <c r="RUC6" i="67"/>
  <c r="RUB6" i="67"/>
  <c r="RUA6" i="67"/>
  <c r="RTZ6" i="67"/>
  <c r="RTY6" i="67"/>
  <c r="RTX6" i="67"/>
  <c r="RTW6" i="67"/>
  <c r="RTV6" i="67"/>
  <c r="RTU6" i="67"/>
  <c r="RTT6" i="67"/>
  <c r="RTS6" i="67"/>
  <c r="RTR6" i="67"/>
  <c r="RTQ6" i="67"/>
  <c r="RTP6" i="67"/>
  <c r="RTO6" i="67"/>
  <c r="RTN6" i="67"/>
  <c r="RTM6" i="67"/>
  <c r="RTL6" i="67"/>
  <c r="RTK6" i="67"/>
  <c r="RTJ6" i="67"/>
  <c r="RTI6" i="67"/>
  <c r="RTH6" i="67"/>
  <c r="RTG6" i="67"/>
  <c r="RTF6" i="67"/>
  <c r="RTE6" i="67"/>
  <c r="RTD6" i="67"/>
  <c r="RTC6" i="67"/>
  <c r="RTB6" i="67"/>
  <c r="RTA6" i="67"/>
  <c r="RSZ6" i="67"/>
  <c r="RSY6" i="67"/>
  <c r="RSX6" i="67"/>
  <c r="RSW6" i="67"/>
  <c r="RSV6" i="67"/>
  <c r="RSU6" i="67"/>
  <c r="RST6" i="67"/>
  <c r="RSS6" i="67"/>
  <c r="RSR6" i="67"/>
  <c r="RSQ6" i="67"/>
  <c r="RSP6" i="67"/>
  <c r="RSO6" i="67"/>
  <c r="RSN6" i="67"/>
  <c r="RSM6" i="67"/>
  <c r="RSL6" i="67"/>
  <c r="RSK6" i="67"/>
  <c r="RSJ6" i="67"/>
  <c r="RSI6" i="67"/>
  <c r="RSH6" i="67"/>
  <c r="RSG6" i="67"/>
  <c r="RSF6" i="67"/>
  <c r="RSE6" i="67"/>
  <c r="RSD6" i="67"/>
  <c r="RSC6" i="67"/>
  <c r="RSB6" i="67"/>
  <c r="RSA6" i="67"/>
  <c r="RRZ6" i="67"/>
  <c r="RRY6" i="67"/>
  <c r="RRX6" i="67"/>
  <c r="RRW6" i="67"/>
  <c r="RRV6" i="67"/>
  <c r="RRU6" i="67"/>
  <c r="RRT6" i="67"/>
  <c r="RRS6" i="67"/>
  <c r="RRR6" i="67"/>
  <c r="RRQ6" i="67"/>
  <c r="RRP6" i="67"/>
  <c r="RRO6" i="67"/>
  <c r="RRN6" i="67"/>
  <c r="RRM6" i="67"/>
  <c r="RRL6" i="67"/>
  <c r="RRK6" i="67"/>
  <c r="RRJ6" i="67"/>
  <c r="RRI6" i="67"/>
  <c r="RRH6" i="67"/>
  <c r="RRG6" i="67"/>
  <c r="RRF6" i="67"/>
  <c r="RRE6" i="67"/>
  <c r="RRD6" i="67"/>
  <c r="RRC6" i="67"/>
  <c r="RRB6" i="67"/>
  <c r="RRA6" i="67"/>
  <c r="RQZ6" i="67"/>
  <c r="RQY6" i="67"/>
  <c r="RQX6" i="67"/>
  <c r="RQW6" i="67"/>
  <c r="RQV6" i="67"/>
  <c r="RQU6" i="67"/>
  <c r="RQT6" i="67"/>
  <c r="RQS6" i="67"/>
  <c r="RQR6" i="67"/>
  <c r="RQQ6" i="67"/>
  <c r="RQP6" i="67"/>
  <c r="RQO6" i="67"/>
  <c r="RQN6" i="67"/>
  <c r="RQM6" i="67"/>
  <c r="RQL6" i="67"/>
  <c r="RQK6" i="67"/>
  <c r="RQJ6" i="67"/>
  <c r="RQI6" i="67"/>
  <c r="RQH6" i="67"/>
  <c r="RQG6" i="67"/>
  <c r="RQF6" i="67"/>
  <c r="RQE6" i="67"/>
  <c r="RQD6" i="67"/>
  <c r="RQC6" i="67"/>
  <c r="RQB6" i="67"/>
  <c r="RQA6" i="67"/>
  <c r="RPZ6" i="67"/>
  <c r="RPY6" i="67"/>
  <c r="RPX6" i="67"/>
  <c r="RPW6" i="67"/>
  <c r="RPV6" i="67"/>
  <c r="RPU6" i="67"/>
  <c r="RPT6" i="67"/>
  <c r="RPS6" i="67"/>
  <c r="RPR6" i="67"/>
  <c r="RPQ6" i="67"/>
  <c r="RPP6" i="67"/>
  <c r="RPO6" i="67"/>
  <c r="RPN6" i="67"/>
  <c r="RPM6" i="67"/>
  <c r="RPL6" i="67"/>
  <c r="RPK6" i="67"/>
  <c r="RPJ6" i="67"/>
  <c r="RPI6" i="67"/>
  <c r="RPH6" i="67"/>
  <c r="RPG6" i="67"/>
  <c r="RPF6" i="67"/>
  <c r="RPE6" i="67"/>
  <c r="RPD6" i="67"/>
  <c r="RPC6" i="67"/>
  <c r="RPB6" i="67"/>
  <c r="RPA6" i="67"/>
  <c r="ROZ6" i="67"/>
  <c r="ROY6" i="67"/>
  <c r="ROX6" i="67"/>
  <c r="ROW6" i="67"/>
  <c r="ROV6" i="67"/>
  <c r="ROU6" i="67"/>
  <c r="ROT6" i="67"/>
  <c r="ROS6" i="67"/>
  <c r="ROR6" i="67"/>
  <c r="ROQ6" i="67"/>
  <c r="ROP6" i="67"/>
  <c r="ROO6" i="67"/>
  <c r="RON6" i="67"/>
  <c r="ROM6" i="67"/>
  <c r="ROL6" i="67"/>
  <c r="ROK6" i="67"/>
  <c r="ROJ6" i="67"/>
  <c r="ROI6" i="67"/>
  <c r="ROH6" i="67"/>
  <c r="ROG6" i="67"/>
  <c r="ROF6" i="67"/>
  <c r="ROE6" i="67"/>
  <c r="ROD6" i="67"/>
  <c r="ROC6" i="67"/>
  <c r="ROB6" i="67"/>
  <c r="ROA6" i="67"/>
  <c r="RNZ6" i="67"/>
  <c r="RNY6" i="67"/>
  <c r="RNX6" i="67"/>
  <c r="RNW6" i="67"/>
  <c r="RNV6" i="67"/>
  <c r="RNU6" i="67"/>
  <c r="RNT6" i="67"/>
  <c r="RNS6" i="67"/>
  <c r="RNR6" i="67"/>
  <c r="RNQ6" i="67"/>
  <c r="RNP6" i="67"/>
  <c r="RNO6" i="67"/>
  <c r="RNN6" i="67"/>
  <c r="RNM6" i="67"/>
  <c r="RNL6" i="67"/>
  <c r="RNK6" i="67"/>
  <c r="RNJ6" i="67"/>
  <c r="RNI6" i="67"/>
  <c r="RNH6" i="67"/>
  <c r="RNG6" i="67"/>
  <c r="RNF6" i="67"/>
  <c r="RNE6" i="67"/>
  <c r="RND6" i="67"/>
  <c r="RNC6" i="67"/>
  <c r="RNB6" i="67"/>
  <c r="RNA6" i="67"/>
  <c r="RMZ6" i="67"/>
  <c r="RMY6" i="67"/>
  <c r="RMX6" i="67"/>
  <c r="RMW6" i="67"/>
  <c r="RMV6" i="67"/>
  <c r="RMU6" i="67"/>
  <c r="RMT6" i="67"/>
  <c r="RMS6" i="67"/>
  <c r="RMR6" i="67"/>
  <c r="RMQ6" i="67"/>
  <c r="RMP6" i="67"/>
  <c r="RMO6" i="67"/>
  <c r="RMN6" i="67"/>
  <c r="RMM6" i="67"/>
  <c r="RML6" i="67"/>
  <c r="RMK6" i="67"/>
  <c r="RMJ6" i="67"/>
  <c r="RMI6" i="67"/>
  <c r="RMH6" i="67"/>
  <c r="RMG6" i="67"/>
  <c r="RMF6" i="67"/>
  <c r="RME6" i="67"/>
  <c r="RMD6" i="67"/>
  <c r="RMC6" i="67"/>
  <c r="RMB6" i="67"/>
  <c r="RMA6" i="67"/>
  <c r="RLZ6" i="67"/>
  <c r="RLY6" i="67"/>
  <c r="RLX6" i="67"/>
  <c r="RLW6" i="67"/>
  <c r="RLV6" i="67"/>
  <c r="RLU6" i="67"/>
  <c r="RLT6" i="67"/>
  <c r="RLS6" i="67"/>
  <c r="RLR6" i="67"/>
  <c r="RLQ6" i="67"/>
  <c r="RLP6" i="67"/>
  <c r="RLO6" i="67"/>
  <c r="RLN6" i="67"/>
  <c r="RLM6" i="67"/>
  <c r="RLL6" i="67"/>
  <c r="RLK6" i="67"/>
  <c r="RLJ6" i="67"/>
  <c r="RLI6" i="67"/>
  <c r="RLH6" i="67"/>
  <c r="RLG6" i="67"/>
  <c r="RLF6" i="67"/>
  <c r="RLE6" i="67"/>
  <c r="RLD6" i="67"/>
  <c r="RLC6" i="67"/>
  <c r="RLB6" i="67"/>
  <c r="RLA6" i="67"/>
  <c r="RKZ6" i="67"/>
  <c r="RKY6" i="67"/>
  <c r="RKX6" i="67"/>
  <c r="RKW6" i="67"/>
  <c r="RKV6" i="67"/>
  <c r="RKU6" i="67"/>
  <c r="RKT6" i="67"/>
  <c r="RKS6" i="67"/>
  <c r="RKR6" i="67"/>
  <c r="RKQ6" i="67"/>
  <c r="RKP6" i="67"/>
  <c r="RKO6" i="67"/>
  <c r="RKN6" i="67"/>
  <c r="RKM6" i="67"/>
  <c r="RKL6" i="67"/>
  <c r="RKK6" i="67"/>
  <c r="RKJ6" i="67"/>
  <c r="RKI6" i="67"/>
  <c r="RKH6" i="67"/>
  <c r="RKG6" i="67"/>
  <c r="RKF6" i="67"/>
  <c r="RKE6" i="67"/>
  <c r="RKD6" i="67"/>
  <c r="RKC6" i="67"/>
  <c r="RKB6" i="67"/>
  <c r="RKA6" i="67"/>
  <c r="RJZ6" i="67"/>
  <c r="RJY6" i="67"/>
  <c r="RJX6" i="67"/>
  <c r="RJW6" i="67"/>
  <c r="RJV6" i="67"/>
  <c r="RJU6" i="67"/>
  <c r="RJT6" i="67"/>
  <c r="RJS6" i="67"/>
  <c r="RJR6" i="67"/>
  <c r="RJQ6" i="67"/>
  <c r="RJP6" i="67"/>
  <c r="RJO6" i="67"/>
  <c r="RJN6" i="67"/>
  <c r="RJM6" i="67"/>
  <c r="RJL6" i="67"/>
  <c r="RJK6" i="67"/>
  <c r="RJJ6" i="67"/>
  <c r="RJI6" i="67"/>
  <c r="RJH6" i="67"/>
  <c r="RJG6" i="67"/>
  <c r="RJF6" i="67"/>
  <c r="RJE6" i="67"/>
  <c r="RJD6" i="67"/>
  <c r="RJC6" i="67"/>
  <c r="RJB6" i="67"/>
  <c r="RJA6" i="67"/>
  <c r="RIZ6" i="67"/>
  <c r="RIY6" i="67"/>
  <c r="RIX6" i="67"/>
  <c r="RIW6" i="67"/>
  <c r="RIV6" i="67"/>
  <c r="RIU6" i="67"/>
  <c r="RIT6" i="67"/>
  <c r="RIS6" i="67"/>
  <c r="RIR6" i="67"/>
  <c r="RIQ6" i="67"/>
  <c r="RIP6" i="67"/>
  <c r="RIO6" i="67"/>
  <c r="RIN6" i="67"/>
  <c r="RIM6" i="67"/>
  <c r="RIL6" i="67"/>
  <c r="RIK6" i="67"/>
  <c r="RIJ6" i="67"/>
  <c r="RII6" i="67"/>
  <c r="RIH6" i="67"/>
  <c r="RIG6" i="67"/>
  <c r="RIF6" i="67"/>
  <c r="RIE6" i="67"/>
  <c r="RID6" i="67"/>
  <c r="RIC6" i="67"/>
  <c r="RIB6" i="67"/>
  <c r="RIA6" i="67"/>
  <c r="RHZ6" i="67"/>
  <c r="RHY6" i="67"/>
  <c r="RHX6" i="67"/>
  <c r="RHW6" i="67"/>
  <c r="RHV6" i="67"/>
  <c r="RHU6" i="67"/>
  <c r="RHT6" i="67"/>
  <c r="RHS6" i="67"/>
  <c r="RHR6" i="67"/>
  <c r="RHQ6" i="67"/>
  <c r="RHP6" i="67"/>
  <c r="RHO6" i="67"/>
  <c r="RHN6" i="67"/>
  <c r="RHM6" i="67"/>
  <c r="RHL6" i="67"/>
  <c r="RHK6" i="67"/>
  <c r="RHJ6" i="67"/>
  <c r="RHI6" i="67"/>
  <c r="RHH6" i="67"/>
  <c r="RHG6" i="67"/>
  <c r="RHF6" i="67"/>
  <c r="RHE6" i="67"/>
  <c r="RHD6" i="67"/>
  <c r="RHC6" i="67"/>
  <c r="RHB6" i="67"/>
  <c r="RHA6" i="67"/>
  <c r="RGZ6" i="67"/>
  <c r="RGY6" i="67"/>
  <c r="RGX6" i="67"/>
  <c r="RGW6" i="67"/>
  <c r="RGV6" i="67"/>
  <c r="RGU6" i="67"/>
  <c r="RGT6" i="67"/>
  <c r="RGS6" i="67"/>
  <c r="RGR6" i="67"/>
  <c r="RGQ6" i="67"/>
  <c r="RGP6" i="67"/>
  <c r="RGO6" i="67"/>
  <c r="RGN6" i="67"/>
  <c r="RGM6" i="67"/>
  <c r="RGL6" i="67"/>
  <c r="RGK6" i="67"/>
  <c r="RGJ6" i="67"/>
  <c r="RGI6" i="67"/>
  <c r="RGH6" i="67"/>
  <c r="RGG6" i="67"/>
  <c r="RGF6" i="67"/>
  <c r="RGE6" i="67"/>
  <c r="RGD6" i="67"/>
  <c r="RGC6" i="67"/>
  <c r="RGB6" i="67"/>
  <c r="RGA6" i="67"/>
  <c r="RFZ6" i="67"/>
  <c r="RFY6" i="67"/>
  <c r="RFX6" i="67"/>
  <c r="RFW6" i="67"/>
  <c r="RFV6" i="67"/>
  <c r="RFU6" i="67"/>
  <c r="RFT6" i="67"/>
  <c r="RFS6" i="67"/>
  <c r="RFR6" i="67"/>
  <c r="RFQ6" i="67"/>
  <c r="RFP6" i="67"/>
  <c r="RFO6" i="67"/>
  <c r="RFN6" i="67"/>
  <c r="RFM6" i="67"/>
  <c r="RFL6" i="67"/>
  <c r="RFK6" i="67"/>
  <c r="RFJ6" i="67"/>
  <c r="RFI6" i="67"/>
  <c r="RFH6" i="67"/>
  <c r="RFG6" i="67"/>
  <c r="RFF6" i="67"/>
  <c r="RFE6" i="67"/>
  <c r="RFD6" i="67"/>
  <c r="RFC6" i="67"/>
  <c r="RFB6" i="67"/>
  <c r="RFA6" i="67"/>
  <c r="REZ6" i="67"/>
  <c r="REY6" i="67"/>
  <c r="REX6" i="67"/>
  <c r="REW6" i="67"/>
  <c r="REV6" i="67"/>
  <c r="REU6" i="67"/>
  <c r="RET6" i="67"/>
  <c r="RES6" i="67"/>
  <c r="RER6" i="67"/>
  <c r="REQ6" i="67"/>
  <c r="REP6" i="67"/>
  <c r="REO6" i="67"/>
  <c r="REN6" i="67"/>
  <c r="REM6" i="67"/>
  <c r="REL6" i="67"/>
  <c r="REK6" i="67"/>
  <c r="REJ6" i="67"/>
  <c r="REI6" i="67"/>
  <c r="REH6" i="67"/>
  <c r="REG6" i="67"/>
  <c r="REF6" i="67"/>
  <c r="REE6" i="67"/>
  <c r="RED6" i="67"/>
  <c r="REC6" i="67"/>
  <c r="REB6" i="67"/>
  <c r="REA6" i="67"/>
  <c r="RDZ6" i="67"/>
  <c r="RDY6" i="67"/>
  <c r="RDX6" i="67"/>
  <c r="RDW6" i="67"/>
  <c r="RDV6" i="67"/>
  <c r="RDU6" i="67"/>
  <c r="RDT6" i="67"/>
  <c r="RDS6" i="67"/>
  <c r="RDR6" i="67"/>
  <c r="RDQ6" i="67"/>
  <c r="RDP6" i="67"/>
  <c r="RDO6" i="67"/>
  <c r="RDN6" i="67"/>
  <c r="RDM6" i="67"/>
  <c r="RDL6" i="67"/>
  <c r="RDK6" i="67"/>
  <c r="RDJ6" i="67"/>
  <c r="RDI6" i="67"/>
  <c r="RDH6" i="67"/>
  <c r="RDG6" i="67"/>
  <c r="RDF6" i="67"/>
  <c r="RDE6" i="67"/>
  <c r="RDD6" i="67"/>
  <c r="RDC6" i="67"/>
  <c r="RDB6" i="67"/>
  <c r="RDA6" i="67"/>
  <c r="RCZ6" i="67"/>
  <c r="RCY6" i="67"/>
  <c r="RCX6" i="67"/>
  <c r="RCW6" i="67"/>
  <c r="RCV6" i="67"/>
  <c r="RCU6" i="67"/>
  <c r="RCT6" i="67"/>
  <c r="RCS6" i="67"/>
  <c r="RCR6" i="67"/>
  <c r="RCQ6" i="67"/>
  <c r="RCP6" i="67"/>
  <c r="RCO6" i="67"/>
  <c r="RCN6" i="67"/>
  <c r="RCM6" i="67"/>
  <c r="RCL6" i="67"/>
  <c r="RCK6" i="67"/>
  <c r="RCJ6" i="67"/>
  <c r="RCI6" i="67"/>
  <c r="RCH6" i="67"/>
  <c r="RCG6" i="67"/>
  <c r="RCF6" i="67"/>
  <c r="RCE6" i="67"/>
  <c r="RCD6" i="67"/>
  <c r="RCC6" i="67"/>
  <c r="RCB6" i="67"/>
  <c r="RCA6" i="67"/>
  <c r="RBZ6" i="67"/>
  <c r="RBY6" i="67"/>
  <c r="RBX6" i="67"/>
  <c r="RBW6" i="67"/>
  <c r="RBV6" i="67"/>
  <c r="RBU6" i="67"/>
  <c r="RBT6" i="67"/>
  <c r="RBS6" i="67"/>
  <c r="RBR6" i="67"/>
  <c r="RBQ6" i="67"/>
  <c r="RBP6" i="67"/>
  <c r="RBO6" i="67"/>
  <c r="RBN6" i="67"/>
  <c r="RBM6" i="67"/>
  <c r="RBL6" i="67"/>
  <c r="RBK6" i="67"/>
  <c r="RBJ6" i="67"/>
  <c r="RBI6" i="67"/>
  <c r="RBH6" i="67"/>
  <c r="RBG6" i="67"/>
  <c r="RBF6" i="67"/>
  <c r="RBE6" i="67"/>
  <c r="RBD6" i="67"/>
  <c r="RBC6" i="67"/>
  <c r="RBB6" i="67"/>
  <c r="RBA6" i="67"/>
  <c r="RAZ6" i="67"/>
  <c r="RAY6" i="67"/>
  <c r="RAX6" i="67"/>
  <c r="RAW6" i="67"/>
  <c r="RAV6" i="67"/>
  <c r="RAU6" i="67"/>
  <c r="RAT6" i="67"/>
  <c r="RAS6" i="67"/>
  <c r="RAR6" i="67"/>
  <c r="RAQ6" i="67"/>
  <c r="RAP6" i="67"/>
  <c r="RAO6" i="67"/>
  <c r="RAN6" i="67"/>
  <c r="RAM6" i="67"/>
  <c r="RAL6" i="67"/>
  <c r="RAK6" i="67"/>
  <c r="RAJ6" i="67"/>
  <c r="RAI6" i="67"/>
  <c r="RAH6" i="67"/>
  <c r="RAG6" i="67"/>
  <c r="RAF6" i="67"/>
  <c r="RAE6" i="67"/>
  <c r="RAD6" i="67"/>
  <c r="RAC6" i="67"/>
  <c r="RAB6" i="67"/>
  <c r="RAA6" i="67"/>
  <c r="QZZ6" i="67"/>
  <c r="QZY6" i="67"/>
  <c r="QZX6" i="67"/>
  <c r="QZW6" i="67"/>
  <c r="QZV6" i="67"/>
  <c r="QZU6" i="67"/>
  <c r="QZT6" i="67"/>
  <c r="QZS6" i="67"/>
  <c r="QZR6" i="67"/>
  <c r="QZQ6" i="67"/>
  <c r="QZP6" i="67"/>
  <c r="QZO6" i="67"/>
  <c r="QZN6" i="67"/>
  <c r="QZM6" i="67"/>
  <c r="QZL6" i="67"/>
  <c r="QZK6" i="67"/>
  <c r="QZJ6" i="67"/>
  <c r="QZI6" i="67"/>
  <c r="QZH6" i="67"/>
  <c r="QZG6" i="67"/>
  <c r="QZF6" i="67"/>
  <c r="QZE6" i="67"/>
  <c r="QZD6" i="67"/>
  <c r="QZC6" i="67"/>
  <c r="QZB6" i="67"/>
  <c r="QZA6" i="67"/>
  <c r="QYZ6" i="67"/>
  <c r="QYY6" i="67"/>
  <c r="QYX6" i="67"/>
  <c r="QYW6" i="67"/>
  <c r="QYV6" i="67"/>
  <c r="QYU6" i="67"/>
  <c r="QYT6" i="67"/>
  <c r="QYS6" i="67"/>
  <c r="QYR6" i="67"/>
  <c r="QYQ6" i="67"/>
  <c r="QYP6" i="67"/>
  <c r="QYO6" i="67"/>
  <c r="QYN6" i="67"/>
  <c r="QYM6" i="67"/>
  <c r="QYL6" i="67"/>
  <c r="QYK6" i="67"/>
  <c r="QYJ6" i="67"/>
  <c r="QYI6" i="67"/>
  <c r="QYH6" i="67"/>
  <c r="QYG6" i="67"/>
  <c r="QYF6" i="67"/>
  <c r="QYE6" i="67"/>
  <c r="QYD6" i="67"/>
  <c r="QYC6" i="67"/>
  <c r="QYB6" i="67"/>
  <c r="QYA6" i="67"/>
  <c r="QXZ6" i="67"/>
  <c r="QXY6" i="67"/>
  <c r="QXX6" i="67"/>
  <c r="QXW6" i="67"/>
  <c r="QXV6" i="67"/>
  <c r="QXU6" i="67"/>
  <c r="QXT6" i="67"/>
  <c r="QXS6" i="67"/>
  <c r="QXR6" i="67"/>
  <c r="QXQ6" i="67"/>
  <c r="QXP6" i="67"/>
  <c r="QXO6" i="67"/>
  <c r="QXN6" i="67"/>
  <c r="QXM6" i="67"/>
  <c r="QXL6" i="67"/>
  <c r="QXK6" i="67"/>
  <c r="QXJ6" i="67"/>
  <c r="QXI6" i="67"/>
  <c r="QXH6" i="67"/>
  <c r="QXG6" i="67"/>
  <c r="QXF6" i="67"/>
  <c r="QXE6" i="67"/>
  <c r="QXD6" i="67"/>
  <c r="QXC6" i="67"/>
  <c r="QXB6" i="67"/>
  <c r="QXA6" i="67"/>
  <c r="QWZ6" i="67"/>
  <c r="QWY6" i="67"/>
  <c r="QWX6" i="67"/>
  <c r="QWW6" i="67"/>
  <c r="QWV6" i="67"/>
  <c r="QWU6" i="67"/>
  <c r="QWT6" i="67"/>
  <c r="QWS6" i="67"/>
  <c r="QWR6" i="67"/>
  <c r="QWQ6" i="67"/>
  <c r="QWP6" i="67"/>
  <c r="QWO6" i="67"/>
  <c r="QWN6" i="67"/>
  <c r="QWM6" i="67"/>
  <c r="QWL6" i="67"/>
  <c r="QWK6" i="67"/>
  <c r="QWJ6" i="67"/>
  <c r="QWI6" i="67"/>
  <c r="QWH6" i="67"/>
  <c r="QWG6" i="67"/>
  <c r="QWF6" i="67"/>
  <c r="QWE6" i="67"/>
  <c r="QWD6" i="67"/>
  <c r="QWC6" i="67"/>
  <c r="QWB6" i="67"/>
  <c r="QWA6" i="67"/>
  <c r="QVZ6" i="67"/>
  <c r="QVY6" i="67"/>
  <c r="QVX6" i="67"/>
  <c r="QVW6" i="67"/>
  <c r="QVV6" i="67"/>
  <c r="QVU6" i="67"/>
  <c r="QVT6" i="67"/>
  <c r="QVS6" i="67"/>
  <c r="QVR6" i="67"/>
  <c r="QVQ6" i="67"/>
  <c r="QVP6" i="67"/>
  <c r="QVO6" i="67"/>
  <c r="QVN6" i="67"/>
  <c r="QVM6" i="67"/>
  <c r="QVL6" i="67"/>
  <c r="QVK6" i="67"/>
  <c r="QVJ6" i="67"/>
  <c r="QVI6" i="67"/>
  <c r="QVH6" i="67"/>
  <c r="QVG6" i="67"/>
  <c r="QVF6" i="67"/>
  <c r="QVE6" i="67"/>
  <c r="QVD6" i="67"/>
  <c r="QVC6" i="67"/>
  <c r="QVB6" i="67"/>
  <c r="QVA6" i="67"/>
  <c r="QUZ6" i="67"/>
  <c r="QUY6" i="67"/>
  <c r="QUX6" i="67"/>
  <c r="QUW6" i="67"/>
  <c r="QUV6" i="67"/>
  <c r="QUU6" i="67"/>
  <c r="QUT6" i="67"/>
  <c r="QUS6" i="67"/>
  <c r="QUR6" i="67"/>
  <c r="QUQ6" i="67"/>
  <c r="QUP6" i="67"/>
  <c r="QUO6" i="67"/>
  <c r="QUN6" i="67"/>
  <c r="QUM6" i="67"/>
  <c r="QUL6" i="67"/>
  <c r="QUK6" i="67"/>
  <c r="QUJ6" i="67"/>
  <c r="QUI6" i="67"/>
  <c r="QUH6" i="67"/>
  <c r="QUG6" i="67"/>
  <c r="QUF6" i="67"/>
  <c r="QUE6" i="67"/>
  <c r="QUD6" i="67"/>
  <c r="QUC6" i="67"/>
  <c r="QUB6" i="67"/>
  <c r="QUA6" i="67"/>
  <c r="QTZ6" i="67"/>
  <c r="QTY6" i="67"/>
  <c r="QTX6" i="67"/>
  <c r="QTW6" i="67"/>
  <c r="QTV6" i="67"/>
  <c r="QTU6" i="67"/>
  <c r="QTT6" i="67"/>
  <c r="QTS6" i="67"/>
  <c r="QTR6" i="67"/>
  <c r="QTQ6" i="67"/>
  <c r="QTP6" i="67"/>
  <c r="QTO6" i="67"/>
  <c r="QTN6" i="67"/>
  <c r="QTM6" i="67"/>
  <c r="QTL6" i="67"/>
  <c r="QTK6" i="67"/>
  <c r="QTJ6" i="67"/>
  <c r="QTI6" i="67"/>
  <c r="QTH6" i="67"/>
  <c r="QTG6" i="67"/>
  <c r="QTF6" i="67"/>
  <c r="QTE6" i="67"/>
  <c r="QTD6" i="67"/>
  <c r="QTC6" i="67"/>
  <c r="QTB6" i="67"/>
  <c r="QTA6" i="67"/>
  <c r="QSZ6" i="67"/>
  <c r="QSY6" i="67"/>
  <c r="QSX6" i="67"/>
  <c r="QSW6" i="67"/>
  <c r="QSV6" i="67"/>
  <c r="QSU6" i="67"/>
  <c r="QST6" i="67"/>
  <c r="QSS6" i="67"/>
  <c r="QSR6" i="67"/>
  <c r="QSQ6" i="67"/>
  <c r="QSP6" i="67"/>
  <c r="QSO6" i="67"/>
  <c r="QSN6" i="67"/>
  <c r="QSM6" i="67"/>
  <c r="QSL6" i="67"/>
  <c r="QSK6" i="67"/>
  <c r="QSJ6" i="67"/>
  <c r="QSI6" i="67"/>
  <c r="QSH6" i="67"/>
  <c r="QSG6" i="67"/>
  <c r="QSF6" i="67"/>
  <c r="QSE6" i="67"/>
  <c r="QSD6" i="67"/>
  <c r="QSC6" i="67"/>
  <c r="QSB6" i="67"/>
  <c r="QSA6" i="67"/>
  <c r="QRZ6" i="67"/>
  <c r="QRY6" i="67"/>
  <c r="QRX6" i="67"/>
  <c r="QRW6" i="67"/>
  <c r="QRV6" i="67"/>
  <c r="QRU6" i="67"/>
  <c r="QRT6" i="67"/>
  <c r="QRS6" i="67"/>
  <c r="QRR6" i="67"/>
  <c r="QRQ6" i="67"/>
  <c r="QRP6" i="67"/>
  <c r="QRO6" i="67"/>
  <c r="QRN6" i="67"/>
  <c r="QRM6" i="67"/>
  <c r="QRL6" i="67"/>
  <c r="QRK6" i="67"/>
  <c r="QRJ6" i="67"/>
  <c r="QRI6" i="67"/>
  <c r="QRH6" i="67"/>
  <c r="QRG6" i="67"/>
  <c r="QRF6" i="67"/>
  <c r="QRE6" i="67"/>
  <c r="QRD6" i="67"/>
  <c r="QRC6" i="67"/>
  <c r="QRB6" i="67"/>
  <c r="QRA6" i="67"/>
  <c r="QQZ6" i="67"/>
  <c r="QQY6" i="67"/>
  <c r="QQX6" i="67"/>
  <c r="QQW6" i="67"/>
  <c r="QQV6" i="67"/>
  <c r="QQU6" i="67"/>
  <c r="QQT6" i="67"/>
  <c r="QQS6" i="67"/>
  <c r="QQR6" i="67"/>
  <c r="QQQ6" i="67"/>
  <c r="QQP6" i="67"/>
  <c r="QQO6" i="67"/>
  <c r="QQN6" i="67"/>
  <c r="QQM6" i="67"/>
  <c r="QQL6" i="67"/>
  <c r="QQK6" i="67"/>
  <c r="QQJ6" i="67"/>
  <c r="QQI6" i="67"/>
  <c r="QQH6" i="67"/>
  <c r="QQG6" i="67"/>
  <c r="QQF6" i="67"/>
  <c r="QQE6" i="67"/>
  <c r="QQD6" i="67"/>
  <c r="QQC6" i="67"/>
  <c r="QQB6" i="67"/>
  <c r="QQA6" i="67"/>
  <c r="QPZ6" i="67"/>
  <c r="QPY6" i="67"/>
  <c r="QPX6" i="67"/>
  <c r="QPW6" i="67"/>
  <c r="QPV6" i="67"/>
  <c r="QPU6" i="67"/>
  <c r="QPT6" i="67"/>
  <c r="QPS6" i="67"/>
  <c r="QPR6" i="67"/>
  <c r="QPQ6" i="67"/>
  <c r="QPP6" i="67"/>
  <c r="QPO6" i="67"/>
  <c r="QPN6" i="67"/>
  <c r="QPM6" i="67"/>
  <c r="QPL6" i="67"/>
  <c r="QPK6" i="67"/>
  <c r="QPJ6" i="67"/>
  <c r="QPI6" i="67"/>
  <c r="QPH6" i="67"/>
  <c r="QPG6" i="67"/>
  <c r="QPF6" i="67"/>
  <c r="QPE6" i="67"/>
  <c r="QPD6" i="67"/>
  <c r="QPC6" i="67"/>
  <c r="QPB6" i="67"/>
  <c r="QPA6" i="67"/>
  <c r="QOZ6" i="67"/>
  <c r="QOY6" i="67"/>
  <c r="QOX6" i="67"/>
  <c r="QOW6" i="67"/>
  <c r="QOV6" i="67"/>
  <c r="QOU6" i="67"/>
  <c r="QOT6" i="67"/>
  <c r="QOS6" i="67"/>
  <c r="QOR6" i="67"/>
  <c r="QOQ6" i="67"/>
  <c r="QOP6" i="67"/>
  <c r="QOO6" i="67"/>
  <c r="QON6" i="67"/>
  <c r="QOM6" i="67"/>
  <c r="QOL6" i="67"/>
  <c r="QOK6" i="67"/>
  <c r="QOJ6" i="67"/>
  <c r="QOI6" i="67"/>
  <c r="QOH6" i="67"/>
  <c r="QOG6" i="67"/>
  <c r="QOF6" i="67"/>
  <c r="QOE6" i="67"/>
  <c r="QOD6" i="67"/>
  <c r="QOC6" i="67"/>
  <c r="QOB6" i="67"/>
  <c r="QOA6" i="67"/>
  <c r="QNZ6" i="67"/>
  <c r="QNY6" i="67"/>
  <c r="QNX6" i="67"/>
  <c r="QNW6" i="67"/>
  <c r="QNV6" i="67"/>
  <c r="QNU6" i="67"/>
  <c r="QNT6" i="67"/>
  <c r="QNS6" i="67"/>
  <c r="QNR6" i="67"/>
  <c r="QNQ6" i="67"/>
  <c r="QNP6" i="67"/>
  <c r="QNO6" i="67"/>
  <c r="QNN6" i="67"/>
  <c r="QNM6" i="67"/>
  <c r="QNL6" i="67"/>
  <c r="QNK6" i="67"/>
  <c r="QNJ6" i="67"/>
  <c r="QNI6" i="67"/>
  <c r="QNH6" i="67"/>
  <c r="QNG6" i="67"/>
  <c r="QNF6" i="67"/>
  <c r="QNE6" i="67"/>
  <c r="QND6" i="67"/>
  <c r="QNC6" i="67"/>
  <c r="QNB6" i="67"/>
  <c r="QNA6" i="67"/>
  <c r="QMZ6" i="67"/>
  <c r="QMY6" i="67"/>
  <c r="QMX6" i="67"/>
  <c r="QMW6" i="67"/>
  <c r="QMV6" i="67"/>
  <c r="QMU6" i="67"/>
  <c r="QMT6" i="67"/>
  <c r="QMS6" i="67"/>
  <c r="QMR6" i="67"/>
  <c r="QMQ6" i="67"/>
  <c r="QMP6" i="67"/>
  <c r="QMO6" i="67"/>
  <c r="QMN6" i="67"/>
  <c r="QMM6" i="67"/>
  <c r="QML6" i="67"/>
  <c r="QMK6" i="67"/>
  <c r="QMJ6" i="67"/>
  <c r="QMI6" i="67"/>
  <c r="QMH6" i="67"/>
  <c r="QMG6" i="67"/>
  <c r="QMF6" i="67"/>
  <c r="QME6" i="67"/>
  <c r="QMD6" i="67"/>
  <c r="QMC6" i="67"/>
  <c r="QMB6" i="67"/>
  <c r="QMA6" i="67"/>
  <c r="QLZ6" i="67"/>
  <c r="QLY6" i="67"/>
  <c r="QLX6" i="67"/>
  <c r="QLW6" i="67"/>
  <c r="QLV6" i="67"/>
  <c r="QLU6" i="67"/>
  <c r="QLT6" i="67"/>
  <c r="QLS6" i="67"/>
  <c r="QLR6" i="67"/>
  <c r="QLQ6" i="67"/>
  <c r="QLP6" i="67"/>
  <c r="QLO6" i="67"/>
  <c r="QLN6" i="67"/>
  <c r="QLM6" i="67"/>
  <c r="QLL6" i="67"/>
  <c r="QLK6" i="67"/>
  <c r="QLJ6" i="67"/>
  <c r="QLI6" i="67"/>
  <c r="QLH6" i="67"/>
  <c r="QLG6" i="67"/>
  <c r="QLF6" i="67"/>
  <c r="QLE6" i="67"/>
  <c r="QLD6" i="67"/>
  <c r="QLC6" i="67"/>
  <c r="QLB6" i="67"/>
  <c r="QLA6" i="67"/>
  <c r="QKZ6" i="67"/>
  <c r="QKY6" i="67"/>
  <c r="QKX6" i="67"/>
  <c r="QKW6" i="67"/>
  <c r="QKV6" i="67"/>
  <c r="QKU6" i="67"/>
  <c r="QKT6" i="67"/>
  <c r="QKS6" i="67"/>
  <c r="QKR6" i="67"/>
  <c r="QKQ6" i="67"/>
  <c r="QKP6" i="67"/>
  <c r="QKO6" i="67"/>
  <c r="QKN6" i="67"/>
  <c r="QKM6" i="67"/>
  <c r="QKL6" i="67"/>
  <c r="QKK6" i="67"/>
  <c r="QKJ6" i="67"/>
  <c r="QKI6" i="67"/>
  <c r="QKH6" i="67"/>
  <c r="QKG6" i="67"/>
  <c r="QKF6" i="67"/>
  <c r="QKE6" i="67"/>
  <c r="QKD6" i="67"/>
  <c r="QKC6" i="67"/>
  <c r="QKB6" i="67"/>
  <c r="QKA6" i="67"/>
  <c r="QJZ6" i="67"/>
  <c r="QJY6" i="67"/>
  <c r="QJX6" i="67"/>
  <c r="QJW6" i="67"/>
  <c r="QJV6" i="67"/>
  <c r="QJU6" i="67"/>
  <c r="QJT6" i="67"/>
  <c r="QJS6" i="67"/>
  <c r="QJR6" i="67"/>
  <c r="QJQ6" i="67"/>
  <c r="QJP6" i="67"/>
  <c r="QJO6" i="67"/>
  <c r="QJN6" i="67"/>
  <c r="QJM6" i="67"/>
  <c r="QJL6" i="67"/>
  <c r="QJK6" i="67"/>
  <c r="QJJ6" i="67"/>
  <c r="QJI6" i="67"/>
  <c r="QJH6" i="67"/>
  <c r="QJG6" i="67"/>
  <c r="QJF6" i="67"/>
  <c r="QJE6" i="67"/>
  <c r="QJD6" i="67"/>
  <c r="QJC6" i="67"/>
  <c r="QJB6" i="67"/>
  <c r="QJA6" i="67"/>
  <c r="QIZ6" i="67"/>
  <c r="QIY6" i="67"/>
  <c r="QIX6" i="67"/>
  <c r="QIW6" i="67"/>
  <c r="QIV6" i="67"/>
  <c r="QIU6" i="67"/>
  <c r="QIT6" i="67"/>
  <c r="QIS6" i="67"/>
  <c r="QIR6" i="67"/>
  <c r="QIQ6" i="67"/>
  <c r="QIP6" i="67"/>
  <c r="QIO6" i="67"/>
  <c r="QIN6" i="67"/>
  <c r="QIM6" i="67"/>
  <c r="QIL6" i="67"/>
  <c r="QIK6" i="67"/>
  <c r="QIJ6" i="67"/>
  <c r="QII6" i="67"/>
  <c r="QIH6" i="67"/>
  <c r="QIG6" i="67"/>
  <c r="QIF6" i="67"/>
  <c r="QIE6" i="67"/>
  <c r="QID6" i="67"/>
  <c r="QIC6" i="67"/>
  <c r="QIB6" i="67"/>
  <c r="QIA6" i="67"/>
  <c r="QHZ6" i="67"/>
  <c r="QHY6" i="67"/>
  <c r="QHX6" i="67"/>
  <c r="QHW6" i="67"/>
  <c r="QHV6" i="67"/>
  <c r="QHU6" i="67"/>
  <c r="QHT6" i="67"/>
  <c r="QHS6" i="67"/>
  <c r="QHR6" i="67"/>
  <c r="QHQ6" i="67"/>
  <c r="QHP6" i="67"/>
  <c r="QHO6" i="67"/>
  <c r="QHN6" i="67"/>
  <c r="QHM6" i="67"/>
  <c r="QHL6" i="67"/>
  <c r="QHK6" i="67"/>
  <c r="QHJ6" i="67"/>
  <c r="QHI6" i="67"/>
  <c r="QHH6" i="67"/>
  <c r="QHG6" i="67"/>
  <c r="QHF6" i="67"/>
  <c r="QHE6" i="67"/>
  <c r="QHD6" i="67"/>
  <c r="QHC6" i="67"/>
  <c r="QHB6" i="67"/>
  <c r="QHA6" i="67"/>
  <c r="QGZ6" i="67"/>
  <c r="QGY6" i="67"/>
  <c r="QGX6" i="67"/>
  <c r="QGW6" i="67"/>
  <c r="QGV6" i="67"/>
  <c r="QGU6" i="67"/>
  <c r="QGT6" i="67"/>
  <c r="QGS6" i="67"/>
  <c r="QGR6" i="67"/>
  <c r="QGQ6" i="67"/>
  <c r="QGP6" i="67"/>
  <c r="QGO6" i="67"/>
  <c r="QGN6" i="67"/>
  <c r="QGM6" i="67"/>
  <c r="QGL6" i="67"/>
  <c r="QGK6" i="67"/>
  <c r="QGJ6" i="67"/>
  <c r="QGI6" i="67"/>
  <c r="QGH6" i="67"/>
  <c r="QGG6" i="67"/>
  <c r="QGF6" i="67"/>
  <c r="QGE6" i="67"/>
  <c r="QGD6" i="67"/>
  <c r="QGC6" i="67"/>
  <c r="QGB6" i="67"/>
  <c r="QGA6" i="67"/>
  <c r="QFZ6" i="67"/>
  <c r="QFY6" i="67"/>
  <c r="QFX6" i="67"/>
  <c r="QFW6" i="67"/>
  <c r="QFV6" i="67"/>
  <c r="QFU6" i="67"/>
  <c r="QFT6" i="67"/>
  <c r="QFS6" i="67"/>
  <c r="QFR6" i="67"/>
  <c r="QFQ6" i="67"/>
  <c r="QFP6" i="67"/>
  <c r="QFO6" i="67"/>
  <c r="QFN6" i="67"/>
  <c r="QFM6" i="67"/>
  <c r="QFL6" i="67"/>
  <c r="QFK6" i="67"/>
  <c r="QFJ6" i="67"/>
  <c r="QFI6" i="67"/>
  <c r="QFH6" i="67"/>
  <c r="QFG6" i="67"/>
  <c r="QFF6" i="67"/>
  <c r="QFE6" i="67"/>
  <c r="QFD6" i="67"/>
  <c r="QFC6" i="67"/>
  <c r="QFB6" i="67"/>
  <c r="QFA6" i="67"/>
  <c r="QEZ6" i="67"/>
  <c r="QEY6" i="67"/>
  <c r="QEX6" i="67"/>
  <c r="QEW6" i="67"/>
  <c r="QEV6" i="67"/>
  <c r="QEU6" i="67"/>
  <c r="QET6" i="67"/>
  <c r="QES6" i="67"/>
  <c r="QER6" i="67"/>
  <c r="QEQ6" i="67"/>
  <c r="QEP6" i="67"/>
  <c r="QEO6" i="67"/>
  <c r="QEN6" i="67"/>
  <c r="QEM6" i="67"/>
  <c r="QEL6" i="67"/>
  <c r="QEK6" i="67"/>
  <c r="QEJ6" i="67"/>
  <c r="QEI6" i="67"/>
  <c r="QEH6" i="67"/>
  <c r="QEG6" i="67"/>
  <c r="QEF6" i="67"/>
  <c r="QEE6" i="67"/>
  <c r="QED6" i="67"/>
  <c r="QEC6" i="67"/>
  <c r="QEB6" i="67"/>
  <c r="QEA6" i="67"/>
  <c r="QDZ6" i="67"/>
  <c r="QDY6" i="67"/>
  <c r="QDX6" i="67"/>
  <c r="QDW6" i="67"/>
  <c r="QDV6" i="67"/>
  <c r="QDU6" i="67"/>
  <c r="QDT6" i="67"/>
  <c r="QDS6" i="67"/>
  <c r="QDR6" i="67"/>
  <c r="QDQ6" i="67"/>
  <c r="QDP6" i="67"/>
  <c r="QDO6" i="67"/>
  <c r="QDN6" i="67"/>
  <c r="QDM6" i="67"/>
  <c r="QDL6" i="67"/>
  <c r="QDK6" i="67"/>
  <c r="QDJ6" i="67"/>
  <c r="QDI6" i="67"/>
  <c r="QDH6" i="67"/>
  <c r="QDG6" i="67"/>
  <c r="QDF6" i="67"/>
  <c r="QDE6" i="67"/>
  <c r="QDD6" i="67"/>
  <c r="QDC6" i="67"/>
  <c r="QDB6" i="67"/>
  <c r="QDA6" i="67"/>
  <c r="QCZ6" i="67"/>
  <c r="QCY6" i="67"/>
  <c r="QCX6" i="67"/>
  <c r="QCW6" i="67"/>
  <c r="QCV6" i="67"/>
  <c r="QCU6" i="67"/>
  <c r="QCT6" i="67"/>
  <c r="QCS6" i="67"/>
  <c r="QCR6" i="67"/>
  <c r="QCQ6" i="67"/>
  <c r="QCP6" i="67"/>
  <c r="QCO6" i="67"/>
  <c r="QCN6" i="67"/>
  <c r="QCM6" i="67"/>
  <c r="QCL6" i="67"/>
  <c r="QCK6" i="67"/>
  <c r="QCJ6" i="67"/>
  <c r="QCI6" i="67"/>
  <c r="QCH6" i="67"/>
  <c r="QCG6" i="67"/>
  <c r="QCF6" i="67"/>
  <c r="QCE6" i="67"/>
  <c r="QCD6" i="67"/>
  <c r="QCC6" i="67"/>
  <c r="QCB6" i="67"/>
  <c r="QCA6" i="67"/>
  <c r="QBZ6" i="67"/>
  <c r="QBY6" i="67"/>
  <c r="QBX6" i="67"/>
  <c r="QBW6" i="67"/>
  <c r="QBV6" i="67"/>
  <c r="QBU6" i="67"/>
  <c r="QBT6" i="67"/>
  <c r="QBS6" i="67"/>
  <c r="QBR6" i="67"/>
  <c r="QBQ6" i="67"/>
  <c r="QBP6" i="67"/>
  <c r="QBO6" i="67"/>
  <c r="QBN6" i="67"/>
  <c r="QBM6" i="67"/>
  <c r="QBL6" i="67"/>
  <c r="QBK6" i="67"/>
  <c r="QBJ6" i="67"/>
  <c r="QBI6" i="67"/>
  <c r="QBH6" i="67"/>
  <c r="QBG6" i="67"/>
  <c r="QBF6" i="67"/>
  <c r="QBE6" i="67"/>
  <c r="QBD6" i="67"/>
  <c r="QBC6" i="67"/>
  <c r="QBB6" i="67"/>
  <c r="QBA6" i="67"/>
  <c r="QAZ6" i="67"/>
  <c r="QAY6" i="67"/>
  <c r="QAX6" i="67"/>
  <c r="QAW6" i="67"/>
  <c r="QAV6" i="67"/>
  <c r="QAU6" i="67"/>
  <c r="QAT6" i="67"/>
  <c r="QAS6" i="67"/>
  <c r="QAR6" i="67"/>
  <c r="QAQ6" i="67"/>
  <c r="QAP6" i="67"/>
  <c r="QAO6" i="67"/>
  <c r="QAN6" i="67"/>
  <c r="QAM6" i="67"/>
  <c r="QAL6" i="67"/>
  <c r="QAK6" i="67"/>
  <c r="QAJ6" i="67"/>
  <c r="QAI6" i="67"/>
  <c r="QAH6" i="67"/>
  <c r="QAG6" i="67"/>
  <c r="QAF6" i="67"/>
  <c r="QAE6" i="67"/>
  <c r="QAD6" i="67"/>
  <c r="QAC6" i="67"/>
  <c r="QAB6" i="67"/>
  <c r="QAA6" i="67"/>
  <c r="PZZ6" i="67"/>
  <c r="PZY6" i="67"/>
  <c r="PZX6" i="67"/>
  <c r="PZW6" i="67"/>
  <c r="PZV6" i="67"/>
  <c r="PZU6" i="67"/>
  <c r="PZT6" i="67"/>
  <c r="PZS6" i="67"/>
  <c r="PZR6" i="67"/>
  <c r="PZQ6" i="67"/>
  <c r="PZP6" i="67"/>
  <c r="PZO6" i="67"/>
  <c r="PZN6" i="67"/>
  <c r="PZM6" i="67"/>
  <c r="PZL6" i="67"/>
  <c r="PZK6" i="67"/>
  <c r="PZJ6" i="67"/>
  <c r="PZI6" i="67"/>
  <c r="PZH6" i="67"/>
  <c r="PZG6" i="67"/>
  <c r="PZF6" i="67"/>
  <c r="PZE6" i="67"/>
  <c r="PZD6" i="67"/>
  <c r="PZC6" i="67"/>
  <c r="PZB6" i="67"/>
  <c r="PZA6" i="67"/>
  <c r="PYZ6" i="67"/>
  <c r="PYY6" i="67"/>
  <c r="PYX6" i="67"/>
  <c r="PYW6" i="67"/>
  <c r="PYV6" i="67"/>
  <c r="PYU6" i="67"/>
  <c r="PYT6" i="67"/>
  <c r="PYS6" i="67"/>
  <c r="PYR6" i="67"/>
  <c r="PYQ6" i="67"/>
  <c r="PYP6" i="67"/>
  <c r="PYO6" i="67"/>
  <c r="PYN6" i="67"/>
  <c r="PYM6" i="67"/>
  <c r="PYL6" i="67"/>
  <c r="PYK6" i="67"/>
  <c r="PYJ6" i="67"/>
  <c r="PYI6" i="67"/>
  <c r="PYH6" i="67"/>
  <c r="PYG6" i="67"/>
  <c r="PYF6" i="67"/>
  <c r="PYE6" i="67"/>
  <c r="PYD6" i="67"/>
  <c r="PYC6" i="67"/>
  <c r="PYB6" i="67"/>
  <c r="PYA6" i="67"/>
  <c r="PXZ6" i="67"/>
  <c r="PXY6" i="67"/>
  <c r="PXX6" i="67"/>
  <c r="PXW6" i="67"/>
  <c r="PXV6" i="67"/>
  <c r="PXU6" i="67"/>
  <c r="PXT6" i="67"/>
  <c r="PXS6" i="67"/>
  <c r="PXR6" i="67"/>
  <c r="PXQ6" i="67"/>
  <c r="PXP6" i="67"/>
  <c r="PXO6" i="67"/>
  <c r="PXN6" i="67"/>
  <c r="PXM6" i="67"/>
  <c r="PXL6" i="67"/>
  <c r="PXK6" i="67"/>
  <c r="PXJ6" i="67"/>
  <c r="PXI6" i="67"/>
  <c r="PXH6" i="67"/>
  <c r="PXG6" i="67"/>
  <c r="PXF6" i="67"/>
  <c r="PXE6" i="67"/>
  <c r="PXD6" i="67"/>
  <c r="PXC6" i="67"/>
  <c r="PXB6" i="67"/>
  <c r="PXA6" i="67"/>
  <c r="PWZ6" i="67"/>
  <c r="PWY6" i="67"/>
  <c r="PWX6" i="67"/>
  <c r="PWW6" i="67"/>
  <c r="PWV6" i="67"/>
  <c r="PWU6" i="67"/>
  <c r="PWT6" i="67"/>
  <c r="PWS6" i="67"/>
  <c r="PWR6" i="67"/>
  <c r="PWQ6" i="67"/>
  <c r="PWP6" i="67"/>
  <c r="PWO6" i="67"/>
  <c r="PWN6" i="67"/>
  <c r="PWM6" i="67"/>
  <c r="PWL6" i="67"/>
  <c r="PWK6" i="67"/>
  <c r="PWJ6" i="67"/>
  <c r="PWI6" i="67"/>
  <c r="PWH6" i="67"/>
  <c r="PWG6" i="67"/>
  <c r="PWF6" i="67"/>
  <c r="PWE6" i="67"/>
  <c r="PWD6" i="67"/>
  <c r="PWC6" i="67"/>
  <c r="PWB6" i="67"/>
  <c r="PWA6" i="67"/>
  <c r="PVZ6" i="67"/>
  <c r="PVY6" i="67"/>
  <c r="PVX6" i="67"/>
  <c r="PVW6" i="67"/>
  <c r="PVV6" i="67"/>
  <c r="PVU6" i="67"/>
  <c r="PVT6" i="67"/>
  <c r="PVS6" i="67"/>
  <c r="PVR6" i="67"/>
  <c r="PVQ6" i="67"/>
  <c r="PVP6" i="67"/>
  <c r="PVO6" i="67"/>
  <c r="PVN6" i="67"/>
  <c r="PVM6" i="67"/>
  <c r="PVL6" i="67"/>
  <c r="PVK6" i="67"/>
  <c r="PVJ6" i="67"/>
  <c r="PVI6" i="67"/>
  <c r="PVH6" i="67"/>
  <c r="PVG6" i="67"/>
  <c r="PVF6" i="67"/>
  <c r="PVE6" i="67"/>
  <c r="PVD6" i="67"/>
  <c r="PVC6" i="67"/>
  <c r="PVB6" i="67"/>
  <c r="PVA6" i="67"/>
  <c r="PUZ6" i="67"/>
  <c r="PUY6" i="67"/>
  <c r="PUX6" i="67"/>
  <c r="PUW6" i="67"/>
  <c r="PUV6" i="67"/>
  <c r="PUU6" i="67"/>
  <c r="PUT6" i="67"/>
  <c r="PUS6" i="67"/>
  <c r="PUR6" i="67"/>
  <c r="PUQ6" i="67"/>
  <c r="PUP6" i="67"/>
  <c r="PUO6" i="67"/>
  <c r="PUN6" i="67"/>
  <c r="PUM6" i="67"/>
  <c r="PUL6" i="67"/>
  <c r="PUK6" i="67"/>
  <c r="PUJ6" i="67"/>
  <c r="PUI6" i="67"/>
  <c r="PUH6" i="67"/>
  <c r="PUG6" i="67"/>
  <c r="PUF6" i="67"/>
  <c r="PUE6" i="67"/>
  <c r="PUD6" i="67"/>
  <c r="PUC6" i="67"/>
  <c r="PUB6" i="67"/>
  <c r="PUA6" i="67"/>
  <c r="PTZ6" i="67"/>
  <c r="PTY6" i="67"/>
  <c r="PTX6" i="67"/>
  <c r="PTW6" i="67"/>
  <c r="PTV6" i="67"/>
  <c r="PTU6" i="67"/>
  <c r="PTT6" i="67"/>
  <c r="PTS6" i="67"/>
  <c r="PTR6" i="67"/>
  <c r="PTQ6" i="67"/>
  <c r="PTP6" i="67"/>
  <c r="PTO6" i="67"/>
  <c r="PTN6" i="67"/>
  <c r="PTM6" i="67"/>
  <c r="PTL6" i="67"/>
  <c r="PTK6" i="67"/>
  <c r="PTJ6" i="67"/>
  <c r="PTI6" i="67"/>
  <c r="PTH6" i="67"/>
  <c r="PTG6" i="67"/>
  <c r="PTF6" i="67"/>
  <c r="PTE6" i="67"/>
  <c r="PTD6" i="67"/>
  <c r="PTC6" i="67"/>
  <c r="PTB6" i="67"/>
  <c r="PTA6" i="67"/>
  <c r="PSZ6" i="67"/>
  <c r="PSY6" i="67"/>
  <c r="PSX6" i="67"/>
  <c r="PSW6" i="67"/>
  <c r="PSV6" i="67"/>
  <c r="PSU6" i="67"/>
  <c r="PST6" i="67"/>
  <c r="PSS6" i="67"/>
  <c r="PSR6" i="67"/>
  <c r="PSQ6" i="67"/>
  <c r="PSP6" i="67"/>
  <c r="PSO6" i="67"/>
  <c r="PSN6" i="67"/>
  <c r="PSM6" i="67"/>
  <c r="PSL6" i="67"/>
  <c r="PSK6" i="67"/>
  <c r="PSJ6" i="67"/>
  <c r="PSI6" i="67"/>
  <c r="PSH6" i="67"/>
  <c r="PSG6" i="67"/>
  <c r="PSF6" i="67"/>
  <c r="PSE6" i="67"/>
  <c r="PSD6" i="67"/>
  <c r="PSC6" i="67"/>
  <c r="PSB6" i="67"/>
  <c r="PSA6" i="67"/>
  <c r="PRZ6" i="67"/>
  <c r="PRY6" i="67"/>
  <c r="PRX6" i="67"/>
  <c r="PRW6" i="67"/>
  <c r="PRV6" i="67"/>
  <c r="PRU6" i="67"/>
  <c r="PRT6" i="67"/>
  <c r="PRS6" i="67"/>
  <c r="PRR6" i="67"/>
  <c r="PRQ6" i="67"/>
  <c r="PRP6" i="67"/>
  <c r="PRO6" i="67"/>
  <c r="PRN6" i="67"/>
  <c r="PRM6" i="67"/>
  <c r="PRL6" i="67"/>
  <c r="PRK6" i="67"/>
  <c r="PRJ6" i="67"/>
  <c r="PRI6" i="67"/>
  <c r="PRH6" i="67"/>
  <c r="PRG6" i="67"/>
  <c r="PRF6" i="67"/>
  <c r="PRE6" i="67"/>
  <c r="PRD6" i="67"/>
  <c r="PRC6" i="67"/>
  <c r="PRB6" i="67"/>
  <c r="PRA6" i="67"/>
  <c r="PQZ6" i="67"/>
  <c r="PQY6" i="67"/>
  <c r="PQX6" i="67"/>
  <c r="PQW6" i="67"/>
  <c r="PQV6" i="67"/>
  <c r="PQU6" i="67"/>
  <c r="PQT6" i="67"/>
  <c r="PQS6" i="67"/>
  <c r="PQR6" i="67"/>
  <c r="PQQ6" i="67"/>
  <c r="PQP6" i="67"/>
  <c r="PQO6" i="67"/>
  <c r="PQN6" i="67"/>
  <c r="PQM6" i="67"/>
  <c r="PQL6" i="67"/>
  <c r="PQK6" i="67"/>
  <c r="PQJ6" i="67"/>
  <c r="PQI6" i="67"/>
  <c r="PQH6" i="67"/>
  <c r="PQG6" i="67"/>
  <c r="PQF6" i="67"/>
  <c r="PQE6" i="67"/>
  <c r="PQD6" i="67"/>
  <c r="PQC6" i="67"/>
  <c r="PQB6" i="67"/>
  <c r="PQA6" i="67"/>
  <c r="PPZ6" i="67"/>
  <c r="PPY6" i="67"/>
  <c r="PPX6" i="67"/>
  <c r="PPW6" i="67"/>
  <c r="PPV6" i="67"/>
  <c r="PPU6" i="67"/>
  <c r="PPT6" i="67"/>
  <c r="PPS6" i="67"/>
  <c r="PPR6" i="67"/>
  <c r="PPQ6" i="67"/>
  <c r="PPP6" i="67"/>
  <c r="PPO6" i="67"/>
  <c r="PPN6" i="67"/>
  <c r="PPM6" i="67"/>
  <c r="PPL6" i="67"/>
  <c r="PPK6" i="67"/>
  <c r="PPJ6" i="67"/>
  <c r="PPI6" i="67"/>
  <c r="PPH6" i="67"/>
  <c r="PPG6" i="67"/>
  <c r="PPF6" i="67"/>
  <c r="PPE6" i="67"/>
  <c r="PPD6" i="67"/>
  <c r="PPC6" i="67"/>
  <c r="PPB6" i="67"/>
  <c r="PPA6" i="67"/>
  <c r="POZ6" i="67"/>
  <c r="POY6" i="67"/>
  <c r="POX6" i="67"/>
  <c r="POW6" i="67"/>
  <c r="POV6" i="67"/>
  <c r="POU6" i="67"/>
  <c r="POT6" i="67"/>
  <c r="POS6" i="67"/>
  <c r="POR6" i="67"/>
  <c r="POQ6" i="67"/>
  <c r="POP6" i="67"/>
  <c r="POO6" i="67"/>
  <c r="PON6" i="67"/>
  <c r="POM6" i="67"/>
  <c r="POL6" i="67"/>
  <c r="POK6" i="67"/>
  <c r="POJ6" i="67"/>
  <c r="POI6" i="67"/>
  <c r="POH6" i="67"/>
  <c r="POG6" i="67"/>
  <c r="POF6" i="67"/>
  <c r="POE6" i="67"/>
  <c r="POD6" i="67"/>
  <c r="POC6" i="67"/>
  <c r="POB6" i="67"/>
  <c r="POA6" i="67"/>
  <c r="PNZ6" i="67"/>
  <c r="PNY6" i="67"/>
  <c r="PNX6" i="67"/>
  <c r="PNW6" i="67"/>
  <c r="PNV6" i="67"/>
  <c r="PNU6" i="67"/>
  <c r="PNT6" i="67"/>
  <c r="PNS6" i="67"/>
  <c r="PNR6" i="67"/>
  <c r="PNQ6" i="67"/>
  <c r="PNP6" i="67"/>
  <c r="PNO6" i="67"/>
  <c r="PNN6" i="67"/>
  <c r="PNM6" i="67"/>
  <c r="PNL6" i="67"/>
  <c r="PNK6" i="67"/>
  <c r="PNJ6" i="67"/>
  <c r="PNI6" i="67"/>
  <c r="PNH6" i="67"/>
  <c r="PNG6" i="67"/>
  <c r="PNF6" i="67"/>
  <c r="PNE6" i="67"/>
  <c r="PND6" i="67"/>
  <c r="PNC6" i="67"/>
  <c r="PNB6" i="67"/>
  <c r="PNA6" i="67"/>
  <c r="PMZ6" i="67"/>
  <c r="PMY6" i="67"/>
  <c r="PMX6" i="67"/>
  <c r="PMW6" i="67"/>
  <c r="PMV6" i="67"/>
  <c r="PMU6" i="67"/>
  <c r="PMT6" i="67"/>
  <c r="PMS6" i="67"/>
  <c r="PMR6" i="67"/>
  <c r="PMQ6" i="67"/>
  <c r="PMP6" i="67"/>
  <c r="PMO6" i="67"/>
  <c r="PMN6" i="67"/>
  <c r="PMM6" i="67"/>
  <c r="PML6" i="67"/>
  <c r="PMK6" i="67"/>
  <c r="PMJ6" i="67"/>
  <c r="PMI6" i="67"/>
  <c r="PMH6" i="67"/>
  <c r="PMG6" i="67"/>
  <c r="PMF6" i="67"/>
  <c r="PME6" i="67"/>
  <c r="PMD6" i="67"/>
  <c r="PMC6" i="67"/>
  <c r="PMB6" i="67"/>
  <c r="PMA6" i="67"/>
  <c r="PLZ6" i="67"/>
  <c r="PLY6" i="67"/>
  <c r="PLX6" i="67"/>
  <c r="PLW6" i="67"/>
  <c r="PLV6" i="67"/>
  <c r="PLU6" i="67"/>
  <c r="PLT6" i="67"/>
  <c r="PLS6" i="67"/>
  <c r="PLR6" i="67"/>
  <c r="PLQ6" i="67"/>
  <c r="PLP6" i="67"/>
  <c r="PLO6" i="67"/>
  <c r="PLN6" i="67"/>
  <c r="PLM6" i="67"/>
  <c r="PLL6" i="67"/>
  <c r="PLK6" i="67"/>
  <c r="PLJ6" i="67"/>
  <c r="PLI6" i="67"/>
  <c r="PLH6" i="67"/>
  <c r="PLG6" i="67"/>
  <c r="PLF6" i="67"/>
  <c r="PLE6" i="67"/>
  <c r="PLD6" i="67"/>
  <c r="PLC6" i="67"/>
  <c r="PLB6" i="67"/>
  <c r="PLA6" i="67"/>
  <c r="PKZ6" i="67"/>
  <c r="PKY6" i="67"/>
  <c r="PKX6" i="67"/>
  <c r="PKW6" i="67"/>
  <c r="PKV6" i="67"/>
  <c r="PKU6" i="67"/>
  <c r="PKT6" i="67"/>
  <c r="PKS6" i="67"/>
  <c r="PKR6" i="67"/>
  <c r="PKQ6" i="67"/>
  <c r="PKP6" i="67"/>
  <c r="PKO6" i="67"/>
  <c r="PKN6" i="67"/>
  <c r="PKM6" i="67"/>
  <c r="PKL6" i="67"/>
  <c r="PKK6" i="67"/>
  <c r="PKJ6" i="67"/>
  <c r="PKI6" i="67"/>
  <c r="PKH6" i="67"/>
  <c r="PKG6" i="67"/>
  <c r="PKF6" i="67"/>
  <c r="PKE6" i="67"/>
  <c r="PKD6" i="67"/>
  <c r="PKC6" i="67"/>
  <c r="PKB6" i="67"/>
  <c r="PKA6" i="67"/>
  <c r="PJZ6" i="67"/>
  <c r="PJY6" i="67"/>
  <c r="PJX6" i="67"/>
  <c r="PJW6" i="67"/>
  <c r="PJV6" i="67"/>
  <c r="PJU6" i="67"/>
  <c r="PJT6" i="67"/>
  <c r="PJS6" i="67"/>
  <c r="PJR6" i="67"/>
  <c r="PJQ6" i="67"/>
  <c r="PJP6" i="67"/>
  <c r="PJO6" i="67"/>
  <c r="PJN6" i="67"/>
  <c r="PJM6" i="67"/>
  <c r="PJL6" i="67"/>
  <c r="PJK6" i="67"/>
  <c r="PJJ6" i="67"/>
  <c r="PJI6" i="67"/>
  <c r="PJH6" i="67"/>
  <c r="PJG6" i="67"/>
  <c r="PJF6" i="67"/>
  <c r="PJE6" i="67"/>
  <c r="PJD6" i="67"/>
  <c r="PJC6" i="67"/>
  <c r="PJB6" i="67"/>
  <c r="PJA6" i="67"/>
  <c r="PIZ6" i="67"/>
  <c r="PIY6" i="67"/>
  <c r="PIX6" i="67"/>
  <c r="PIW6" i="67"/>
  <c r="PIV6" i="67"/>
  <c r="PIU6" i="67"/>
  <c r="PIT6" i="67"/>
  <c r="PIS6" i="67"/>
  <c r="PIR6" i="67"/>
  <c r="PIQ6" i="67"/>
  <c r="PIP6" i="67"/>
  <c r="PIO6" i="67"/>
  <c r="PIN6" i="67"/>
  <c r="PIM6" i="67"/>
  <c r="PIL6" i="67"/>
  <c r="PIK6" i="67"/>
  <c r="PIJ6" i="67"/>
  <c r="PII6" i="67"/>
  <c r="PIH6" i="67"/>
  <c r="PIG6" i="67"/>
  <c r="PIF6" i="67"/>
  <c r="PIE6" i="67"/>
  <c r="PID6" i="67"/>
  <c r="PIC6" i="67"/>
  <c r="PIB6" i="67"/>
  <c r="PIA6" i="67"/>
  <c r="PHZ6" i="67"/>
  <c r="PHY6" i="67"/>
  <c r="PHX6" i="67"/>
  <c r="PHW6" i="67"/>
  <c r="PHV6" i="67"/>
  <c r="PHU6" i="67"/>
  <c r="PHT6" i="67"/>
  <c r="PHS6" i="67"/>
  <c r="PHR6" i="67"/>
  <c r="PHQ6" i="67"/>
  <c r="PHP6" i="67"/>
  <c r="PHO6" i="67"/>
  <c r="PHN6" i="67"/>
  <c r="PHM6" i="67"/>
  <c r="PHL6" i="67"/>
  <c r="PHK6" i="67"/>
  <c r="PHJ6" i="67"/>
  <c r="PHI6" i="67"/>
  <c r="PHH6" i="67"/>
  <c r="PHG6" i="67"/>
  <c r="PHF6" i="67"/>
  <c r="PHE6" i="67"/>
  <c r="PHD6" i="67"/>
  <c r="PHC6" i="67"/>
  <c r="PHB6" i="67"/>
  <c r="PHA6" i="67"/>
  <c r="PGZ6" i="67"/>
  <c r="PGY6" i="67"/>
  <c r="PGX6" i="67"/>
  <c r="PGW6" i="67"/>
  <c r="PGV6" i="67"/>
  <c r="PGU6" i="67"/>
  <c r="PGT6" i="67"/>
  <c r="PGS6" i="67"/>
  <c r="PGR6" i="67"/>
  <c r="PGQ6" i="67"/>
  <c r="PGP6" i="67"/>
  <c r="PGO6" i="67"/>
  <c r="PGN6" i="67"/>
  <c r="PGM6" i="67"/>
  <c r="PGL6" i="67"/>
  <c r="PGK6" i="67"/>
  <c r="PGJ6" i="67"/>
  <c r="PGI6" i="67"/>
  <c r="PGH6" i="67"/>
  <c r="PGG6" i="67"/>
  <c r="PGF6" i="67"/>
  <c r="PGE6" i="67"/>
  <c r="PGD6" i="67"/>
  <c r="PGC6" i="67"/>
  <c r="PGB6" i="67"/>
  <c r="PGA6" i="67"/>
  <c r="PFZ6" i="67"/>
  <c r="PFY6" i="67"/>
  <c r="PFX6" i="67"/>
  <c r="PFW6" i="67"/>
  <c r="PFV6" i="67"/>
  <c r="PFU6" i="67"/>
  <c r="PFT6" i="67"/>
  <c r="PFS6" i="67"/>
  <c r="PFR6" i="67"/>
  <c r="PFQ6" i="67"/>
  <c r="PFP6" i="67"/>
  <c r="PFO6" i="67"/>
  <c r="PFN6" i="67"/>
  <c r="PFM6" i="67"/>
  <c r="PFL6" i="67"/>
  <c r="PFK6" i="67"/>
  <c r="PFJ6" i="67"/>
  <c r="PFI6" i="67"/>
  <c r="PFH6" i="67"/>
  <c r="PFG6" i="67"/>
  <c r="PFF6" i="67"/>
  <c r="PFE6" i="67"/>
  <c r="PFD6" i="67"/>
  <c r="PFC6" i="67"/>
  <c r="PFB6" i="67"/>
  <c r="PFA6" i="67"/>
  <c r="PEZ6" i="67"/>
  <c r="PEY6" i="67"/>
  <c r="PEX6" i="67"/>
  <c r="PEW6" i="67"/>
  <c r="PEV6" i="67"/>
  <c r="PEU6" i="67"/>
  <c r="PET6" i="67"/>
  <c r="PES6" i="67"/>
  <c r="PER6" i="67"/>
  <c r="PEQ6" i="67"/>
  <c r="PEP6" i="67"/>
  <c r="PEO6" i="67"/>
  <c r="PEN6" i="67"/>
  <c r="PEM6" i="67"/>
  <c r="PEL6" i="67"/>
  <c r="PEK6" i="67"/>
  <c r="PEJ6" i="67"/>
  <c r="PEI6" i="67"/>
  <c r="PEH6" i="67"/>
  <c r="PEG6" i="67"/>
  <c r="PEF6" i="67"/>
  <c r="PEE6" i="67"/>
  <c r="PED6" i="67"/>
  <c r="PEC6" i="67"/>
  <c r="PEB6" i="67"/>
  <c r="PEA6" i="67"/>
  <c r="PDZ6" i="67"/>
  <c r="PDY6" i="67"/>
  <c r="PDX6" i="67"/>
  <c r="PDW6" i="67"/>
  <c r="PDV6" i="67"/>
  <c r="PDU6" i="67"/>
  <c r="PDT6" i="67"/>
  <c r="PDS6" i="67"/>
  <c r="PDR6" i="67"/>
  <c r="PDQ6" i="67"/>
  <c r="PDP6" i="67"/>
  <c r="PDO6" i="67"/>
  <c r="PDN6" i="67"/>
  <c r="PDM6" i="67"/>
  <c r="PDL6" i="67"/>
  <c r="PDK6" i="67"/>
  <c r="PDJ6" i="67"/>
  <c r="PDI6" i="67"/>
  <c r="PDH6" i="67"/>
  <c r="PDG6" i="67"/>
  <c r="PDF6" i="67"/>
  <c r="PDE6" i="67"/>
  <c r="PDD6" i="67"/>
  <c r="PDC6" i="67"/>
  <c r="PDB6" i="67"/>
  <c r="PDA6" i="67"/>
  <c r="PCZ6" i="67"/>
  <c r="PCY6" i="67"/>
  <c r="PCX6" i="67"/>
  <c r="PCW6" i="67"/>
  <c r="PCV6" i="67"/>
  <c r="PCU6" i="67"/>
  <c r="PCT6" i="67"/>
  <c r="PCS6" i="67"/>
  <c r="PCR6" i="67"/>
  <c r="PCQ6" i="67"/>
  <c r="PCP6" i="67"/>
  <c r="PCO6" i="67"/>
  <c r="PCN6" i="67"/>
  <c r="PCM6" i="67"/>
  <c r="PCL6" i="67"/>
  <c r="PCK6" i="67"/>
  <c r="PCJ6" i="67"/>
  <c r="PCI6" i="67"/>
  <c r="PCH6" i="67"/>
  <c r="PCG6" i="67"/>
  <c r="PCF6" i="67"/>
  <c r="PCE6" i="67"/>
  <c r="PCD6" i="67"/>
  <c r="PCC6" i="67"/>
  <c r="PCB6" i="67"/>
  <c r="PCA6" i="67"/>
  <c r="PBZ6" i="67"/>
  <c r="PBY6" i="67"/>
  <c r="PBX6" i="67"/>
  <c r="PBW6" i="67"/>
  <c r="PBV6" i="67"/>
  <c r="PBU6" i="67"/>
  <c r="PBT6" i="67"/>
  <c r="PBS6" i="67"/>
  <c r="PBR6" i="67"/>
  <c r="PBQ6" i="67"/>
  <c r="PBP6" i="67"/>
  <c r="PBO6" i="67"/>
  <c r="PBN6" i="67"/>
  <c r="PBM6" i="67"/>
  <c r="PBL6" i="67"/>
  <c r="PBK6" i="67"/>
  <c r="PBJ6" i="67"/>
  <c r="PBI6" i="67"/>
  <c r="PBH6" i="67"/>
  <c r="PBG6" i="67"/>
  <c r="PBF6" i="67"/>
  <c r="PBE6" i="67"/>
  <c r="PBD6" i="67"/>
  <c r="PBC6" i="67"/>
  <c r="PBB6" i="67"/>
  <c r="PBA6" i="67"/>
  <c r="PAZ6" i="67"/>
  <c r="PAY6" i="67"/>
  <c r="PAX6" i="67"/>
  <c r="PAW6" i="67"/>
  <c r="PAV6" i="67"/>
  <c r="PAU6" i="67"/>
  <c r="PAT6" i="67"/>
  <c r="PAS6" i="67"/>
  <c r="PAR6" i="67"/>
  <c r="PAQ6" i="67"/>
  <c r="PAP6" i="67"/>
  <c r="PAO6" i="67"/>
  <c r="PAN6" i="67"/>
  <c r="PAM6" i="67"/>
  <c r="PAL6" i="67"/>
  <c r="PAK6" i="67"/>
  <c r="PAJ6" i="67"/>
  <c r="PAI6" i="67"/>
  <c r="PAH6" i="67"/>
  <c r="PAG6" i="67"/>
  <c r="PAF6" i="67"/>
  <c r="PAE6" i="67"/>
  <c r="PAD6" i="67"/>
  <c r="PAC6" i="67"/>
  <c r="PAB6" i="67"/>
  <c r="PAA6" i="67"/>
  <c r="OZZ6" i="67"/>
  <c r="OZY6" i="67"/>
  <c r="OZX6" i="67"/>
  <c r="OZW6" i="67"/>
  <c r="OZV6" i="67"/>
  <c r="OZU6" i="67"/>
  <c r="OZT6" i="67"/>
  <c r="OZS6" i="67"/>
  <c r="OZR6" i="67"/>
  <c r="OZQ6" i="67"/>
  <c r="OZP6" i="67"/>
  <c r="OZO6" i="67"/>
  <c r="OZN6" i="67"/>
  <c r="OZM6" i="67"/>
  <c r="OZL6" i="67"/>
  <c r="OZK6" i="67"/>
  <c r="OZJ6" i="67"/>
  <c r="OZI6" i="67"/>
  <c r="OZH6" i="67"/>
  <c r="OZG6" i="67"/>
  <c r="OZF6" i="67"/>
  <c r="OZE6" i="67"/>
  <c r="OZD6" i="67"/>
  <c r="OZC6" i="67"/>
  <c r="OZB6" i="67"/>
  <c r="OZA6" i="67"/>
  <c r="OYZ6" i="67"/>
  <c r="OYY6" i="67"/>
  <c r="OYX6" i="67"/>
  <c r="OYW6" i="67"/>
  <c r="OYV6" i="67"/>
  <c r="OYU6" i="67"/>
  <c r="OYT6" i="67"/>
  <c r="OYS6" i="67"/>
  <c r="OYR6" i="67"/>
  <c r="OYQ6" i="67"/>
  <c r="OYP6" i="67"/>
  <c r="OYO6" i="67"/>
  <c r="OYN6" i="67"/>
  <c r="OYM6" i="67"/>
  <c r="OYL6" i="67"/>
  <c r="OYK6" i="67"/>
  <c r="OYJ6" i="67"/>
  <c r="OYI6" i="67"/>
  <c r="OYH6" i="67"/>
  <c r="OYG6" i="67"/>
  <c r="OYF6" i="67"/>
  <c r="OYE6" i="67"/>
  <c r="OYD6" i="67"/>
  <c r="OYC6" i="67"/>
  <c r="OYB6" i="67"/>
  <c r="OYA6" i="67"/>
  <c r="OXZ6" i="67"/>
  <c r="OXY6" i="67"/>
  <c r="OXX6" i="67"/>
  <c r="OXW6" i="67"/>
  <c r="OXV6" i="67"/>
  <c r="OXU6" i="67"/>
  <c r="OXT6" i="67"/>
  <c r="OXS6" i="67"/>
  <c r="OXR6" i="67"/>
  <c r="OXQ6" i="67"/>
  <c r="OXP6" i="67"/>
  <c r="OXO6" i="67"/>
  <c r="OXN6" i="67"/>
  <c r="OXM6" i="67"/>
  <c r="OXL6" i="67"/>
  <c r="OXK6" i="67"/>
  <c r="OXJ6" i="67"/>
  <c r="OXI6" i="67"/>
  <c r="OXH6" i="67"/>
  <c r="OXG6" i="67"/>
  <c r="OXF6" i="67"/>
  <c r="OXE6" i="67"/>
  <c r="OXD6" i="67"/>
  <c r="OXC6" i="67"/>
  <c r="OXB6" i="67"/>
  <c r="OXA6" i="67"/>
  <c r="OWZ6" i="67"/>
  <c r="OWY6" i="67"/>
  <c r="OWX6" i="67"/>
  <c r="OWW6" i="67"/>
  <c r="OWV6" i="67"/>
  <c r="OWU6" i="67"/>
  <c r="OWT6" i="67"/>
  <c r="OWS6" i="67"/>
  <c r="OWR6" i="67"/>
  <c r="OWQ6" i="67"/>
  <c r="OWP6" i="67"/>
  <c r="OWO6" i="67"/>
  <c r="OWN6" i="67"/>
  <c r="OWM6" i="67"/>
  <c r="OWL6" i="67"/>
  <c r="OWK6" i="67"/>
  <c r="OWJ6" i="67"/>
  <c r="OWI6" i="67"/>
  <c r="OWH6" i="67"/>
  <c r="OWG6" i="67"/>
  <c r="OWF6" i="67"/>
  <c r="OWE6" i="67"/>
  <c r="OWD6" i="67"/>
  <c r="OWC6" i="67"/>
  <c r="OWB6" i="67"/>
  <c r="OWA6" i="67"/>
  <c r="OVZ6" i="67"/>
  <c r="OVY6" i="67"/>
  <c r="OVX6" i="67"/>
  <c r="OVW6" i="67"/>
  <c r="OVV6" i="67"/>
  <c r="OVU6" i="67"/>
  <c r="OVT6" i="67"/>
  <c r="OVS6" i="67"/>
  <c r="OVR6" i="67"/>
  <c r="OVQ6" i="67"/>
  <c r="OVP6" i="67"/>
  <c r="OVO6" i="67"/>
  <c r="OVN6" i="67"/>
  <c r="OVM6" i="67"/>
  <c r="OVL6" i="67"/>
  <c r="OVK6" i="67"/>
  <c r="OVJ6" i="67"/>
  <c r="OVI6" i="67"/>
  <c r="OVH6" i="67"/>
  <c r="OVG6" i="67"/>
  <c r="OVF6" i="67"/>
  <c r="OVE6" i="67"/>
  <c r="OVD6" i="67"/>
  <c r="OVC6" i="67"/>
  <c r="OVB6" i="67"/>
  <c r="OVA6" i="67"/>
  <c r="OUZ6" i="67"/>
  <c r="OUY6" i="67"/>
  <c r="OUX6" i="67"/>
  <c r="OUW6" i="67"/>
  <c r="OUV6" i="67"/>
  <c r="OUU6" i="67"/>
  <c r="OUT6" i="67"/>
  <c r="OUS6" i="67"/>
  <c r="OUR6" i="67"/>
  <c r="OUQ6" i="67"/>
  <c r="OUP6" i="67"/>
  <c r="OUO6" i="67"/>
  <c r="OUN6" i="67"/>
  <c r="OUM6" i="67"/>
  <c r="OUL6" i="67"/>
  <c r="OUK6" i="67"/>
  <c r="OUJ6" i="67"/>
  <c r="OUI6" i="67"/>
  <c r="OUH6" i="67"/>
  <c r="OUG6" i="67"/>
  <c r="OUF6" i="67"/>
  <c r="OUE6" i="67"/>
  <c r="OUD6" i="67"/>
  <c r="OUC6" i="67"/>
  <c r="OUB6" i="67"/>
  <c r="OUA6" i="67"/>
  <c r="OTZ6" i="67"/>
  <c r="OTY6" i="67"/>
  <c r="OTX6" i="67"/>
  <c r="OTW6" i="67"/>
  <c r="OTV6" i="67"/>
  <c r="OTU6" i="67"/>
  <c r="OTT6" i="67"/>
  <c r="OTS6" i="67"/>
  <c r="OTR6" i="67"/>
  <c r="OTQ6" i="67"/>
  <c r="OTP6" i="67"/>
  <c r="OTO6" i="67"/>
  <c r="OTN6" i="67"/>
  <c r="OTM6" i="67"/>
  <c r="OTL6" i="67"/>
  <c r="OTK6" i="67"/>
  <c r="OTJ6" i="67"/>
  <c r="OTI6" i="67"/>
  <c r="OTH6" i="67"/>
  <c r="OTG6" i="67"/>
  <c r="OTF6" i="67"/>
  <c r="OTE6" i="67"/>
  <c r="OTD6" i="67"/>
  <c r="OTC6" i="67"/>
  <c r="OTB6" i="67"/>
  <c r="OTA6" i="67"/>
  <c r="OSZ6" i="67"/>
  <c r="OSY6" i="67"/>
  <c r="OSX6" i="67"/>
  <c r="OSW6" i="67"/>
  <c r="OSV6" i="67"/>
  <c r="OSU6" i="67"/>
  <c r="OST6" i="67"/>
  <c r="OSS6" i="67"/>
  <c r="OSR6" i="67"/>
  <c r="OSQ6" i="67"/>
  <c r="OSP6" i="67"/>
  <c r="OSO6" i="67"/>
  <c r="OSN6" i="67"/>
  <c r="OSM6" i="67"/>
  <c r="OSL6" i="67"/>
  <c r="OSK6" i="67"/>
  <c r="OSJ6" i="67"/>
  <c r="OSI6" i="67"/>
  <c r="OSH6" i="67"/>
  <c r="OSG6" i="67"/>
  <c r="OSF6" i="67"/>
  <c r="OSE6" i="67"/>
  <c r="OSD6" i="67"/>
  <c r="OSC6" i="67"/>
  <c r="OSB6" i="67"/>
  <c r="OSA6" i="67"/>
  <c r="ORZ6" i="67"/>
  <c r="ORY6" i="67"/>
  <c r="ORX6" i="67"/>
  <c r="ORW6" i="67"/>
  <c r="ORV6" i="67"/>
  <c r="ORU6" i="67"/>
  <c r="ORT6" i="67"/>
  <c r="ORS6" i="67"/>
  <c r="ORR6" i="67"/>
  <c r="ORQ6" i="67"/>
  <c r="ORP6" i="67"/>
  <c r="ORO6" i="67"/>
  <c r="ORN6" i="67"/>
  <c r="ORM6" i="67"/>
  <c r="ORL6" i="67"/>
  <c r="ORK6" i="67"/>
  <c r="ORJ6" i="67"/>
  <c r="ORI6" i="67"/>
  <c r="ORH6" i="67"/>
  <c r="ORG6" i="67"/>
  <c r="ORF6" i="67"/>
  <c r="ORE6" i="67"/>
  <c r="ORD6" i="67"/>
  <c r="ORC6" i="67"/>
  <c r="ORB6" i="67"/>
  <c r="ORA6" i="67"/>
  <c r="OQZ6" i="67"/>
  <c r="OQY6" i="67"/>
  <c r="OQX6" i="67"/>
  <c r="OQW6" i="67"/>
  <c r="OQV6" i="67"/>
  <c r="OQU6" i="67"/>
  <c r="OQT6" i="67"/>
  <c r="OQS6" i="67"/>
  <c r="OQR6" i="67"/>
  <c r="OQQ6" i="67"/>
  <c r="OQP6" i="67"/>
  <c r="OQO6" i="67"/>
  <c r="OQN6" i="67"/>
  <c r="OQM6" i="67"/>
  <c r="OQL6" i="67"/>
  <c r="OQK6" i="67"/>
  <c r="OQJ6" i="67"/>
  <c r="OQI6" i="67"/>
  <c r="OQH6" i="67"/>
  <c r="OQG6" i="67"/>
  <c r="OQF6" i="67"/>
  <c r="OQE6" i="67"/>
  <c r="OQD6" i="67"/>
  <c r="OQC6" i="67"/>
  <c r="OQB6" i="67"/>
  <c r="OQA6" i="67"/>
  <c r="OPZ6" i="67"/>
  <c r="OPY6" i="67"/>
  <c r="OPX6" i="67"/>
  <c r="OPW6" i="67"/>
  <c r="OPV6" i="67"/>
  <c r="OPU6" i="67"/>
  <c r="OPT6" i="67"/>
  <c r="OPS6" i="67"/>
  <c r="OPR6" i="67"/>
  <c r="OPQ6" i="67"/>
  <c r="OPP6" i="67"/>
  <c r="OPO6" i="67"/>
  <c r="OPN6" i="67"/>
  <c r="OPM6" i="67"/>
  <c r="OPL6" i="67"/>
  <c r="OPK6" i="67"/>
  <c r="OPJ6" i="67"/>
  <c r="OPI6" i="67"/>
  <c r="OPH6" i="67"/>
  <c r="OPG6" i="67"/>
  <c r="OPF6" i="67"/>
  <c r="OPE6" i="67"/>
  <c r="OPD6" i="67"/>
  <c r="OPC6" i="67"/>
  <c r="OPB6" i="67"/>
  <c r="OPA6" i="67"/>
  <c r="OOZ6" i="67"/>
  <c r="OOY6" i="67"/>
  <c r="OOX6" i="67"/>
  <c r="OOW6" i="67"/>
  <c r="OOV6" i="67"/>
  <c r="OOU6" i="67"/>
  <c r="OOT6" i="67"/>
  <c r="OOS6" i="67"/>
  <c r="OOR6" i="67"/>
  <c r="OOQ6" i="67"/>
  <c r="OOP6" i="67"/>
  <c r="OOO6" i="67"/>
  <c r="OON6" i="67"/>
  <c r="OOM6" i="67"/>
  <c r="OOL6" i="67"/>
  <c r="OOK6" i="67"/>
  <c r="OOJ6" i="67"/>
  <c r="OOI6" i="67"/>
  <c r="OOH6" i="67"/>
  <c r="OOG6" i="67"/>
  <c r="OOF6" i="67"/>
  <c r="OOE6" i="67"/>
  <c r="OOD6" i="67"/>
  <c r="OOC6" i="67"/>
  <c r="OOB6" i="67"/>
  <c r="OOA6" i="67"/>
  <c r="ONZ6" i="67"/>
  <c r="ONY6" i="67"/>
  <c r="ONX6" i="67"/>
  <c r="ONW6" i="67"/>
  <c r="ONV6" i="67"/>
  <c r="ONU6" i="67"/>
  <c r="ONT6" i="67"/>
  <c r="ONS6" i="67"/>
  <c r="ONR6" i="67"/>
  <c r="ONQ6" i="67"/>
  <c r="ONP6" i="67"/>
  <c r="ONO6" i="67"/>
  <c r="ONN6" i="67"/>
  <c r="ONM6" i="67"/>
  <c r="ONL6" i="67"/>
  <c r="ONK6" i="67"/>
  <c r="ONJ6" i="67"/>
  <c r="ONI6" i="67"/>
  <c r="ONH6" i="67"/>
  <c r="ONG6" i="67"/>
  <c r="ONF6" i="67"/>
  <c r="ONE6" i="67"/>
  <c r="OND6" i="67"/>
  <c r="ONC6" i="67"/>
  <c r="ONB6" i="67"/>
  <c r="ONA6" i="67"/>
  <c r="OMZ6" i="67"/>
  <c r="OMY6" i="67"/>
  <c r="OMX6" i="67"/>
  <c r="OMW6" i="67"/>
  <c r="OMV6" i="67"/>
  <c r="OMU6" i="67"/>
  <c r="OMT6" i="67"/>
  <c r="OMS6" i="67"/>
  <c r="OMR6" i="67"/>
  <c r="OMQ6" i="67"/>
  <c r="OMP6" i="67"/>
  <c r="OMO6" i="67"/>
  <c r="OMN6" i="67"/>
  <c r="OMM6" i="67"/>
  <c r="OML6" i="67"/>
  <c r="OMK6" i="67"/>
  <c r="OMJ6" i="67"/>
  <c r="OMI6" i="67"/>
  <c r="OMH6" i="67"/>
  <c r="OMG6" i="67"/>
  <c r="OMF6" i="67"/>
  <c r="OME6" i="67"/>
  <c r="OMD6" i="67"/>
  <c r="OMC6" i="67"/>
  <c r="OMB6" i="67"/>
  <c r="OMA6" i="67"/>
  <c r="OLZ6" i="67"/>
  <c r="OLY6" i="67"/>
  <c r="OLX6" i="67"/>
  <c r="OLW6" i="67"/>
  <c r="OLV6" i="67"/>
  <c r="OLU6" i="67"/>
  <c r="OLT6" i="67"/>
  <c r="OLS6" i="67"/>
  <c r="OLR6" i="67"/>
  <c r="OLQ6" i="67"/>
  <c r="OLP6" i="67"/>
  <c r="OLO6" i="67"/>
  <c r="OLN6" i="67"/>
  <c r="OLM6" i="67"/>
  <c r="OLL6" i="67"/>
  <c r="OLK6" i="67"/>
  <c r="OLJ6" i="67"/>
  <c r="OLI6" i="67"/>
  <c r="OLH6" i="67"/>
  <c r="OLG6" i="67"/>
  <c r="OLF6" i="67"/>
  <c r="OLE6" i="67"/>
  <c r="OLD6" i="67"/>
  <c r="OLC6" i="67"/>
  <c r="OLB6" i="67"/>
  <c r="OLA6" i="67"/>
  <c r="OKZ6" i="67"/>
  <c r="OKY6" i="67"/>
  <c r="OKX6" i="67"/>
  <c r="OKW6" i="67"/>
  <c r="OKV6" i="67"/>
  <c r="OKU6" i="67"/>
  <c r="OKT6" i="67"/>
  <c r="OKS6" i="67"/>
  <c r="OKR6" i="67"/>
  <c r="OKQ6" i="67"/>
  <c r="OKP6" i="67"/>
  <c r="OKO6" i="67"/>
  <c r="OKN6" i="67"/>
  <c r="OKM6" i="67"/>
  <c r="OKL6" i="67"/>
  <c r="OKK6" i="67"/>
  <c r="OKJ6" i="67"/>
  <c r="OKI6" i="67"/>
  <c r="OKH6" i="67"/>
  <c r="OKG6" i="67"/>
  <c r="OKF6" i="67"/>
  <c r="OKE6" i="67"/>
  <c r="OKD6" i="67"/>
  <c r="OKC6" i="67"/>
  <c r="OKB6" i="67"/>
  <c r="OKA6" i="67"/>
  <c r="OJZ6" i="67"/>
  <c r="OJY6" i="67"/>
  <c r="OJX6" i="67"/>
  <c r="OJW6" i="67"/>
  <c r="OJV6" i="67"/>
  <c r="OJU6" i="67"/>
  <c r="OJT6" i="67"/>
  <c r="OJS6" i="67"/>
  <c r="OJR6" i="67"/>
  <c r="OJQ6" i="67"/>
  <c r="OJP6" i="67"/>
  <c r="OJO6" i="67"/>
  <c r="OJN6" i="67"/>
  <c r="OJM6" i="67"/>
  <c r="OJL6" i="67"/>
  <c r="OJK6" i="67"/>
  <c r="OJJ6" i="67"/>
  <c r="OJI6" i="67"/>
  <c r="OJH6" i="67"/>
  <c r="OJG6" i="67"/>
  <c r="OJF6" i="67"/>
  <c r="OJE6" i="67"/>
  <c r="OJD6" i="67"/>
  <c r="OJC6" i="67"/>
  <c r="OJB6" i="67"/>
  <c r="OJA6" i="67"/>
  <c r="OIZ6" i="67"/>
  <c r="OIY6" i="67"/>
  <c r="OIX6" i="67"/>
  <c r="OIW6" i="67"/>
  <c r="OIV6" i="67"/>
  <c r="OIU6" i="67"/>
  <c r="OIT6" i="67"/>
  <c r="OIS6" i="67"/>
  <c r="OIR6" i="67"/>
  <c r="OIQ6" i="67"/>
  <c r="OIP6" i="67"/>
  <c r="OIO6" i="67"/>
  <c r="OIN6" i="67"/>
  <c r="OIM6" i="67"/>
  <c r="OIL6" i="67"/>
  <c r="OIK6" i="67"/>
  <c r="OIJ6" i="67"/>
  <c r="OII6" i="67"/>
  <c r="OIH6" i="67"/>
  <c r="OIG6" i="67"/>
  <c r="OIF6" i="67"/>
  <c r="OIE6" i="67"/>
  <c r="OID6" i="67"/>
  <c r="OIC6" i="67"/>
  <c r="OIB6" i="67"/>
  <c r="OIA6" i="67"/>
  <c r="OHZ6" i="67"/>
  <c r="OHY6" i="67"/>
  <c r="OHX6" i="67"/>
  <c r="OHW6" i="67"/>
  <c r="OHV6" i="67"/>
  <c r="OHU6" i="67"/>
  <c r="OHT6" i="67"/>
  <c r="OHS6" i="67"/>
  <c r="OHR6" i="67"/>
  <c r="OHQ6" i="67"/>
  <c r="OHP6" i="67"/>
  <c r="OHO6" i="67"/>
  <c r="OHN6" i="67"/>
  <c r="OHM6" i="67"/>
  <c r="OHL6" i="67"/>
  <c r="OHK6" i="67"/>
  <c r="OHJ6" i="67"/>
  <c r="OHI6" i="67"/>
  <c r="OHH6" i="67"/>
  <c r="OHG6" i="67"/>
  <c r="OHF6" i="67"/>
  <c r="OHE6" i="67"/>
  <c r="OHD6" i="67"/>
  <c r="OHC6" i="67"/>
  <c r="OHB6" i="67"/>
  <c r="OHA6" i="67"/>
  <c r="OGZ6" i="67"/>
  <c r="OGY6" i="67"/>
  <c r="OGX6" i="67"/>
  <c r="OGW6" i="67"/>
  <c r="OGV6" i="67"/>
  <c r="OGU6" i="67"/>
  <c r="OGT6" i="67"/>
  <c r="OGS6" i="67"/>
  <c r="OGR6" i="67"/>
  <c r="OGQ6" i="67"/>
  <c r="OGP6" i="67"/>
  <c r="OGO6" i="67"/>
  <c r="OGN6" i="67"/>
  <c r="OGM6" i="67"/>
  <c r="OGL6" i="67"/>
  <c r="OGK6" i="67"/>
  <c r="OGJ6" i="67"/>
  <c r="OGI6" i="67"/>
  <c r="OGH6" i="67"/>
  <c r="OGG6" i="67"/>
  <c r="OGF6" i="67"/>
  <c r="OGE6" i="67"/>
  <c r="OGD6" i="67"/>
  <c r="OGC6" i="67"/>
  <c r="OGB6" i="67"/>
  <c r="OGA6" i="67"/>
  <c r="OFZ6" i="67"/>
  <c r="OFY6" i="67"/>
  <c r="OFX6" i="67"/>
  <c r="OFW6" i="67"/>
  <c r="OFV6" i="67"/>
  <c r="OFU6" i="67"/>
  <c r="OFT6" i="67"/>
  <c r="OFS6" i="67"/>
  <c r="OFR6" i="67"/>
  <c r="OFQ6" i="67"/>
  <c r="OFP6" i="67"/>
  <c r="OFO6" i="67"/>
  <c r="OFN6" i="67"/>
  <c r="OFM6" i="67"/>
  <c r="OFL6" i="67"/>
  <c r="OFK6" i="67"/>
  <c r="OFJ6" i="67"/>
  <c r="OFI6" i="67"/>
  <c r="OFH6" i="67"/>
  <c r="OFG6" i="67"/>
  <c r="OFF6" i="67"/>
  <c r="OFE6" i="67"/>
  <c r="OFD6" i="67"/>
  <c r="OFC6" i="67"/>
  <c r="OFB6" i="67"/>
  <c r="OFA6" i="67"/>
  <c r="OEZ6" i="67"/>
  <c r="OEY6" i="67"/>
  <c r="OEX6" i="67"/>
  <c r="OEW6" i="67"/>
  <c r="OEV6" i="67"/>
  <c r="OEU6" i="67"/>
  <c r="OET6" i="67"/>
  <c r="OES6" i="67"/>
  <c r="OER6" i="67"/>
  <c r="OEQ6" i="67"/>
  <c r="OEP6" i="67"/>
  <c r="OEO6" i="67"/>
  <c r="OEN6" i="67"/>
  <c r="OEM6" i="67"/>
  <c r="OEL6" i="67"/>
  <c r="OEK6" i="67"/>
  <c r="OEJ6" i="67"/>
  <c r="OEI6" i="67"/>
  <c r="OEH6" i="67"/>
  <c r="OEG6" i="67"/>
  <c r="OEF6" i="67"/>
  <c r="OEE6" i="67"/>
  <c r="OED6" i="67"/>
  <c r="OEC6" i="67"/>
  <c r="OEB6" i="67"/>
  <c r="OEA6" i="67"/>
  <c r="ODZ6" i="67"/>
  <c r="ODY6" i="67"/>
  <c r="ODX6" i="67"/>
  <c r="ODW6" i="67"/>
  <c r="ODV6" i="67"/>
  <c r="ODU6" i="67"/>
  <c r="ODT6" i="67"/>
  <c r="ODS6" i="67"/>
  <c r="ODR6" i="67"/>
  <c r="ODQ6" i="67"/>
  <c r="ODP6" i="67"/>
  <c r="ODO6" i="67"/>
  <c r="ODN6" i="67"/>
  <c r="ODM6" i="67"/>
  <c r="ODL6" i="67"/>
  <c r="ODK6" i="67"/>
  <c r="ODJ6" i="67"/>
  <c r="ODI6" i="67"/>
  <c r="ODH6" i="67"/>
  <c r="ODG6" i="67"/>
  <c r="ODF6" i="67"/>
  <c r="ODE6" i="67"/>
  <c r="ODD6" i="67"/>
  <c r="ODC6" i="67"/>
  <c r="ODB6" i="67"/>
  <c r="ODA6" i="67"/>
  <c r="OCZ6" i="67"/>
  <c r="OCY6" i="67"/>
  <c r="OCX6" i="67"/>
  <c r="OCW6" i="67"/>
  <c r="OCV6" i="67"/>
  <c r="OCU6" i="67"/>
  <c r="OCT6" i="67"/>
  <c r="OCS6" i="67"/>
  <c r="OCR6" i="67"/>
  <c r="OCQ6" i="67"/>
  <c r="OCP6" i="67"/>
  <c r="OCO6" i="67"/>
  <c r="OCN6" i="67"/>
  <c r="OCM6" i="67"/>
  <c r="OCL6" i="67"/>
  <c r="OCK6" i="67"/>
  <c r="OCJ6" i="67"/>
  <c r="OCI6" i="67"/>
  <c r="OCH6" i="67"/>
  <c r="OCG6" i="67"/>
  <c r="OCF6" i="67"/>
  <c r="OCE6" i="67"/>
  <c r="OCD6" i="67"/>
  <c r="OCC6" i="67"/>
  <c r="OCB6" i="67"/>
  <c r="OCA6" i="67"/>
  <c r="OBZ6" i="67"/>
  <c r="OBY6" i="67"/>
  <c r="OBX6" i="67"/>
  <c r="OBW6" i="67"/>
  <c r="OBV6" i="67"/>
  <c r="OBU6" i="67"/>
  <c r="OBT6" i="67"/>
  <c r="OBS6" i="67"/>
  <c r="OBR6" i="67"/>
  <c r="OBQ6" i="67"/>
  <c r="OBP6" i="67"/>
  <c r="OBO6" i="67"/>
  <c r="OBN6" i="67"/>
  <c r="OBM6" i="67"/>
  <c r="OBL6" i="67"/>
  <c r="OBK6" i="67"/>
  <c r="OBJ6" i="67"/>
  <c r="OBI6" i="67"/>
  <c r="OBH6" i="67"/>
  <c r="OBG6" i="67"/>
  <c r="OBF6" i="67"/>
  <c r="OBE6" i="67"/>
  <c r="OBD6" i="67"/>
  <c r="OBC6" i="67"/>
  <c r="OBB6" i="67"/>
  <c r="OBA6" i="67"/>
  <c r="OAZ6" i="67"/>
  <c r="OAY6" i="67"/>
  <c r="OAX6" i="67"/>
  <c r="OAW6" i="67"/>
  <c r="OAV6" i="67"/>
  <c r="OAU6" i="67"/>
  <c r="OAT6" i="67"/>
  <c r="OAS6" i="67"/>
  <c r="OAR6" i="67"/>
  <c r="OAQ6" i="67"/>
  <c r="OAP6" i="67"/>
  <c r="OAO6" i="67"/>
  <c r="OAN6" i="67"/>
  <c r="OAM6" i="67"/>
  <c r="OAL6" i="67"/>
  <c r="OAK6" i="67"/>
  <c r="OAJ6" i="67"/>
  <c r="OAI6" i="67"/>
  <c r="OAH6" i="67"/>
  <c r="OAG6" i="67"/>
  <c r="OAF6" i="67"/>
  <c r="OAE6" i="67"/>
  <c r="OAD6" i="67"/>
  <c r="OAC6" i="67"/>
  <c r="OAB6" i="67"/>
  <c r="OAA6" i="67"/>
  <c r="NZZ6" i="67"/>
  <c r="NZY6" i="67"/>
  <c r="NZX6" i="67"/>
  <c r="NZW6" i="67"/>
  <c r="NZV6" i="67"/>
  <c r="NZU6" i="67"/>
  <c r="NZT6" i="67"/>
  <c r="NZS6" i="67"/>
  <c r="NZR6" i="67"/>
  <c r="NZQ6" i="67"/>
  <c r="NZP6" i="67"/>
  <c r="NZO6" i="67"/>
  <c r="NZN6" i="67"/>
  <c r="NZM6" i="67"/>
  <c r="NZL6" i="67"/>
  <c r="NZK6" i="67"/>
  <c r="NZJ6" i="67"/>
  <c r="NZI6" i="67"/>
  <c r="NZH6" i="67"/>
  <c r="NZG6" i="67"/>
  <c r="NZF6" i="67"/>
  <c r="NZE6" i="67"/>
  <c r="NZD6" i="67"/>
  <c r="NZC6" i="67"/>
  <c r="NZB6" i="67"/>
  <c r="NZA6" i="67"/>
  <c r="NYZ6" i="67"/>
  <c r="NYY6" i="67"/>
  <c r="NYX6" i="67"/>
  <c r="NYW6" i="67"/>
  <c r="NYV6" i="67"/>
  <c r="NYU6" i="67"/>
  <c r="NYT6" i="67"/>
  <c r="NYS6" i="67"/>
  <c r="NYR6" i="67"/>
  <c r="NYQ6" i="67"/>
  <c r="NYP6" i="67"/>
  <c r="NYO6" i="67"/>
  <c r="NYN6" i="67"/>
  <c r="NYM6" i="67"/>
  <c r="NYL6" i="67"/>
  <c r="NYK6" i="67"/>
  <c r="NYJ6" i="67"/>
  <c r="NYI6" i="67"/>
  <c r="NYH6" i="67"/>
  <c r="NYG6" i="67"/>
  <c r="NYF6" i="67"/>
  <c r="NYE6" i="67"/>
  <c r="NYD6" i="67"/>
  <c r="NYC6" i="67"/>
  <c r="NYB6" i="67"/>
  <c r="NYA6" i="67"/>
  <c r="NXZ6" i="67"/>
  <c r="NXY6" i="67"/>
  <c r="NXX6" i="67"/>
  <c r="NXW6" i="67"/>
  <c r="NXV6" i="67"/>
  <c r="NXU6" i="67"/>
  <c r="NXT6" i="67"/>
  <c r="NXS6" i="67"/>
  <c r="NXR6" i="67"/>
  <c r="NXQ6" i="67"/>
  <c r="NXP6" i="67"/>
  <c r="NXO6" i="67"/>
  <c r="NXN6" i="67"/>
  <c r="NXM6" i="67"/>
  <c r="NXL6" i="67"/>
  <c r="NXK6" i="67"/>
  <c r="NXJ6" i="67"/>
  <c r="NXI6" i="67"/>
  <c r="NXH6" i="67"/>
  <c r="NXG6" i="67"/>
  <c r="NXF6" i="67"/>
  <c r="NXE6" i="67"/>
  <c r="NXD6" i="67"/>
  <c r="NXC6" i="67"/>
  <c r="NXB6" i="67"/>
  <c r="NXA6" i="67"/>
  <c r="NWZ6" i="67"/>
  <c r="NWY6" i="67"/>
  <c r="NWX6" i="67"/>
  <c r="NWW6" i="67"/>
  <c r="NWV6" i="67"/>
  <c r="NWU6" i="67"/>
  <c r="NWT6" i="67"/>
  <c r="NWS6" i="67"/>
  <c r="NWR6" i="67"/>
  <c r="NWQ6" i="67"/>
  <c r="NWP6" i="67"/>
  <c r="NWO6" i="67"/>
  <c r="NWN6" i="67"/>
  <c r="NWM6" i="67"/>
  <c r="NWL6" i="67"/>
  <c r="NWK6" i="67"/>
  <c r="NWJ6" i="67"/>
  <c r="NWI6" i="67"/>
  <c r="NWH6" i="67"/>
  <c r="NWG6" i="67"/>
  <c r="NWF6" i="67"/>
  <c r="NWE6" i="67"/>
  <c r="NWD6" i="67"/>
  <c r="NWC6" i="67"/>
  <c r="NWB6" i="67"/>
  <c r="NWA6" i="67"/>
  <c r="NVZ6" i="67"/>
  <c r="NVY6" i="67"/>
  <c r="NVX6" i="67"/>
  <c r="NVW6" i="67"/>
  <c r="NVV6" i="67"/>
  <c r="NVU6" i="67"/>
  <c r="NVT6" i="67"/>
  <c r="NVS6" i="67"/>
  <c r="NVR6" i="67"/>
  <c r="NVQ6" i="67"/>
  <c r="NVP6" i="67"/>
  <c r="NVO6" i="67"/>
  <c r="NVN6" i="67"/>
  <c r="NVM6" i="67"/>
  <c r="NVL6" i="67"/>
  <c r="NVK6" i="67"/>
  <c r="NVJ6" i="67"/>
  <c r="NVI6" i="67"/>
  <c r="NVH6" i="67"/>
  <c r="NVG6" i="67"/>
  <c r="NVF6" i="67"/>
  <c r="NVE6" i="67"/>
  <c r="NVD6" i="67"/>
  <c r="NVC6" i="67"/>
  <c r="NVB6" i="67"/>
  <c r="NVA6" i="67"/>
  <c r="NUZ6" i="67"/>
  <c r="NUY6" i="67"/>
  <c r="NUX6" i="67"/>
  <c r="NUW6" i="67"/>
  <c r="NUV6" i="67"/>
  <c r="NUU6" i="67"/>
  <c r="NUT6" i="67"/>
  <c r="NUS6" i="67"/>
  <c r="NUR6" i="67"/>
  <c r="NUQ6" i="67"/>
  <c r="NUP6" i="67"/>
  <c r="NUO6" i="67"/>
  <c r="NUN6" i="67"/>
  <c r="NUM6" i="67"/>
  <c r="NUL6" i="67"/>
  <c r="NUK6" i="67"/>
  <c r="NUJ6" i="67"/>
  <c r="NUI6" i="67"/>
  <c r="NUH6" i="67"/>
  <c r="NUG6" i="67"/>
  <c r="NUF6" i="67"/>
  <c r="NUE6" i="67"/>
  <c r="NUD6" i="67"/>
  <c r="NUC6" i="67"/>
  <c r="NUB6" i="67"/>
  <c r="NUA6" i="67"/>
  <c r="NTZ6" i="67"/>
  <c r="NTY6" i="67"/>
  <c r="NTX6" i="67"/>
  <c r="NTW6" i="67"/>
  <c r="NTV6" i="67"/>
  <c r="NTU6" i="67"/>
  <c r="NTT6" i="67"/>
  <c r="NTS6" i="67"/>
  <c r="NTR6" i="67"/>
  <c r="NTQ6" i="67"/>
  <c r="NTP6" i="67"/>
  <c r="NTO6" i="67"/>
  <c r="NTN6" i="67"/>
  <c r="NTM6" i="67"/>
  <c r="NTL6" i="67"/>
  <c r="NTK6" i="67"/>
  <c r="NTJ6" i="67"/>
  <c r="NTI6" i="67"/>
  <c r="NTH6" i="67"/>
  <c r="NTG6" i="67"/>
  <c r="NTF6" i="67"/>
  <c r="NTE6" i="67"/>
  <c r="NTD6" i="67"/>
  <c r="NTC6" i="67"/>
  <c r="NTB6" i="67"/>
  <c r="NTA6" i="67"/>
  <c r="NSZ6" i="67"/>
  <c r="NSY6" i="67"/>
  <c r="NSX6" i="67"/>
  <c r="NSW6" i="67"/>
  <c r="NSV6" i="67"/>
  <c r="NSU6" i="67"/>
  <c r="NST6" i="67"/>
  <c r="NSS6" i="67"/>
  <c r="NSR6" i="67"/>
  <c r="NSQ6" i="67"/>
  <c r="NSP6" i="67"/>
  <c r="NSO6" i="67"/>
  <c r="NSN6" i="67"/>
  <c r="NSM6" i="67"/>
  <c r="NSL6" i="67"/>
  <c r="NSK6" i="67"/>
  <c r="NSJ6" i="67"/>
  <c r="NSI6" i="67"/>
  <c r="NSH6" i="67"/>
  <c r="NSG6" i="67"/>
  <c r="NSF6" i="67"/>
  <c r="NSE6" i="67"/>
  <c r="NSD6" i="67"/>
  <c r="NSC6" i="67"/>
  <c r="NSB6" i="67"/>
  <c r="NSA6" i="67"/>
  <c r="NRZ6" i="67"/>
  <c r="NRY6" i="67"/>
  <c r="NRX6" i="67"/>
  <c r="NRW6" i="67"/>
  <c r="NRV6" i="67"/>
  <c r="NRU6" i="67"/>
  <c r="NRT6" i="67"/>
  <c r="NRS6" i="67"/>
  <c r="NRR6" i="67"/>
  <c r="NRQ6" i="67"/>
  <c r="NRP6" i="67"/>
  <c r="NRO6" i="67"/>
  <c r="NRN6" i="67"/>
  <c r="NRM6" i="67"/>
  <c r="NRL6" i="67"/>
  <c r="NRK6" i="67"/>
  <c r="NRJ6" i="67"/>
  <c r="NRI6" i="67"/>
  <c r="NRH6" i="67"/>
  <c r="NRG6" i="67"/>
  <c r="NRF6" i="67"/>
  <c r="NRE6" i="67"/>
  <c r="NRD6" i="67"/>
  <c r="NRC6" i="67"/>
  <c r="NRB6" i="67"/>
  <c r="NRA6" i="67"/>
  <c r="NQZ6" i="67"/>
  <c r="NQY6" i="67"/>
  <c r="NQX6" i="67"/>
  <c r="NQW6" i="67"/>
  <c r="NQV6" i="67"/>
  <c r="NQU6" i="67"/>
  <c r="NQT6" i="67"/>
  <c r="NQS6" i="67"/>
  <c r="NQR6" i="67"/>
  <c r="NQQ6" i="67"/>
  <c r="NQP6" i="67"/>
  <c r="NQO6" i="67"/>
  <c r="NQN6" i="67"/>
  <c r="NQM6" i="67"/>
  <c r="NQL6" i="67"/>
  <c r="NQK6" i="67"/>
  <c r="NQJ6" i="67"/>
  <c r="NQI6" i="67"/>
  <c r="NQH6" i="67"/>
  <c r="NQG6" i="67"/>
  <c r="NQF6" i="67"/>
  <c r="NQE6" i="67"/>
  <c r="NQD6" i="67"/>
  <c r="NQC6" i="67"/>
  <c r="NQB6" i="67"/>
  <c r="NQA6" i="67"/>
  <c r="NPZ6" i="67"/>
  <c r="NPY6" i="67"/>
  <c r="NPX6" i="67"/>
  <c r="NPW6" i="67"/>
  <c r="NPV6" i="67"/>
  <c r="NPU6" i="67"/>
  <c r="NPT6" i="67"/>
  <c r="NPS6" i="67"/>
  <c r="NPR6" i="67"/>
  <c r="NPQ6" i="67"/>
  <c r="NPP6" i="67"/>
  <c r="NPO6" i="67"/>
  <c r="NPN6" i="67"/>
  <c r="NPM6" i="67"/>
  <c r="NPL6" i="67"/>
  <c r="NPK6" i="67"/>
  <c r="NPJ6" i="67"/>
  <c r="NPI6" i="67"/>
  <c r="NPH6" i="67"/>
  <c r="NPG6" i="67"/>
  <c r="NPF6" i="67"/>
  <c r="NPE6" i="67"/>
  <c r="NPD6" i="67"/>
  <c r="NPC6" i="67"/>
  <c r="NPB6" i="67"/>
  <c r="NPA6" i="67"/>
  <c r="NOZ6" i="67"/>
  <c r="NOY6" i="67"/>
  <c r="NOX6" i="67"/>
  <c r="NOW6" i="67"/>
  <c r="NOV6" i="67"/>
  <c r="NOU6" i="67"/>
  <c r="NOT6" i="67"/>
  <c r="NOS6" i="67"/>
  <c r="NOR6" i="67"/>
  <c r="NOQ6" i="67"/>
  <c r="NOP6" i="67"/>
  <c r="NOO6" i="67"/>
  <c r="NON6" i="67"/>
  <c r="NOM6" i="67"/>
  <c r="NOL6" i="67"/>
  <c r="NOK6" i="67"/>
  <c r="NOJ6" i="67"/>
  <c r="NOI6" i="67"/>
  <c r="NOH6" i="67"/>
  <c r="NOG6" i="67"/>
  <c r="NOF6" i="67"/>
  <c r="NOE6" i="67"/>
  <c r="NOD6" i="67"/>
  <c r="NOC6" i="67"/>
  <c r="NOB6" i="67"/>
  <c r="NOA6" i="67"/>
  <c r="NNZ6" i="67"/>
  <c r="NNY6" i="67"/>
  <c r="NNX6" i="67"/>
  <c r="NNW6" i="67"/>
  <c r="NNV6" i="67"/>
  <c r="NNU6" i="67"/>
  <c r="NNT6" i="67"/>
  <c r="NNS6" i="67"/>
  <c r="NNR6" i="67"/>
  <c r="NNQ6" i="67"/>
  <c r="NNP6" i="67"/>
  <c r="NNO6" i="67"/>
  <c r="NNN6" i="67"/>
  <c r="NNM6" i="67"/>
  <c r="NNL6" i="67"/>
  <c r="NNK6" i="67"/>
  <c r="NNJ6" i="67"/>
  <c r="NNI6" i="67"/>
  <c r="NNH6" i="67"/>
  <c r="NNG6" i="67"/>
  <c r="NNF6" i="67"/>
  <c r="NNE6" i="67"/>
  <c r="NND6" i="67"/>
  <c r="NNC6" i="67"/>
  <c r="NNB6" i="67"/>
  <c r="NNA6" i="67"/>
  <c r="NMZ6" i="67"/>
  <c r="NMY6" i="67"/>
  <c r="NMX6" i="67"/>
  <c r="NMW6" i="67"/>
  <c r="NMV6" i="67"/>
  <c r="NMU6" i="67"/>
  <c r="NMT6" i="67"/>
  <c r="NMS6" i="67"/>
  <c r="NMR6" i="67"/>
  <c r="NMQ6" i="67"/>
  <c r="NMP6" i="67"/>
  <c r="NMO6" i="67"/>
  <c r="NMN6" i="67"/>
  <c r="NMM6" i="67"/>
  <c r="NML6" i="67"/>
  <c r="NMK6" i="67"/>
  <c r="NMJ6" i="67"/>
  <c r="NMI6" i="67"/>
  <c r="NMH6" i="67"/>
  <c r="NMG6" i="67"/>
  <c r="NMF6" i="67"/>
  <c r="NME6" i="67"/>
  <c r="NMD6" i="67"/>
  <c r="NMC6" i="67"/>
  <c r="NMB6" i="67"/>
  <c r="NMA6" i="67"/>
  <c r="NLZ6" i="67"/>
  <c r="NLY6" i="67"/>
  <c r="NLX6" i="67"/>
  <c r="NLW6" i="67"/>
  <c r="NLV6" i="67"/>
  <c r="NLU6" i="67"/>
  <c r="NLT6" i="67"/>
  <c r="NLS6" i="67"/>
  <c r="NLR6" i="67"/>
  <c r="NLQ6" i="67"/>
  <c r="NLP6" i="67"/>
  <c r="NLO6" i="67"/>
  <c r="NLN6" i="67"/>
  <c r="NLM6" i="67"/>
  <c r="NLL6" i="67"/>
  <c r="NLK6" i="67"/>
  <c r="NLJ6" i="67"/>
  <c r="NLI6" i="67"/>
  <c r="NLH6" i="67"/>
  <c r="NLG6" i="67"/>
  <c r="NLF6" i="67"/>
  <c r="NLE6" i="67"/>
  <c r="NLD6" i="67"/>
  <c r="NLC6" i="67"/>
  <c r="NLB6" i="67"/>
  <c r="NLA6" i="67"/>
  <c r="NKZ6" i="67"/>
  <c r="NKY6" i="67"/>
  <c r="NKX6" i="67"/>
  <c r="NKW6" i="67"/>
  <c r="NKV6" i="67"/>
  <c r="NKU6" i="67"/>
  <c r="NKT6" i="67"/>
  <c r="NKS6" i="67"/>
  <c r="NKR6" i="67"/>
  <c r="NKQ6" i="67"/>
  <c r="NKP6" i="67"/>
  <c r="NKO6" i="67"/>
  <c r="NKN6" i="67"/>
  <c r="NKM6" i="67"/>
  <c r="NKL6" i="67"/>
  <c r="NKK6" i="67"/>
  <c r="NKJ6" i="67"/>
  <c r="NKI6" i="67"/>
  <c r="NKH6" i="67"/>
  <c r="NKG6" i="67"/>
  <c r="NKF6" i="67"/>
  <c r="NKE6" i="67"/>
  <c r="NKD6" i="67"/>
  <c r="NKC6" i="67"/>
  <c r="NKB6" i="67"/>
  <c r="NKA6" i="67"/>
  <c r="NJZ6" i="67"/>
  <c r="NJY6" i="67"/>
  <c r="NJX6" i="67"/>
  <c r="NJW6" i="67"/>
  <c r="NJV6" i="67"/>
  <c r="NJU6" i="67"/>
  <c r="NJT6" i="67"/>
  <c r="NJS6" i="67"/>
  <c r="NJR6" i="67"/>
  <c r="NJQ6" i="67"/>
  <c r="NJP6" i="67"/>
  <c r="NJO6" i="67"/>
  <c r="NJN6" i="67"/>
  <c r="NJM6" i="67"/>
  <c r="NJL6" i="67"/>
  <c r="NJK6" i="67"/>
  <c r="NJJ6" i="67"/>
  <c r="NJI6" i="67"/>
  <c r="NJH6" i="67"/>
  <c r="NJG6" i="67"/>
  <c r="NJF6" i="67"/>
  <c r="NJE6" i="67"/>
  <c r="NJD6" i="67"/>
  <c r="NJC6" i="67"/>
  <c r="NJB6" i="67"/>
  <c r="NJA6" i="67"/>
  <c r="NIZ6" i="67"/>
  <c r="NIY6" i="67"/>
  <c r="NIX6" i="67"/>
  <c r="NIW6" i="67"/>
  <c r="NIV6" i="67"/>
  <c r="NIU6" i="67"/>
  <c r="NIT6" i="67"/>
  <c r="NIS6" i="67"/>
  <c r="NIR6" i="67"/>
  <c r="NIQ6" i="67"/>
  <c r="NIP6" i="67"/>
  <c r="NIO6" i="67"/>
  <c r="NIN6" i="67"/>
  <c r="NIM6" i="67"/>
  <c r="NIL6" i="67"/>
  <c r="NIK6" i="67"/>
  <c r="NIJ6" i="67"/>
  <c r="NII6" i="67"/>
  <c r="NIH6" i="67"/>
  <c r="NIG6" i="67"/>
  <c r="NIF6" i="67"/>
  <c r="NIE6" i="67"/>
  <c r="NID6" i="67"/>
  <c r="NIC6" i="67"/>
  <c r="NIB6" i="67"/>
  <c r="NIA6" i="67"/>
  <c r="NHZ6" i="67"/>
  <c r="NHY6" i="67"/>
  <c r="NHX6" i="67"/>
  <c r="NHW6" i="67"/>
  <c r="NHV6" i="67"/>
  <c r="NHU6" i="67"/>
  <c r="NHT6" i="67"/>
  <c r="NHS6" i="67"/>
  <c r="NHR6" i="67"/>
  <c r="NHQ6" i="67"/>
  <c r="NHP6" i="67"/>
  <c r="NHO6" i="67"/>
  <c r="NHN6" i="67"/>
  <c r="NHM6" i="67"/>
  <c r="NHL6" i="67"/>
  <c r="NHK6" i="67"/>
  <c r="NHJ6" i="67"/>
  <c r="NHI6" i="67"/>
  <c r="NHH6" i="67"/>
  <c r="NHG6" i="67"/>
  <c r="NHF6" i="67"/>
  <c r="NHE6" i="67"/>
  <c r="NHD6" i="67"/>
  <c r="NHC6" i="67"/>
  <c r="NHB6" i="67"/>
  <c r="NHA6" i="67"/>
  <c r="NGZ6" i="67"/>
  <c r="NGY6" i="67"/>
  <c r="NGX6" i="67"/>
  <c r="NGW6" i="67"/>
  <c r="NGV6" i="67"/>
  <c r="NGU6" i="67"/>
  <c r="NGT6" i="67"/>
  <c r="NGS6" i="67"/>
  <c r="NGR6" i="67"/>
  <c r="NGQ6" i="67"/>
  <c r="NGP6" i="67"/>
  <c r="NGO6" i="67"/>
  <c r="NGN6" i="67"/>
  <c r="NGM6" i="67"/>
  <c r="NGL6" i="67"/>
  <c r="NGK6" i="67"/>
  <c r="NGJ6" i="67"/>
  <c r="NGI6" i="67"/>
  <c r="NGH6" i="67"/>
  <c r="NGG6" i="67"/>
  <c r="NGF6" i="67"/>
  <c r="NGE6" i="67"/>
  <c r="NGD6" i="67"/>
  <c r="NGC6" i="67"/>
  <c r="NGB6" i="67"/>
  <c r="NGA6" i="67"/>
  <c r="NFZ6" i="67"/>
  <c r="NFY6" i="67"/>
  <c r="NFX6" i="67"/>
  <c r="NFW6" i="67"/>
  <c r="NFV6" i="67"/>
  <c r="NFU6" i="67"/>
  <c r="NFT6" i="67"/>
  <c r="NFS6" i="67"/>
  <c r="NFR6" i="67"/>
  <c r="NFQ6" i="67"/>
  <c r="NFP6" i="67"/>
  <c r="NFO6" i="67"/>
  <c r="NFN6" i="67"/>
  <c r="NFM6" i="67"/>
  <c r="NFL6" i="67"/>
  <c r="NFK6" i="67"/>
  <c r="NFJ6" i="67"/>
  <c r="NFI6" i="67"/>
  <c r="NFH6" i="67"/>
  <c r="NFG6" i="67"/>
  <c r="NFF6" i="67"/>
  <c r="NFE6" i="67"/>
  <c r="NFD6" i="67"/>
  <c r="NFC6" i="67"/>
  <c r="NFB6" i="67"/>
  <c r="NFA6" i="67"/>
  <c r="NEZ6" i="67"/>
  <c r="NEY6" i="67"/>
  <c r="NEX6" i="67"/>
  <c r="NEW6" i="67"/>
  <c r="NEV6" i="67"/>
  <c r="NEU6" i="67"/>
  <c r="NET6" i="67"/>
  <c r="NES6" i="67"/>
  <c r="NER6" i="67"/>
  <c r="NEQ6" i="67"/>
  <c r="NEP6" i="67"/>
  <c r="NEO6" i="67"/>
  <c r="NEN6" i="67"/>
  <c r="NEM6" i="67"/>
  <c r="NEL6" i="67"/>
  <c r="NEK6" i="67"/>
  <c r="NEJ6" i="67"/>
  <c r="NEI6" i="67"/>
  <c r="NEH6" i="67"/>
  <c r="NEG6" i="67"/>
  <c r="NEF6" i="67"/>
  <c r="NEE6" i="67"/>
  <c r="NED6" i="67"/>
  <c r="NEC6" i="67"/>
  <c r="NEB6" i="67"/>
  <c r="NEA6" i="67"/>
  <c r="NDZ6" i="67"/>
  <c r="NDY6" i="67"/>
  <c r="NDX6" i="67"/>
  <c r="NDW6" i="67"/>
  <c r="NDV6" i="67"/>
  <c r="NDU6" i="67"/>
  <c r="NDT6" i="67"/>
  <c r="NDS6" i="67"/>
  <c r="NDR6" i="67"/>
  <c r="NDQ6" i="67"/>
  <c r="NDP6" i="67"/>
  <c r="NDO6" i="67"/>
  <c r="NDN6" i="67"/>
  <c r="NDM6" i="67"/>
  <c r="NDL6" i="67"/>
  <c r="NDK6" i="67"/>
  <c r="NDJ6" i="67"/>
  <c r="NDI6" i="67"/>
  <c r="NDH6" i="67"/>
  <c r="NDG6" i="67"/>
  <c r="NDF6" i="67"/>
  <c r="NDE6" i="67"/>
  <c r="NDD6" i="67"/>
  <c r="NDC6" i="67"/>
  <c r="NDB6" i="67"/>
  <c r="NDA6" i="67"/>
  <c r="NCZ6" i="67"/>
  <c r="NCY6" i="67"/>
  <c r="NCX6" i="67"/>
  <c r="NCW6" i="67"/>
  <c r="NCV6" i="67"/>
  <c r="NCU6" i="67"/>
  <c r="NCT6" i="67"/>
  <c r="NCS6" i="67"/>
  <c r="NCR6" i="67"/>
  <c r="NCQ6" i="67"/>
  <c r="NCP6" i="67"/>
  <c r="NCO6" i="67"/>
  <c r="NCN6" i="67"/>
  <c r="NCM6" i="67"/>
  <c r="NCL6" i="67"/>
  <c r="NCK6" i="67"/>
  <c r="NCJ6" i="67"/>
  <c r="NCI6" i="67"/>
  <c r="NCH6" i="67"/>
  <c r="NCG6" i="67"/>
  <c r="NCF6" i="67"/>
  <c r="NCE6" i="67"/>
  <c r="NCD6" i="67"/>
  <c r="NCC6" i="67"/>
  <c r="NCB6" i="67"/>
  <c r="NCA6" i="67"/>
  <c r="NBZ6" i="67"/>
  <c r="NBY6" i="67"/>
  <c r="NBX6" i="67"/>
  <c r="NBW6" i="67"/>
  <c r="NBV6" i="67"/>
  <c r="NBU6" i="67"/>
  <c r="NBT6" i="67"/>
  <c r="NBS6" i="67"/>
  <c r="NBR6" i="67"/>
  <c r="NBQ6" i="67"/>
  <c r="NBP6" i="67"/>
  <c r="NBO6" i="67"/>
  <c r="NBN6" i="67"/>
  <c r="NBM6" i="67"/>
  <c r="NBL6" i="67"/>
  <c r="NBK6" i="67"/>
  <c r="NBJ6" i="67"/>
  <c r="NBI6" i="67"/>
  <c r="NBH6" i="67"/>
  <c r="NBG6" i="67"/>
  <c r="NBF6" i="67"/>
  <c r="NBE6" i="67"/>
  <c r="NBD6" i="67"/>
  <c r="NBC6" i="67"/>
  <c r="NBB6" i="67"/>
  <c r="NBA6" i="67"/>
  <c r="NAZ6" i="67"/>
  <c r="NAY6" i="67"/>
  <c r="NAX6" i="67"/>
  <c r="NAW6" i="67"/>
  <c r="NAV6" i="67"/>
  <c r="NAU6" i="67"/>
  <c r="NAT6" i="67"/>
  <c r="NAS6" i="67"/>
  <c r="NAR6" i="67"/>
  <c r="NAQ6" i="67"/>
  <c r="NAP6" i="67"/>
  <c r="NAO6" i="67"/>
  <c r="NAN6" i="67"/>
  <c r="NAM6" i="67"/>
  <c r="NAL6" i="67"/>
  <c r="NAK6" i="67"/>
  <c r="NAJ6" i="67"/>
  <c r="NAI6" i="67"/>
  <c r="NAH6" i="67"/>
  <c r="NAG6" i="67"/>
  <c r="NAF6" i="67"/>
  <c r="NAE6" i="67"/>
  <c r="NAD6" i="67"/>
  <c r="NAC6" i="67"/>
  <c r="NAB6" i="67"/>
  <c r="NAA6" i="67"/>
  <c r="MZZ6" i="67"/>
  <c r="MZY6" i="67"/>
  <c r="MZX6" i="67"/>
  <c r="MZW6" i="67"/>
  <c r="MZV6" i="67"/>
  <c r="MZU6" i="67"/>
  <c r="MZT6" i="67"/>
  <c r="MZS6" i="67"/>
  <c r="MZR6" i="67"/>
  <c r="MZQ6" i="67"/>
  <c r="MZP6" i="67"/>
  <c r="MZO6" i="67"/>
  <c r="MZN6" i="67"/>
  <c r="MZM6" i="67"/>
  <c r="MZL6" i="67"/>
  <c r="MZK6" i="67"/>
  <c r="MZJ6" i="67"/>
  <c r="MZI6" i="67"/>
  <c r="MZH6" i="67"/>
  <c r="MZG6" i="67"/>
  <c r="MZF6" i="67"/>
  <c r="MZE6" i="67"/>
  <c r="MZD6" i="67"/>
  <c r="MZC6" i="67"/>
  <c r="MZB6" i="67"/>
  <c r="MZA6" i="67"/>
  <c r="MYZ6" i="67"/>
  <c r="MYY6" i="67"/>
  <c r="MYX6" i="67"/>
  <c r="MYW6" i="67"/>
  <c r="MYV6" i="67"/>
  <c r="MYU6" i="67"/>
  <c r="MYT6" i="67"/>
  <c r="MYS6" i="67"/>
  <c r="MYR6" i="67"/>
  <c r="MYQ6" i="67"/>
  <c r="MYP6" i="67"/>
  <c r="MYO6" i="67"/>
  <c r="MYN6" i="67"/>
  <c r="MYM6" i="67"/>
  <c r="MYL6" i="67"/>
  <c r="MYK6" i="67"/>
  <c r="MYJ6" i="67"/>
  <c r="MYI6" i="67"/>
  <c r="MYH6" i="67"/>
  <c r="MYG6" i="67"/>
  <c r="MYF6" i="67"/>
  <c r="MYE6" i="67"/>
  <c r="MYD6" i="67"/>
  <c r="MYC6" i="67"/>
  <c r="MYB6" i="67"/>
  <c r="MYA6" i="67"/>
  <c r="MXZ6" i="67"/>
  <c r="MXY6" i="67"/>
  <c r="MXX6" i="67"/>
  <c r="MXW6" i="67"/>
  <c r="MXV6" i="67"/>
  <c r="MXU6" i="67"/>
  <c r="MXT6" i="67"/>
  <c r="MXS6" i="67"/>
  <c r="MXR6" i="67"/>
  <c r="MXQ6" i="67"/>
  <c r="MXP6" i="67"/>
  <c r="MXO6" i="67"/>
  <c r="MXN6" i="67"/>
  <c r="MXM6" i="67"/>
  <c r="MXL6" i="67"/>
  <c r="MXK6" i="67"/>
  <c r="MXJ6" i="67"/>
  <c r="MXI6" i="67"/>
  <c r="MXH6" i="67"/>
  <c r="MXG6" i="67"/>
  <c r="MXF6" i="67"/>
  <c r="MXE6" i="67"/>
  <c r="MXD6" i="67"/>
  <c r="MXC6" i="67"/>
  <c r="MXB6" i="67"/>
  <c r="MXA6" i="67"/>
  <c r="MWZ6" i="67"/>
  <c r="MWY6" i="67"/>
  <c r="MWX6" i="67"/>
  <c r="MWW6" i="67"/>
  <c r="MWV6" i="67"/>
  <c r="MWU6" i="67"/>
  <c r="MWT6" i="67"/>
  <c r="MWS6" i="67"/>
  <c r="MWR6" i="67"/>
  <c r="MWQ6" i="67"/>
  <c r="MWP6" i="67"/>
  <c r="MWO6" i="67"/>
  <c r="MWN6" i="67"/>
  <c r="MWM6" i="67"/>
  <c r="MWL6" i="67"/>
  <c r="MWK6" i="67"/>
  <c r="MWJ6" i="67"/>
  <c r="MWI6" i="67"/>
  <c r="MWH6" i="67"/>
  <c r="MWG6" i="67"/>
  <c r="MWF6" i="67"/>
  <c r="MWE6" i="67"/>
  <c r="MWD6" i="67"/>
  <c r="MWC6" i="67"/>
  <c r="MWB6" i="67"/>
  <c r="MWA6" i="67"/>
  <c r="MVZ6" i="67"/>
  <c r="MVY6" i="67"/>
  <c r="MVX6" i="67"/>
  <c r="MVW6" i="67"/>
  <c r="MVV6" i="67"/>
  <c r="MVU6" i="67"/>
  <c r="MVT6" i="67"/>
  <c r="MVS6" i="67"/>
  <c r="MVR6" i="67"/>
  <c r="MVQ6" i="67"/>
  <c r="MVP6" i="67"/>
  <c r="MVO6" i="67"/>
  <c r="MVN6" i="67"/>
  <c r="MVM6" i="67"/>
  <c r="MVL6" i="67"/>
  <c r="MVK6" i="67"/>
  <c r="MVJ6" i="67"/>
  <c r="MVI6" i="67"/>
  <c r="MVH6" i="67"/>
  <c r="MVG6" i="67"/>
  <c r="MVF6" i="67"/>
  <c r="MVE6" i="67"/>
  <c r="MVD6" i="67"/>
  <c r="MVC6" i="67"/>
  <c r="MVB6" i="67"/>
  <c r="MVA6" i="67"/>
  <c r="MUZ6" i="67"/>
  <c r="MUY6" i="67"/>
  <c r="MUX6" i="67"/>
  <c r="MUW6" i="67"/>
  <c r="MUV6" i="67"/>
  <c r="MUU6" i="67"/>
  <c r="MUT6" i="67"/>
  <c r="MUS6" i="67"/>
  <c r="MUR6" i="67"/>
  <c r="MUQ6" i="67"/>
  <c r="MUP6" i="67"/>
  <c r="MUO6" i="67"/>
  <c r="MUN6" i="67"/>
  <c r="MUM6" i="67"/>
  <c r="MUL6" i="67"/>
  <c r="MUK6" i="67"/>
  <c r="MUJ6" i="67"/>
  <c r="MUI6" i="67"/>
  <c r="MUH6" i="67"/>
  <c r="MUG6" i="67"/>
  <c r="MUF6" i="67"/>
  <c r="MUE6" i="67"/>
  <c r="MUD6" i="67"/>
  <c r="MUC6" i="67"/>
  <c r="MUB6" i="67"/>
  <c r="MUA6" i="67"/>
  <c r="MTZ6" i="67"/>
  <c r="MTY6" i="67"/>
  <c r="MTX6" i="67"/>
  <c r="MTW6" i="67"/>
  <c r="MTV6" i="67"/>
  <c r="MTU6" i="67"/>
  <c r="MTT6" i="67"/>
  <c r="MTS6" i="67"/>
  <c r="MTR6" i="67"/>
  <c r="MTQ6" i="67"/>
  <c r="MTP6" i="67"/>
  <c r="MTO6" i="67"/>
  <c r="MTN6" i="67"/>
  <c r="MTM6" i="67"/>
  <c r="MTL6" i="67"/>
  <c r="MTK6" i="67"/>
  <c r="MTJ6" i="67"/>
  <c r="MTI6" i="67"/>
  <c r="MTH6" i="67"/>
  <c r="MTG6" i="67"/>
  <c r="MTF6" i="67"/>
  <c r="MTE6" i="67"/>
  <c r="MTD6" i="67"/>
  <c r="MTC6" i="67"/>
  <c r="MTB6" i="67"/>
  <c r="MTA6" i="67"/>
  <c r="MSZ6" i="67"/>
  <c r="MSY6" i="67"/>
  <c r="MSX6" i="67"/>
  <c r="MSW6" i="67"/>
  <c r="MSV6" i="67"/>
  <c r="MSU6" i="67"/>
  <c r="MST6" i="67"/>
  <c r="MSS6" i="67"/>
  <c r="MSR6" i="67"/>
  <c r="MSQ6" i="67"/>
  <c r="MSP6" i="67"/>
  <c r="MSO6" i="67"/>
  <c r="MSN6" i="67"/>
  <c r="MSM6" i="67"/>
  <c r="MSL6" i="67"/>
  <c r="MSK6" i="67"/>
  <c r="MSJ6" i="67"/>
  <c r="MSI6" i="67"/>
  <c r="MSH6" i="67"/>
  <c r="MSG6" i="67"/>
  <c r="MSF6" i="67"/>
  <c r="MSE6" i="67"/>
  <c r="MSD6" i="67"/>
  <c r="MSC6" i="67"/>
  <c r="MSB6" i="67"/>
  <c r="MSA6" i="67"/>
  <c r="MRZ6" i="67"/>
  <c r="MRY6" i="67"/>
  <c r="MRX6" i="67"/>
  <c r="MRW6" i="67"/>
  <c r="MRV6" i="67"/>
  <c r="MRU6" i="67"/>
  <c r="MRT6" i="67"/>
  <c r="MRS6" i="67"/>
  <c r="MRR6" i="67"/>
  <c r="MRQ6" i="67"/>
  <c r="MRP6" i="67"/>
  <c r="MRO6" i="67"/>
  <c r="MRN6" i="67"/>
  <c r="MRM6" i="67"/>
  <c r="MRL6" i="67"/>
  <c r="MRK6" i="67"/>
  <c r="MRJ6" i="67"/>
  <c r="MRI6" i="67"/>
  <c r="MRH6" i="67"/>
  <c r="MRG6" i="67"/>
  <c r="MRF6" i="67"/>
  <c r="MRE6" i="67"/>
  <c r="MRD6" i="67"/>
  <c r="MRC6" i="67"/>
  <c r="MRB6" i="67"/>
  <c r="MRA6" i="67"/>
  <c r="MQZ6" i="67"/>
  <c r="MQY6" i="67"/>
  <c r="MQX6" i="67"/>
  <c r="MQW6" i="67"/>
  <c r="MQV6" i="67"/>
  <c r="MQU6" i="67"/>
  <c r="MQT6" i="67"/>
  <c r="MQS6" i="67"/>
  <c r="MQR6" i="67"/>
  <c r="MQQ6" i="67"/>
  <c r="MQP6" i="67"/>
  <c r="MQO6" i="67"/>
  <c r="MQN6" i="67"/>
  <c r="MQM6" i="67"/>
  <c r="MQL6" i="67"/>
  <c r="MQK6" i="67"/>
  <c r="MQJ6" i="67"/>
  <c r="MQI6" i="67"/>
  <c r="MQH6" i="67"/>
  <c r="MQG6" i="67"/>
  <c r="MQF6" i="67"/>
  <c r="MQE6" i="67"/>
  <c r="MQD6" i="67"/>
  <c r="MQC6" i="67"/>
  <c r="MQB6" i="67"/>
  <c r="MQA6" i="67"/>
  <c r="MPZ6" i="67"/>
  <c r="MPY6" i="67"/>
  <c r="MPX6" i="67"/>
  <c r="MPW6" i="67"/>
  <c r="MPV6" i="67"/>
  <c r="MPU6" i="67"/>
  <c r="MPT6" i="67"/>
  <c r="MPS6" i="67"/>
  <c r="MPR6" i="67"/>
  <c r="MPQ6" i="67"/>
  <c r="MPP6" i="67"/>
  <c r="MPO6" i="67"/>
  <c r="MPN6" i="67"/>
  <c r="MPM6" i="67"/>
  <c r="MPL6" i="67"/>
  <c r="MPK6" i="67"/>
  <c r="MPJ6" i="67"/>
  <c r="MPI6" i="67"/>
  <c r="MPH6" i="67"/>
  <c r="MPG6" i="67"/>
  <c r="MPF6" i="67"/>
  <c r="MPE6" i="67"/>
  <c r="MPD6" i="67"/>
  <c r="MPC6" i="67"/>
  <c r="MPB6" i="67"/>
  <c r="MPA6" i="67"/>
  <c r="MOZ6" i="67"/>
  <c r="MOY6" i="67"/>
  <c r="MOX6" i="67"/>
  <c r="MOW6" i="67"/>
  <c r="MOV6" i="67"/>
  <c r="MOU6" i="67"/>
  <c r="MOT6" i="67"/>
  <c r="MOS6" i="67"/>
  <c r="MOR6" i="67"/>
  <c r="MOQ6" i="67"/>
  <c r="MOP6" i="67"/>
  <c r="MOO6" i="67"/>
  <c r="MON6" i="67"/>
  <c r="MOM6" i="67"/>
  <c r="MOL6" i="67"/>
  <c r="MOK6" i="67"/>
  <c r="MOJ6" i="67"/>
  <c r="MOI6" i="67"/>
  <c r="MOH6" i="67"/>
  <c r="MOG6" i="67"/>
  <c r="MOF6" i="67"/>
  <c r="MOE6" i="67"/>
  <c r="MOD6" i="67"/>
  <c r="MOC6" i="67"/>
  <c r="MOB6" i="67"/>
  <c r="MOA6" i="67"/>
  <c r="MNZ6" i="67"/>
  <c r="MNY6" i="67"/>
  <c r="MNX6" i="67"/>
  <c r="MNW6" i="67"/>
  <c r="MNV6" i="67"/>
  <c r="MNU6" i="67"/>
  <c r="MNT6" i="67"/>
  <c r="MNS6" i="67"/>
  <c r="MNR6" i="67"/>
  <c r="MNQ6" i="67"/>
  <c r="MNP6" i="67"/>
  <c r="MNO6" i="67"/>
  <c r="MNN6" i="67"/>
  <c r="MNM6" i="67"/>
  <c r="MNL6" i="67"/>
  <c r="MNK6" i="67"/>
  <c r="MNJ6" i="67"/>
  <c r="MNI6" i="67"/>
  <c r="MNH6" i="67"/>
  <c r="MNG6" i="67"/>
  <c r="MNF6" i="67"/>
  <c r="MNE6" i="67"/>
  <c r="MND6" i="67"/>
  <c r="MNC6" i="67"/>
  <c r="MNB6" i="67"/>
  <c r="MNA6" i="67"/>
  <c r="MMZ6" i="67"/>
  <c r="MMY6" i="67"/>
  <c r="MMX6" i="67"/>
  <c r="MMW6" i="67"/>
  <c r="MMV6" i="67"/>
  <c r="MMU6" i="67"/>
  <c r="MMT6" i="67"/>
  <c r="MMS6" i="67"/>
  <c r="MMR6" i="67"/>
  <c r="MMQ6" i="67"/>
  <c r="MMP6" i="67"/>
  <c r="MMO6" i="67"/>
  <c r="MMN6" i="67"/>
  <c r="MMM6" i="67"/>
  <c r="MML6" i="67"/>
  <c r="MMK6" i="67"/>
  <c r="MMJ6" i="67"/>
  <c r="MMI6" i="67"/>
  <c r="MMH6" i="67"/>
  <c r="MMG6" i="67"/>
  <c r="MMF6" i="67"/>
  <c r="MME6" i="67"/>
  <c r="MMD6" i="67"/>
  <c r="MMC6" i="67"/>
  <c r="MMB6" i="67"/>
  <c r="MMA6" i="67"/>
  <c r="MLZ6" i="67"/>
  <c r="MLY6" i="67"/>
  <c r="MLX6" i="67"/>
  <c r="MLW6" i="67"/>
  <c r="MLV6" i="67"/>
  <c r="MLU6" i="67"/>
  <c r="MLT6" i="67"/>
  <c r="MLS6" i="67"/>
  <c r="MLR6" i="67"/>
  <c r="MLQ6" i="67"/>
  <c r="MLP6" i="67"/>
  <c r="MLO6" i="67"/>
  <c r="MLN6" i="67"/>
  <c r="MLM6" i="67"/>
  <c r="MLL6" i="67"/>
  <c r="MLK6" i="67"/>
  <c r="MLJ6" i="67"/>
  <c r="MLI6" i="67"/>
  <c r="MLH6" i="67"/>
  <c r="MLG6" i="67"/>
  <c r="MLF6" i="67"/>
  <c r="MLE6" i="67"/>
  <c r="MLD6" i="67"/>
  <c r="MLC6" i="67"/>
  <c r="MLB6" i="67"/>
  <c r="MLA6" i="67"/>
  <c r="MKZ6" i="67"/>
  <c r="MKY6" i="67"/>
  <c r="MKX6" i="67"/>
  <c r="MKW6" i="67"/>
  <c r="MKV6" i="67"/>
  <c r="MKU6" i="67"/>
  <c r="MKT6" i="67"/>
  <c r="MKS6" i="67"/>
  <c r="MKR6" i="67"/>
  <c r="MKQ6" i="67"/>
  <c r="MKP6" i="67"/>
  <c r="MKO6" i="67"/>
  <c r="MKN6" i="67"/>
  <c r="MKM6" i="67"/>
  <c r="MKL6" i="67"/>
  <c r="MKK6" i="67"/>
  <c r="MKJ6" i="67"/>
  <c r="MKI6" i="67"/>
  <c r="MKH6" i="67"/>
  <c r="MKG6" i="67"/>
  <c r="MKF6" i="67"/>
  <c r="MKE6" i="67"/>
  <c r="MKD6" i="67"/>
  <c r="MKC6" i="67"/>
  <c r="MKB6" i="67"/>
  <c r="MKA6" i="67"/>
  <c r="MJZ6" i="67"/>
  <c r="MJY6" i="67"/>
  <c r="MJX6" i="67"/>
  <c r="MJW6" i="67"/>
  <c r="MJV6" i="67"/>
  <c r="MJU6" i="67"/>
  <c r="MJT6" i="67"/>
  <c r="MJS6" i="67"/>
  <c r="MJR6" i="67"/>
  <c r="MJQ6" i="67"/>
  <c r="MJP6" i="67"/>
  <c r="MJO6" i="67"/>
  <c r="MJN6" i="67"/>
  <c r="MJM6" i="67"/>
  <c r="MJL6" i="67"/>
  <c r="MJK6" i="67"/>
  <c r="MJJ6" i="67"/>
  <c r="MJI6" i="67"/>
  <c r="MJH6" i="67"/>
  <c r="MJG6" i="67"/>
  <c r="MJF6" i="67"/>
  <c r="MJE6" i="67"/>
  <c r="MJD6" i="67"/>
  <c r="MJC6" i="67"/>
  <c r="MJB6" i="67"/>
  <c r="MJA6" i="67"/>
  <c r="MIZ6" i="67"/>
  <c r="MIY6" i="67"/>
  <c r="MIX6" i="67"/>
  <c r="MIW6" i="67"/>
  <c r="MIV6" i="67"/>
  <c r="MIU6" i="67"/>
  <c r="MIT6" i="67"/>
  <c r="MIS6" i="67"/>
  <c r="MIR6" i="67"/>
  <c r="MIQ6" i="67"/>
  <c r="MIP6" i="67"/>
  <c r="MIO6" i="67"/>
  <c r="MIN6" i="67"/>
  <c r="MIM6" i="67"/>
  <c r="MIL6" i="67"/>
  <c r="MIK6" i="67"/>
  <c r="MIJ6" i="67"/>
  <c r="MII6" i="67"/>
  <c r="MIH6" i="67"/>
  <c r="MIG6" i="67"/>
  <c r="MIF6" i="67"/>
  <c r="MIE6" i="67"/>
  <c r="MID6" i="67"/>
  <c r="MIC6" i="67"/>
  <c r="MIB6" i="67"/>
  <c r="MIA6" i="67"/>
  <c r="MHZ6" i="67"/>
  <c r="MHY6" i="67"/>
  <c r="MHX6" i="67"/>
  <c r="MHW6" i="67"/>
  <c r="MHV6" i="67"/>
  <c r="MHU6" i="67"/>
  <c r="MHT6" i="67"/>
  <c r="MHS6" i="67"/>
  <c r="MHR6" i="67"/>
  <c r="MHQ6" i="67"/>
  <c r="MHP6" i="67"/>
  <c r="MHO6" i="67"/>
  <c r="MHN6" i="67"/>
  <c r="MHM6" i="67"/>
  <c r="MHL6" i="67"/>
  <c r="MHK6" i="67"/>
  <c r="MHJ6" i="67"/>
  <c r="MHI6" i="67"/>
  <c r="MHH6" i="67"/>
  <c r="MHG6" i="67"/>
  <c r="MHF6" i="67"/>
  <c r="MHE6" i="67"/>
  <c r="MHD6" i="67"/>
  <c r="MHC6" i="67"/>
  <c r="MHB6" i="67"/>
  <c r="MHA6" i="67"/>
  <c r="MGZ6" i="67"/>
  <c r="MGY6" i="67"/>
  <c r="MGX6" i="67"/>
  <c r="MGW6" i="67"/>
  <c r="MGV6" i="67"/>
  <c r="MGU6" i="67"/>
  <c r="MGT6" i="67"/>
  <c r="MGS6" i="67"/>
  <c r="MGR6" i="67"/>
  <c r="MGQ6" i="67"/>
  <c r="MGP6" i="67"/>
  <c r="MGO6" i="67"/>
  <c r="MGN6" i="67"/>
  <c r="MGM6" i="67"/>
  <c r="MGL6" i="67"/>
  <c r="MGK6" i="67"/>
  <c r="MGJ6" i="67"/>
  <c r="MGI6" i="67"/>
  <c r="MGH6" i="67"/>
  <c r="MGG6" i="67"/>
  <c r="MGF6" i="67"/>
  <c r="MGE6" i="67"/>
  <c r="MGD6" i="67"/>
  <c r="MGC6" i="67"/>
  <c r="MGB6" i="67"/>
  <c r="MGA6" i="67"/>
  <c r="MFZ6" i="67"/>
  <c r="MFY6" i="67"/>
  <c r="MFX6" i="67"/>
  <c r="MFW6" i="67"/>
  <c r="MFV6" i="67"/>
  <c r="MFU6" i="67"/>
  <c r="MFT6" i="67"/>
  <c r="MFS6" i="67"/>
  <c r="MFR6" i="67"/>
  <c r="MFQ6" i="67"/>
  <c r="MFP6" i="67"/>
  <c r="MFO6" i="67"/>
  <c r="MFN6" i="67"/>
  <c r="MFM6" i="67"/>
  <c r="MFL6" i="67"/>
  <c r="MFK6" i="67"/>
  <c r="MFJ6" i="67"/>
  <c r="MFI6" i="67"/>
  <c r="MFH6" i="67"/>
  <c r="MFG6" i="67"/>
  <c r="MFF6" i="67"/>
  <c r="MFE6" i="67"/>
  <c r="MFD6" i="67"/>
  <c r="MFC6" i="67"/>
  <c r="MFB6" i="67"/>
  <c r="MFA6" i="67"/>
  <c r="MEZ6" i="67"/>
  <c r="MEY6" i="67"/>
  <c r="MEX6" i="67"/>
  <c r="MEW6" i="67"/>
  <c r="MEV6" i="67"/>
  <c r="MEU6" i="67"/>
  <c r="MET6" i="67"/>
  <c r="MES6" i="67"/>
  <c r="MER6" i="67"/>
  <c r="MEQ6" i="67"/>
  <c r="MEP6" i="67"/>
  <c r="MEO6" i="67"/>
  <c r="MEN6" i="67"/>
  <c r="MEM6" i="67"/>
  <c r="MEL6" i="67"/>
  <c r="MEK6" i="67"/>
  <c r="MEJ6" i="67"/>
  <c r="MEI6" i="67"/>
  <c r="MEH6" i="67"/>
  <c r="MEG6" i="67"/>
  <c r="MEF6" i="67"/>
  <c r="MEE6" i="67"/>
  <c r="MED6" i="67"/>
  <c r="MEC6" i="67"/>
  <c r="MEB6" i="67"/>
  <c r="MEA6" i="67"/>
  <c r="MDZ6" i="67"/>
  <c r="MDY6" i="67"/>
  <c r="MDX6" i="67"/>
  <c r="MDW6" i="67"/>
  <c r="MDV6" i="67"/>
  <c r="MDU6" i="67"/>
  <c r="MDT6" i="67"/>
  <c r="MDS6" i="67"/>
  <c r="MDR6" i="67"/>
  <c r="MDQ6" i="67"/>
  <c r="MDP6" i="67"/>
  <c r="MDO6" i="67"/>
  <c r="MDN6" i="67"/>
  <c r="MDM6" i="67"/>
  <c r="MDL6" i="67"/>
  <c r="MDK6" i="67"/>
  <c r="MDJ6" i="67"/>
  <c r="MDI6" i="67"/>
  <c r="MDH6" i="67"/>
  <c r="MDG6" i="67"/>
  <c r="MDF6" i="67"/>
  <c r="MDE6" i="67"/>
  <c r="MDD6" i="67"/>
  <c r="MDC6" i="67"/>
  <c r="MDB6" i="67"/>
  <c r="MDA6" i="67"/>
  <c r="MCZ6" i="67"/>
  <c r="MCY6" i="67"/>
  <c r="MCX6" i="67"/>
  <c r="MCW6" i="67"/>
  <c r="MCV6" i="67"/>
  <c r="MCU6" i="67"/>
  <c r="MCT6" i="67"/>
  <c r="MCS6" i="67"/>
  <c r="MCR6" i="67"/>
  <c r="MCQ6" i="67"/>
  <c r="MCP6" i="67"/>
  <c r="MCO6" i="67"/>
  <c r="MCN6" i="67"/>
  <c r="MCM6" i="67"/>
  <c r="MCL6" i="67"/>
  <c r="MCK6" i="67"/>
  <c r="MCJ6" i="67"/>
  <c r="MCI6" i="67"/>
  <c r="MCH6" i="67"/>
  <c r="MCG6" i="67"/>
  <c r="MCF6" i="67"/>
  <c r="MCE6" i="67"/>
  <c r="MCD6" i="67"/>
  <c r="MCC6" i="67"/>
  <c r="MCB6" i="67"/>
  <c r="MCA6" i="67"/>
  <c r="MBZ6" i="67"/>
  <c r="MBY6" i="67"/>
  <c r="MBX6" i="67"/>
  <c r="MBW6" i="67"/>
  <c r="MBV6" i="67"/>
  <c r="MBU6" i="67"/>
  <c r="MBT6" i="67"/>
  <c r="MBS6" i="67"/>
  <c r="MBR6" i="67"/>
  <c r="MBQ6" i="67"/>
  <c r="MBP6" i="67"/>
  <c r="MBO6" i="67"/>
  <c r="MBN6" i="67"/>
  <c r="MBM6" i="67"/>
  <c r="MBL6" i="67"/>
  <c r="MBK6" i="67"/>
  <c r="MBJ6" i="67"/>
  <c r="MBI6" i="67"/>
  <c r="MBH6" i="67"/>
  <c r="MBG6" i="67"/>
  <c r="MBF6" i="67"/>
  <c r="MBE6" i="67"/>
  <c r="MBD6" i="67"/>
  <c r="MBC6" i="67"/>
  <c r="MBB6" i="67"/>
  <c r="MBA6" i="67"/>
  <c r="MAZ6" i="67"/>
  <c r="MAY6" i="67"/>
  <c r="MAX6" i="67"/>
  <c r="MAW6" i="67"/>
  <c r="MAV6" i="67"/>
  <c r="MAU6" i="67"/>
  <c r="MAT6" i="67"/>
  <c r="MAS6" i="67"/>
  <c r="MAR6" i="67"/>
  <c r="MAQ6" i="67"/>
  <c r="MAP6" i="67"/>
  <c r="MAO6" i="67"/>
  <c r="MAN6" i="67"/>
  <c r="MAM6" i="67"/>
  <c r="MAL6" i="67"/>
  <c r="MAK6" i="67"/>
  <c r="MAJ6" i="67"/>
  <c r="MAI6" i="67"/>
  <c r="MAH6" i="67"/>
  <c r="MAG6" i="67"/>
  <c r="MAF6" i="67"/>
  <c r="MAE6" i="67"/>
  <c r="MAD6" i="67"/>
  <c r="MAC6" i="67"/>
  <c r="MAB6" i="67"/>
  <c r="MAA6" i="67"/>
  <c r="LZZ6" i="67"/>
  <c r="LZY6" i="67"/>
  <c r="LZX6" i="67"/>
  <c r="LZW6" i="67"/>
  <c r="LZV6" i="67"/>
  <c r="LZU6" i="67"/>
  <c r="LZT6" i="67"/>
  <c r="LZS6" i="67"/>
  <c r="LZR6" i="67"/>
  <c r="LZQ6" i="67"/>
  <c r="LZP6" i="67"/>
  <c r="LZO6" i="67"/>
  <c r="LZN6" i="67"/>
  <c r="LZM6" i="67"/>
  <c r="LZL6" i="67"/>
  <c r="LZK6" i="67"/>
  <c r="LZJ6" i="67"/>
  <c r="LZI6" i="67"/>
  <c r="LZH6" i="67"/>
  <c r="LZG6" i="67"/>
  <c r="LZF6" i="67"/>
  <c r="LZE6" i="67"/>
  <c r="LZD6" i="67"/>
  <c r="LZC6" i="67"/>
  <c r="LZB6" i="67"/>
  <c r="LZA6" i="67"/>
  <c r="LYZ6" i="67"/>
  <c r="LYY6" i="67"/>
  <c r="LYX6" i="67"/>
  <c r="LYW6" i="67"/>
  <c r="LYV6" i="67"/>
  <c r="LYU6" i="67"/>
  <c r="LYT6" i="67"/>
  <c r="LYS6" i="67"/>
  <c r="LYR6" i="67"/>
  <c r="LYQ6" i="67"/>
  <c r="LYP6" i="67"/>
  <c r="LYO6" i="67"/>
  <c r="LYN6" i="67"/>
  <c r="LYM6" i="67"/>
  <c r="LYL6" i="67"/>
  <c r="LYK6" i="67"/>
  <c r="LYJ6" i="67"/>
  <c r="LYI6" i="67"/>
  <c r="LYH6" i="67"/>
  <c r="LYG6" i="67"/>
  <c r="LYF6" i="67"/>
  <c r="LYE6" i="67"/>
  <c r="LYD6" i="67"/>
  <c r="LYC6" i="67"/>
  <c r="LYB6" i="67"/>
  <c r="LYA6" i="67"/>
  <c r="LXZ6" i="67"/>
  <c r="LXY6" i="67"/>
  <c r="LXX6" i="67"/>
  <c r="LXW6" i="67"/>
  <c r="LXV6" i="67"/>
  <c r="LXU6" i="67"/>
  <c r="LXT6" i="67"/>
  <c r="LXS6" i="67"/>
  <c r="LXR6" i="67"/>
  <c r="LXQ6" i="67"/>
  <c r="LXP6" i="67"/>
  <c r="LXO6" i="67"/>
  <c r="LXN6" i="67"/>
  <c r="LXM6" i="67"/>
  <c r="LXL6" i="67"/>
  <c r="LXK6" i="67"/>
  <c r="LXJ6" i="67"/>
  <c r="LXI6" i="67"/>
  <c r="LXH6" i="67"/>
  <c r="LXG6" i="67"/>
  <c r="LXF6" i="67"/>
  <c r="LXE6" i="67"/>
  <c r="LXD6" i="67"/>
  <c r="LXC6" i="67"/>
  <c r="LXB6" i="67"/>
  <c r="LXA6" i="67"/>
  <c r="LWZ6" i="67"/>
  <c r="LWY6" i="67"/>
  <c r="LWX6" i="67"/>
  <c r="LWW6" i="67"/>
  <c r="LWV6" i="67"/>
  <c r="LWU6" i="67"/>
  <c r="LWT6" i="67"/>
  <c r="LWS6" i="67"/>
  <c r="LWR6" i="67"/>
  <c r="LWQ6" i="67"/>
  <c r="LWP6" i="67"/>
  <c r="LWO6" i="67"/>
  <c r="LWN6" i="67"/>
  <c r="LWM6" i="67"/>
  <c r="LWL6" i="67"/>
  <c r="LWK6" i="67"/>
  <c r="LWJ6" i="67"/>
  <c r="LWI6" i="67"/>
  <c r="LWH6" i="67"/>
  <c r="LWG6" i="67"/>
  <c r="LWF6" i="67"/>
  <c r="LWE6" i="67"/>
  <c r="LWD6" i="67"/>
  <c r="LWC6" i="67"/>
  <c r="LWB6" i="67"/>
  <c r="LWA6" i="67"/>
  <c r="LVZ6" i="67"/>
  <c r="LVY6" i="67"/>
  <c r="LVX6" i="67"/>
  <c r="LVW6" i="67"/>
  <c r="LVV6" i="67"/>
  <c r="LVU6" i="67"/>
  <c r="LVT6" i="67"/>
  <c r="LVS6" i="67"/>
  <c r="LVR6" i="67"/>
  <c r="LVQ6" i="67"/>
  <c r="LVP6" i="67"/>
  <c r="LVO6" i="67"/>
  <c r="LVN6" i="67"/>
  <c r="LVM6" i="67"/>
  <c r="LVL6" i="67"/>
  <c r="LVK6" i="67"/>
  <c r="LVJ6" i="67"/>
  <c r="LVI6" i="67"/>
  <c r="LVH6" i="67"/>
  <c r="LVG6" i="67"/>
  <c r="LVF6" i="67"/>
  <c r="LVE6" i="67"/>
  <c r="LVD6" i="67"/>
  <c r="LVC6" i="67"/>
  <c r="LVB6" i="67"/>
  <c r="LVA6" i="67"/>
  <c r="LUZ6" i="67"/>
  <c r="LUY6" i="67"/>
  <c r="LUX6" i="67"/>
  <c r="LUW6" i="67"/>
  <c r="LUV6" i="67"/>
  <c r="LUU6" i="67"/>
  <c r="LUT6" i="67"/>
  <c r="LUS6" i="67"/>
  <c r="LUR6" i="67"/>
  <c r="LUQ6" i="67"/>
  <c r="LUP6" i="67"/>
  <c r="LUO6" i="67"/>
  <c r="LUN6" i="67"/>
  <c r="LUM6" i="67"/>
  <c r="LUL6" i="67"/>
  <c r="LUK6" i="67"/>
  <c r="LUJ6" i="67"/>
  <c r="LUI6" i="67"/>
  <c r="LUH6" i="67"/>
  <c r="LUG6" i="67"/>
  <c r="LUF6" i="67"/>
  <c r="LUE6" i="67"/>
  <c r="LUD6" i="67"/>
  <c r="LUC6" i="67"/>
  <c r="LUB6" i="67"/>
  <c r="LUA6" i="67"/>
  <c r="LTZ6" i="67"/>
  <c r="LTY6" i="67"/>
  <c r="LTX6" i="67"/>
  <c r="LTW6" i="67"/>
  <c r="LTV6" i="67"/>
  <c r="LTU6" i="67"/>
  <c r="LTT6" i="67"/>
  <c r="LTS6" i="67"/>
  <c r="LTR6" i="67"/>
  <c r="LTQ6" i="67"/>
  <c r="LTP6" i="67"/>
  <c r="LTO6" i="67"/>
  <c r="LTN6" i="67"/>
  <c r="LTM6" i="67"/>
  <c r="LTL6" i="67"/>
  <c r="LTK6" i="67"/>
  <c r="LTJ6" i="67"/>
  <c r="LTI6" i="67"/>
  <c r="LTH6" i="67"/>
  <c r="LTG6" i="67"/>
  <c r="LTF6" i="67"/>
  <c r="LTE6" i="67"/>
  <c r="LTD6" i="67"/>
  <c r="LTC6" i="67"/>
  <c r="LTB6" i="67"/>
  <c r="LTA6" i="67"/>
  <c r="LSZ6" i="67"/>
  <c r="LSY6" i="67"/>
  <c r="LSX6" i="67"/>
  <c r="LSW6" i="67"/>
  <c r="LSV6" i="67"/>
  <c r="LSU6" i="67"/>
  <c r="LST6" i="67"/>
  <c r="LSS6" i="67"/>
  <c r="LSR6" i="67"/>
  <c r="LSQ6" i="67"/>
  <c r="LSP6" i="67"/>
  <c r="LSO6" i="67"/>
  <c r="LSN6" i="67"/>
  <c r="LSM6" i="67"/>
  <c r="LSL6" i="67"/>
  <c r="LSK6" i="67"/>
  <c r="LSJ6" i="67"/>
  <c r="LSI6" i="67"/>
  <c r="LSH6" i="67"/>
  <c r="LSG6" i="67"/>
  <c r="LSF6" i="67"/>
  <c r="LSE6" i="67"/>
  <c r="LSD6" i="67"/>
  <c r="LSC6" i="67"/>
  <c r="LSB6" i="67"/>
  <c r="LSA6" i="67"/>
  <c r="LRZ6" i="67"/>
  <c r="LRY6" i="67"/>
  <c r="LRX6" i="67"/>
  <c r="LRW6" i="67"/>
  <c r="LRV6" i="67"/>
  <c r="LRU6" i="67"/>
  <c r="LRT6" i="67"/>
  <c r="LRS6" i="67"/>
  <c r="LRR6" i="67"/>
  <c r="LRQ6" i="67"/>
  <c r="LRP6" i="67"/>
  <c r="LRO6" i="67"/>
  <c r="LRN6" i="67"/>
  <c r="LRM6" i="67"/>
  <c r="LRL6" i="67"/>
  <c r="LRK6" i="67"/>
  <c r="LRJ6" i="67"/>
  <c r="LRI6" i="67"/>
  <c r="LRH6" i="67"/>
  <c r="LRG6" i="67"/>
  <c r="LRF6" i="67"/>
  <c r="LRE6" i="67"/>
  <c r="LRD6" i="67"/>
  <c r="LRC6" i="67"/>
  <c r="LRB6" i="67"/>
  <c r="LRA6" i="67"/>
  <c r="LQZ6" i="67"/>
  <c r="LQY6" i="67"/>
  <c r="LQX6" i="67"/>
  <c r="LQW6" i="67"/>
  <c r="LQV6" i="67"/>
  <c r="LQU6" i="67"/>
  <c r="LQT6" i="67"/>
  <c r="LQS6" i="67"/>
  <c r="LQR6" i="67"/>
  <c r="LQQ6" i="67"/>
  <c r="LQP6" i="67"/>
  <c r="LQO6" i="67"/>
  <c r="LQN6" i="67"/>
  <c r="LQM6" i="67"/>
  <c r="LQL6" i="67"/>
  <c r="LQK6" i="67"/>
  <c r="LQJ6" i="67"/>
  <c r="LQI6" i="67"/>
  <c r="LQH6" i="67"/>
  <c r="LQG6" i="67"/>
  <c r="LQF6" i="67"/>
  <c r="LQE6" i="67"/>
  <c r="LQD6" i="67"/>
  <c r="LQC6" i="67"/>
  <c r="LQB6" i="67"/>
  <c r="LQA6" i="67"/>
  <c r="LPZ6" i="67"/>
  <c r="LPY6" i="67"/>
  <c r="LPX6" i="67"/>
  <c r="LPW6" i="67"/>
  <c r="LPV6" i="67"/>
  <c r="LPU6" i="67"/>
  <c r="LPT6" i="67"/>
  <c r="LPS6" i="67"/>
  <c r="LPR6" i="67"/>
  <c r="LPQ6" i="67"/>
  <c r="LPP6" i="67"/>
  <c r="LPO6" i="67"/>
  <c r="LPN6" i="67"/>
  <c r="LPM6" i="67"/>
  <c r="LPL6" i="67"/>
  <c r="LPK6" i="67"/>
  <c r="LPJ6" i="67"/>
  <c r="LPI6" i="67"/>
  <c r="LPH6" i="67"/>
  <c r="LPG6" i="67"/>
  <c r="LPF6" i="67"/>
  <c r="LPE6" i="67"/>
  <c r="LPD6" i="67"/>
  <c r="LPC6" i="67"/>
  <c r="LPB6" i="67"/>
  <c r="LPA6" i="67"/>
  <c r="LOZ6" i="67"/>
  <c r="LOY6" i="67"/>
  <c r="LOX6" i="67"/>
  <c r="LOW6" i="67"/>
  <c r="LOV6" i="67"/>
  <c r="LOU6" i="67"/>
  <c r="LOT6" i="67"/>
  <c r="LOS6" i="67"/>
  <c r="LOR6" i="67"/>
  <c r="LOQ6" i="67"/>
  <c r="LOP6" i="67"/>
  <c r="LOO6" i="67"/>
  <c r="LON6" i="67"/>
  <c r="LOM6" i="67"/>
  <c r="LOL6" i="67"/>
  <c r="LOK6" i="67"/>
  <c r="LOJ6" i="67"/>
  <c r="LOI6" i="67"/>
  <c r="LOH6" i="67"/>
  <c r="LOG6" i="67"/>
  <c r="LOF6" i="67"/>
  <c r="LOE6" i="67"/>
  <c r="LOD6" i="67"/>
  <c r="LOC6" i="67"/>
  <c r="LOB6" i="67"/>
  <c r="LOA6" i="67"/>
  <c r="LNZ6" i="67"/>
  <c r="LNY6" i="67"/>
  <c r="LNX6" i="67"/>
  <c r="LNW6" i="67"/>
  <c r="LNV6" i="67"/>
  <c r="LNU6" i="67"/>
  <c r="LNT6" i="67"/>
  <c r="LNS6" i="67"/>
  <c r="LNR6" i="67"/>
  <c r="LNQ6" i="67"/>
  <c r="LNP6" i="67"/>
  <c r="LNO6" i="67"/>
  <c r="LNN6" i="67"/>
  <c r="LNM6" i="67"/>
  <c r="LNL6" i="67"/>
  <c r="LNK6" i="67"/>
  <c r="LNJ6" i="67"/>
  <c r="LNI6" i="67"/>
  <c r="LNH6" i="67"/>
  <c r="LNG6" i="67"/>
  <c r="LNF6" i="67"/>
  <c r="LNE6" i="67"/>
  <c r="LND6" i="67"/>
  <c r="LNC6" i="67"/>
  <c r="LNB6" i="67"/>
  <c r="LNA6" i="67"/>
  <c r="LMZ6" i="67"/>
  <c r="LMY6" i="67"/>
  <c r="LMX6" i="67"/>
  <c r="LMW6" i="67"/>
  <c r="LMV6" i="67"/>
  <c r="LMU6" i="67"/>
  <c r="LMT6" i="67"/>
  <c r="LMS6" i="67"/>
  <c r="LMR6" i="67"/>
  <c r="LMQ6" i="67"/>
  <c r="LMP6" i="67"/>
  <c r="LMO6" i="67"/>
  <c r="LMN6" i="67"/>
  <c r="LMM6" i="67"/>
  <c r="LML6" i="67"/>
  <c r="LMK6" i="67"/>
  <c r="LMJ6" i="67"/>
  <c r="LMI6" i="67"/>
  <c r="LMH6" i="67"/>
  <c r="LMG6" i="67"/>
  <c r="LMF6" i="67"/>
  <c r="LME6" i="67"/>
  <c r="LMD6" i="67"/>
  <c r="LMC6" i="67"/>
  <c r="LMB6" i="67"/>
  <c r="LMA6" i="67"/>
  <c r="LLZ6" i="67"/>
  <c r="LLY6" i="67"/>
  <c r="LLX6" i="67"/>
  <c r="LLW6" i="67"/>
  <c r="LLV6" i="67"/>
  <c r="LLU6" i="67"/>
  <c r="LLT6" i="67"/>
  <c r="LLS6" i="67"/>
  <c r="LLR6" i="67"/>
  <c r="LLQ6" i="67"/>
  <c r="LLP6" i="67"/>
  <c r="LLO6" i="67"/>
  <c r="LLN6" i="67"/>
  <c r="LLM6" i="67"/>
  <c r="LLL6" i="67"/>
  <c r="LLK6" i="67"/>
  <c r="LLJ6" i="67"/>
  <c r="LLI6" i="67"/>
  <c r="LLH6" i="67"/>
  <c r="LLG6" i="67"/>
  <c r="LLF6" i="67"/>
  <c r="LLE6" i="67"/>
  <c r="LLD6" i="67"/>
  <c r="LLC6" i="67"/>
  <c r="LLB6" i="67"/>
  <c r="LLA6" i="67"/>
  <c r="LKZ6" i="67"/>
  <c r="LKY6" i="67"/>
  <c r="LKX6" i="67"/>
  <c r="LKW6" i="67"/>
  <c r="LKV6" i="67"/>
  <c r="LKU6" i="67"/>
  <c r="LKT6" i="67"/>
  <c r="LKS6" i="67"/>
  <c r="LKR6" i="67"/>
  <c r="LKQ6" i="67"/>
  <c r="LKP6" i="67"/>
  <c r="LKO6" i="67"/>
  <c r="LKN6" i="67"/>
  <c r="LKM6" i="67"/>
  <c r="LKL6" i="67"/>
  <c r="LKK6" i="67"/>
  <c r="LKJ6" i="67"/>
  <c r="LKI6" i="67"/>
  <c r="LKH6" i="67"/>
  <c r="LKG6" i="67"/>
  <c r="LKF6" i="67"/>
  <c r="LKE6" i="67"/>
  <c r="LKD6" i="67"/>
  <c r="LKC6" i="67"/>
  <c r="LKB6" i="67"/>
  <c r="LKA6" i="67"/>
  <c r="LJZ6" i="67"/>
  <c r="LJY6" i="67"/>
  <c r="LJX6" i="67"/>
  <c r="LJW6" i="67"/>
  <c r="LJV6" i="67"/>
  <c r="LJU6" i="67"/>
  <c r="LJT6" i="67"/>
  <c r="LJS6" i="67"/>
  <c r="LJR6" i="67"/>
  <c r="LJQ6" i="67"/>
  <c r="LJP6" i="67"/>
  <c r="LJO6" i="67"/>
  <c r="LJN6" i="67"/>
  <c r="LJM6" i="67"/>
  <c r="LJL6" i="67"/>
  <c r="LJK6" i="67"/>
  <c r="LJJ6" i="67"/>
  <c r="LJI6" i="67"/>
  <c r="LJH6" i="67"/>
  <c r="LJG6" i="67"/>
  <c r="LJF6" i="67"/>
  <c r="LJE6" i="67"/>
  <c r="LJD6" i="67"/>
  <c r="LJC6" i="67"/>
  <c r="LJB6" i="67"/>
  <c r="LJA6" i="67"/>
  <c r="LIZ6" i="67"/>
  <c r="LIY6" i="67"/>
  <c r="LIX6" i="67"/>
  <c r="LIW6" i="67"/>
  <c r="LIV6" i="67"/>
  <c r="LIU6" i="67"/>
  <c r="LIT6" i="67"/>
  <c r="LIS6" i="67"/>
  <c r="LIR6" i="67"/>
  <c r="LIQ6" i="67"/>
  <c r="LIP6" i="67"/>
  <c r="LIO6" i="67"/>
  <c r="LIN6" i="67"/>
  <c r="LIM6" i="67"/>
  <c r="LIL6" i="67"/>
  <c r="LIK6" i="67"/>
  <c r="LIJ6" i="67"/>
  <c r="LII6" i="67"/>
  <c r="LIH6" i="67"/>
  <c r="LIG6" i="67"/>
  <c r="LIF6" i="67"/>
  <c r="LIE6" i="67"/>
  <c r="LID6" i="67"/>
  <c r="LIC6" i="67"/>
  <c r="LIB6" i="67"/>
  <c r="LIA6" i="67"/>
  <c r="LHZ6" i="67"/>
  <c r="LHY6" i="67"/>
  <c r="LHX6" i="67"/>
  <c r="LHW6" i="67"/>
  <c r="LHV6" i="67"/>
  <c r="LHU6" i="67"/>
  <c r="LHT6" i="67"/>
  <c r="LHS6" i="67"/>
  <c r="LHR6" i="67"/>
  <c r="LHQ6" i="67"/>
  <c r="LHP6" i="67"/>
  <c r="LHO6" i="67"/>
  <c r="LHN6" i="67"/>
  <c r="LHM6" i="67"/>
  <c r="LHL6" i="67"/>
  <c r="LHK6" i="67"/>
  <c r="LHJ6" i="67"/>
  <c r="LHI6" i="67"/>
  <c r="LHH6" i="67"/>
  <c r="LHG6" i="67"/>
  <c r="LHF6" i="67"/>
  <c r="LHE6" i="67"/>
  <c r="LHD6" i="67"/>
  <c r="LHC6" i="67"/>
  <c r="LHB6" i="67"/>
  <c r="LHA6" i="67"/>
  <c r="LGZ6" i="67"/>
  <c r="LGY6" i="67"/>
  <c r="LGX6" i="67"/>
  <c r="LGW6" i="67"/>
  <c r="LGV6" i="67"/>
  <c r="LGU6" i="67"/>
  <c r="LGT6" i="67"/>
  <c r="LGS6" i="67"/>
  <c r="LGR6" i="67"/>
  <c r="LGQ6" i="67"/>
  <c r="LGP6" i="67"/>
  <c r="LGO6" i="67"/>
  <c r="LGN6" i="67"/>
  <c r="LGM6" i="67"/>
  <c r="LGL6" i="67"/>
  <c r="LGK6" i="67"/>
  <c r="LGJ6" i="67"/>
  <c r="LGI6" i="67"/>
  <c r="LGH6" i="67"/>
  <c r="LGG6" i="67"/>
  <c r="LGF6" i="67"/>
  <c r="LGE6" i="67"/>
  <c r="LGD6" i="67"/>
  <c r="LGC6" i="67"/>
  <c r="LGB6" i="67"/>
  <c r="LGA6" i="67"/>
  <c r="LFZ6" i="67"/>
  <c r="LFY6" i="67"/>
  <c r="LFX6" i="67"/>
  <c r="LFW6" i="67"/>
  <c r="LFV6" i="67"/>
  <c r="LFU6" i="67"/>
  <c r="LFT6" i="67"/>
  <c r="LFS6" i="67"/>
  <c r="LFR6" i="67"/>
  <c r="LFQ6" i="67"/>
  <c r="LFP6" i="67"/>
  <c r="LFO6" i="67"/>
  <c r="LFN6" i="67"/>
  <c r="LFM6" i="67"/>
  <c r="LFL6" i="67"/>
  <c r="LFK6" i="67"/>
  <c r="LFJ6" i="67"/>
  <c r="LFI6" i="67"/>
  <c r="LFH6" i="67"/>
  <c r="LFG6" i="67"/>
  <c r="LFF6" i="67"/>
  <c r="LFE6" i="67"/>
  <c r="LFD6" i="67"/>
  <c r="LFC6" i="67"/>
  <c r="LFB6" i="67"/>
  <c r="LFA6" i="67"/>
  <c r="LEZ6" i="67"/>
  <c r="LEY6" i="67"/>
  <c r="LEX6" i="67"/>
  <c r="LEW6" i="67"/>
  <c r="LEV6" i="67"/>
  <c r="LEU6" i="67"/>
  <c r="LET6" i="67"/>
  <c r="LES6" i="67"/>
  <c r="LER6" i="67"/>
  <c r="LEQ6" i="67"/>
  <c r="LEP6" i="67"/>
  <c r="LEO6" i="67"/>
  <c r="LEN6" i="67"/>
  <c r="LEM6" i="67"/>
  <c r="LEL6" i="67"/>
  <c r="LEK6" i="67"/>
  <c r="LEJ6" i="67"/>
  <c r="LEI6" i="67"/>
  <c r="LEH6" i="67"/>
  <c r="LEG6" i="67"/>
  <c r="LEF6" i="67"/>
  <c r="LEE6" i="67"/>
  <c r="LED6" i="67"/>
  <c r="LEC6" i="67"/>
  <c r="LEB6" i="67"/>
  <c r="LEA6" i="67"/>
  <c r="LDZ6" i="67"/>
  <c r="LDY6" i="67"/>
  <c r="LDX6" i="67"/>
  <c r="LDW6" i="67"/>
  <c r="LDV6" i="67"/>
  <c r="LDU6" i="67"/>
  <c r="LDT6" i="67"/>
  <c r="LDS6" i="67"/>
  <c r="LDR6" i="67"/>
  <c r="LDQ6" i="67"/>
  <c r="LDP6" i="67"/>
  <c r="LDO6" i="67"/>
  <c r="LDN6" i="67"/>
  <c r="LDM6" i="67"/>
  <c r="LDL6" i="67"/>
  <c r="LDK6" i="67"/>
  <c r="LDJ6" i="67"/>
  <c r="LDI6" i="67"/>
  <c r="LDH6" i="67"/>
  <c r="LDG6" i="67"/>
  <c r="LDF6" i="67"/>
  <c r="LDE6" i="67"/>
  <c r="LDD6" i="67"/>
  <c r="LDC6" i="67"/>
  <c r="LDB6" i="67"/>
  <c r="LDA6" i="67"/>
  <c r="LCZ6" i="67"/>
  <c r="LCY6" i="67"/>
  <c r="LCX6" i="67"/>
  <c r="LCW6" i="67"/>
  <c r="LCV6" i="67"/>
  <c r="LCU6" i="67"/>
  <c r="LCT6" i="67"/>
  <c r="LCS6" i="67"/>
  <c r="LCR6" i="67"/>
  <c r="LCQ6" i="67"/>
  <c r="LCP6" i="67"/>
  <c r="LCO6" i="67"/>
  <c r="LCN6" i="67"/>
  <c r="LCM6" i="67"/>
  <c r="LCL6" i="67"/>
  <c r="LCK6" i="67"/>
  <c r="LCJ6" i="67"/>
  <c r="LCI6" i="67"/>
  <c r="LCH6" i="67"/>
  <c r="LCG6" i="67"/>
  <c r="LCF6" i="67"/>
  <c r="LCE6" i="67"/>
  <c r="LCD6" i="67"/>
  <c r="LCC6" i="67"/>
  <c r="LCB6" i="67"/>
  <c r="LCA6" i="67"/>
  <c r="LBZ6" i="67"/>
  <c r="LBY6" i="67"/>
  <c r="LBX6" i="67"/>
  <c r="LBW6" i="67"/>
  <c r="LBV6" i="67"/>
  <c r="LBU6" i="67"/>
  <c r="LBT6" i="67"/>
  <c r="LBS6" i="67"/>
  <c r="LBR6" i="67"/>
  <c r="LBQ6" i="67"/>
  <c r="LBP6" i="67"/>
  <c r="LBO6" i="67"/>
  <c r="LBN6" i="67"/>
  <c r="LBM6" i="67"/>
  <c r="LBL6" i="67"/>
  <c r="LBK6" i="67"/>
  <c r="LBJ6" i="67"/>
  <c r="LBI6" i="67"/>
  <c r="LBH6" i="67"/>
  <c r="LBG6" i="67"/>
  <c r="LBF6" i="67"/>
  <c r="LBE6" i="67"/>
  <c r="LBD6" i="67"/>
  <c r="LBC6" i="67"/>
  <c r="LBB6" i="67"/>
  <c r="LBA6" i="67"/>
  <c r="LAZ6" i="67"/>
  <c r="LAY6" i="67"/>
  <c r="LAX6" i="67"/>
  <c r="LAW6" i="67"/>
  <c r="LAV6" i="67"/>
  <c r="LAU6" i="67"/>
  <c r="LAT6" i="67"/>
  <c r="LAS6" i="67"/>
  <c r="LAR6" i="67"/>
  <c r="LAQ6" i="67"/>
  <c r="LAP6" i="67"/>
  <c r="LAO6" i="67"/>
  <c r="LAN6" i="67"/>
  <c r="LAM6" i="67"/>
  <c r="LAL6" i="67"/>
  <c r="LAK6" i="67"/>
  <c r="LAJ6" i="67"/>
  <c r="LAI6" i="67"/>
  <c r="LAH6" i="67"/>
  <c r="LAG6" i="67"/>
  <c r="LAF6" i="67"/>
  <c r="LAE6" i="67"/>
  <c r="LAD6" i="67"/>
  <c r="LAC6" i="67"/>
  <c r="LAB6" i="67"/>
  <c r="LAA6" i="67"/>
  <c r="KZZ6" i="67"/>
  <c r="KZY6" i="67"/>
  <c r="KZX6" i="67"/>
  <c r="KZW6" i="67"/>
  <c r="KZV6" i="67"/>
  <c r="KZU6" i="67"/>
  <c r="KZT6" i="67"/>
  <c r="KZS6" i="67"/>
  <c r="KZR6" i="67"/>
  <c r="KZQ6" i="67"/>
  <c r="KZP6" i="67"/>
  <c r="KZO6" i="67"/>
  <c r="KZN6" i="67"/>
  <c r="KZM6" i="67"/>
  <c r="KZL6" i="67"/>
  <c r="KZK6" i="67"/>
  <c r="KZJ6" i="67"/>
  <c r="KZI6" i="67"/>
  <c r="KZH6" i="67"/>
  <c r="KZG6" i="67"/>
  <c r="KZF6" i="67"/>
  <c r="KZE6" i="67"/>
  <c r="KZD6" i="67"/>
  <c r="KZC6" i="67"/>
  <c r="KZB6" i="67"/>
  <c r="KZA6" i="67"/>
  <c r="KYZ6" i="67"/>
  <c r="KYY6" i="67"/>
  <c r="KYX6" i="67"/>
  <c r="KYW6" i="67"/>
  <c r="KYV6" i="67"/>
  <c r="KYU6" i="67"/>
  <c r="KYT6" i="67"/>
  <c r="KYS6" i="67"/>
  <c r="KYR6" i="67"/>
  <c r="KYQ6" i="67"/>
  <c r="KYP6" i="67"/>
  <c r="KYO6" i="67"/>
  <c r="KYN6" i="67"/>
  <c r="KYM6" i="67"/>
  <c r="KYL6" i="67"/>
  <c r="KYK6" i="67"/>
  <c r="KYJ6" i="67"/>
  <c r="KYI6" i="67"/>
  <c r="KYH6" i="67"/>
  <c r="KYG6" i="67"/>
  <c r="KYF6" i="67"/>
  <c r="KYE6" i="67"/>
  <c r="KYD6" i="67"/>
  <c r="KYC6" i="67"/>
  <c r="KYB6" i="67"/>
  <c r="KYA6" i="67"/>
  <c r="KXZ6" i="67"/>
  <c r="KXY6" i="67"/>
  <c r="KXX6" i="67"/>
  <c r="KXW6" i="67"/>
  <c r="KXV6" i="67"/>
  <c r="KXU6" i="67"/>
  <c r="KXT6" i="67"/>
  <c r="KXS6" i="67"/>
  <c r="KXR6" i="67"/>
  <c r="KXQ6" i="67"/>
  <c r="KXP6" i="67"/>
  <c r="KXO6" i="67"/>
  <c r="KXN6" i="67"/>
  <c r="KXM6" i="67"/>
  <c r="KXL6" i="67"/>
  <c r="KXK6" i="67"/>
  <c r="KXJ6" i="67"/>
  <c r="KXI6" i="67"/>
  <c r="KXH6" i="67"/>
  <c r="KXG6" i="67"/>
  <c r="KXF6" i="67"/>
  <c r="KXE6" i="67"/>
  <c r="KXD6" i="67"/>
  <c r="KXC6" i="67"/>
  <c r="KXB6" i="67"/>
  <c r="KXA6" i="67"/>
  <c r="KWZ6" i="67"/>
  <c r="KWY6" i="67"/>
  <c r="KWX6" i="67"/>
  <c r="KWW6" i="67"/>
  <c r="KWV6" i="67"/>
  <c r="KWU6" i="67"/>
  <c r="KWT6" i="67"/>
  <c r="KWS6" i="67"/>
  <c r="KWR6" i="67"/>
  <c r="KWQ6" i="67"/>
  <c r="KWP6" i="67"/>
  <c r="KWO6" i="67"/>
  <c r="KWN6" i="67"/>
  <c r="KWM6" i="67"/>
  <c r="KWL6" i="67"/>
  <c r="KWK6" i="67"/>
  <c r="KWJ6" i="67"/>
  <c r="KWI6" i="67"/>
  <c r="KWH6" i="67"/>
  <c r="KWG6" i="67"/>
  <c r="KWF6" i="67"/>
  <c r="KWE6" i="67"/>
  <c r="KWD6" i="67"/>
  <c r="KWC6" i="67"/>
  <c r="KWB6" i="67"/>
  <c r="KWA6" i="67"/>
  <c r="KVZ6" i="67"/>
  <c r="KVY6" i="67"/>
  <c r="KVX6" i="67"/>
  <c r="KVW6" i="67"/>
  <c r="KVV6" i="67"/>
  <c r="KVU6" i="67"/>
  <c r="KVT6" i="67"/>
  <c r="KVS6" i="67"/>
  <c r="KVR6" i="67"/>
  <c r="KVQ6" i="67"/>
  <c r="KVP6" i="67"/>
  <c r="KVO6" i="67"/>
  <c r="KVN6" i="67"/>
  <c r="KVM6" i="67"/>
  <c r="KVL6" i="67"/>
  <c r="KVK6" i="67"/>
  <c r="KVJ6" i="67"/>
  <c r="KVI6" i="67"/>
  <c r="KVH6" i="67"/>
  <c r="KVG6" i="67"/>
  <c r="KVF6" i="67"/>
  <c r="KVE6" i="67"/>
  <c r="KVD6" i="67"/>
  <c r="KVC6" i="67"/>
  <c r="KVB6" i="67"/>
  <c r="KVA6" i="67"/>
  <c r="KUZ6" i="67"/>
  <c r="KUY6" i="67"/>
  <c r="KUX6" i="67"/>
  <c r="KUW6" i="67"/>
  <c r="KUV6" i="67"/>
  <c r="KUU6" i="67"/>
  <c r="KUT6" i="67"/>
  <c r="KUS6" i="67"/>
  <c r="KUR6" i="67"/>
  <c r="KUQ6" i="67"/>
  <c r="KUP6" i="67"/>
  <c r="KUO6" i="67"/>
  <c r="KUN6" i="67"/>
  <c r="KUM6" i="67"/>
  <c r="KUL6" i="67"/>
  <c r="KUK6" i="67"/>
  <c r="KUJ6" i="67"/>
  <c r="KUI6" i="67"/>
  <c r="KUH6" i="67"/>
  <c r="KUG6" i="67"/>
  <c r="KUF6" i="67"/>
  <c r="KUE6" i="67"/>
  <c r="KUD6" i="67"/>
  <c r="KUC6" i="67"/>
  <c r="KUB6" i="67"/>
  <c r="KUA6" i="67"/>
  <c r="KTZ6" i="67"/>
  <c r="KTY6" i="67"/>
  <c r="KTX6" i="67"/>
  <c r="KTW6" i="67"/>
  <c r="KTV6" i="67"/>
  <c r="KTU6" i="67"/>
  <c r="KTT6" i="67"/>
  <c r="KTS6" i="67"/>
  <c r="KTR6" i="67"/>
  <c r="KTQ6" i="67"/>
  <c r="KTP6" i="67"/>
  <c r="KTO6" i="67"/>
  <c r="KTN6" i="67"/>
  <c r="KTM6" i="67"/>
  <c r="KTL6" i="67"/>
  <c r="KTK6" i="67"/>
  <c r="KTJ6" i="67"/>
  <c r="KTI6" i="67"/>
  <c r="KTH6" i="67"/>
  <c r="KTG6" i="67"/>
  <c r="KTF6" i="67"/>
  <c r="KTE6" i="67"/>
  <c r="KTD6" i="67"/>
  <c r="KTC6" i="67"/>
  <c r="KTB6" i="67"/>
  <c r="KTA6" i="67"/>
  <c r="KSZ6" i="67"/>
  <c r="KSY6" i="67"/>
  <c r="KSX6" i="67"/>
  <c r="KSW6" i="67"/>
  <c r="KSV6" i="67"/>
  <c r="KSU6" i="67"/>
  <c r="KST6" i="67"/>
  <c r="KSS6" i="67"/>
  <c r="KSR6" i="67"/>
  <c r="KSQ6" i="67"/>
  <c r="KSP6" i="67"/>
  <c r="KSO6" i="67"/>
  <c r="KSN6" i="67"/>
  <c r="KSM6" i="67"/>
  <c r="KSL6" i="67"/>
  <c r="KSK6" i="67"/>
  <c r="KSJ6" i="67"/>
  <c r="KSI6" i="67"/>
  <c r="KSH6" i="67"/>
  <c r="KSG6" i="67"/>
  <c r="KSF6" i="67"/>
  <c r="KSE6" i="67"/>
  <c r="KSD6" i="67"/>
  <c r="KSC6" i="67"/>
  <c r="KSB6" i="67"/>
  <c r="KSA6" i="67"/>
  <c r="KRZ6" i="67"/>
  <c r="KRY6" i="67"/>
  <c r="KRX6" i="67"/>
  <c r="KRW6" i="67"/>
  <c r="KRV6" i="67"/>
  <c r="KRU6" i="67"/>
  <c r="KRT6" i="67"/>
  <c r="KRS6" i="67"/>
  <c r="KRR6" i="67"/>
  <c r="KRQ6" i="67"/>
  <c r="KRP6" i="67"/>
  <c r="KRO6" i="67"/>
  <c r="KRN6" i="67"/>
  <c r="KRM6" i="67"/>
  <c r="KRL6" i="67"/>
  <c r="KRK6" i="67"/>
  <c r="KRJ6" i="67"/>
  <c r="KRI6" i="67"/>
  <c r="KRH6" i="67"/>
  <c r="KRG6" i="67"/>
  <c r="KRF6" i="67"/>
  <c r="KRE6" i="67"/>
  <c r="KRD6" i="67"/>
  <c r="KRC6" i="67"/>
  <c r="KRB6" i="67"/>
  <c r="KRA6" i="67"/>
  <c r="KQZ6" i="67"/>
  <c r="KQY6" i="67"/>
  <c r="KQX6" i="67"/>
  <c r="KQW6" i="67"/>
  <c r="KQV6" i="67"/>
  <c r="KQU6" i="67"/>
  <c r="KQT6" i="67"/>
  <c r="KQS6" i="67"/>
  <c r="KQR6" i="67"/>
  <c r="KQQ6" i="67"/>
  <c r="KQP6" i="67"/>
  <c r="KQO6" i="67"/>
  <c r="KQN6" i="67"/>
  <c r="KQM6" i="67"/>
  <c r="KQL6" i="67"/>
  <c r="KQK6" i="67"/>
  <c r="KQJ6" i="67"/>
  <c r="KQI6" i="67"/>
  <c r="KQH6" i="67"/>
  <c r="KQG6" i="67"/>
  <c r="KQF6" i="67"/>
  <c r="KQE6" i="67"/>
  <c r="KQD6" i="67"/>
  <c r="KQC6" i="67"/>
  <c r="KQB6" i="67"/>
  <c r="KQA6" i="67"/>
  <c r="KPZ6" i="67"/>
  <c r="KPY6" i="67"/>
  <c r="KPX6" i="67"/>
  <c r="KPW6" i="67"/>
  <c r="KPV6" i="67"/>
  <c r="KPU6" i="67"/>
  <c r="KPT6" i="67"/>
  <c r="KPS6" i="67"/>
  <c r="KPR6" i="67"/>
  <c r="KPQ6" i="67"/>
  <c r="KPP6" i="67"/>
  <c r="KPO6" i="67"/>
  <c r="KPN6" i="67"/>
  <c r="KPM6" i="67"/>
  <c r="KPL6" i="67"/>
  <c r="KPK6" i="67"/>
  <c r="KPJ6" i="67"/>
  <c r="KPI6" i="67"/>
  <c r="KPH6" i="67"/>
  <c r="KPG6" i="67"/>
  <c r="KPF6" i="67"/>
  <c r="KPE6" i="67"/>
  <c r="KPD6" i="67"/>
  <c r="KPC6" i="67"/>
  <c r="KPB6" i="67"/>
  <c r="KPA6" i="67"/>
  <c r="KOZ6" i="67"/>
  <c r="KOY6" i="67"/>
  <c r="KOX6" i="67"/>
  <c r="KOW6" i="67"/>
  <c r="KOV6" i="67"/>
  <c r="KOU6" i="67"/>
  <c r="KOT6" i="67"/>
  <c r="KOS6" i="67"/>
  <c r="KOR6" i="67"/>
  <c r="KOQ6" i="67"/>
  <c r="KOP6" i="67"/>
  <c r="KOO6" i="67"/>
  <c r="KON6" i="67"/>
  <c r="KOM6" i="67"/>
  <c r="KOL6" i="67"/>
  <c r="KOK6" i="67"/>
  <c r="KOJ6" i="67"/>
  <c r="KOI6" i="67"/>
  <c r="KOH6" i="67"/>
  <c r="KOG6" i="67"/>
  <c r="KOF6" i="67"/>
  <c r="KOE6" i="67"/>
  <c r="KOD6" i="67"/>
  <c r="KOC6" i="67"/>
  <c r="KOB6" i="67"/>
  <c r="KOA6" i="67"/>
  <c r="KNZ6" i="67"/>
  <c r="KNY6" i="67"/>
  <c r="KNX6" i="67"/>
  <c r="KNW6" i="67"/>
  <c r="KNV6" i="67"/>
  <c r="KNU6" i="67"/>
  <c r="KNT6" i="67"/>
  <c r="KNS6" i="67"/>
  <c r="KNR6" i="67"/>
  <c r="KNQ6" i="67"/>
  <c r="KNP6" i="67"/>
  <c r="KNO6" i="67"/>
  <c r="KNN6" i="67"/>
  <c r="KNM6" i="67"/>
  <c r="KNL6" i="67"/>
  <c r="KNK6" i="67"/>
  <c r="KNJ6" i="67"/>
  <c r="KNI6" i="67"/>
  <c r="KNH6" i="67"/>
  <c r="KNG6" i="67"/>
  <c r="KNF6" i="67"/>
  <c r="KNE6" i="67"/>
  <c r="KND6" i="67"/>
  <c r="KNC6" i="67"/>
  <c r="KNB6" i="67"/>
  <c r="KNA6" i="67"/>
  <c r="KMZ6" i="67"/>
  <c r="KMY6" i="67"/>
  <c r="KMX6" i="67"/>
  <c r="KMW6" i="67"/>
  <c r="KMV6" i="67"/>
  <c r="KMU6" i="67"/>
  <c r="KMT6" i="67"/>
  <c r="KMS6" i="67"/>
  <c r="KMR6" i="67"/>
  <c r="KMQ6" i="67"/>
  <c r="KMP6" i="67"/>
  <c r="KMO6" i="67"/>
  <c r="KMN6" i="67"/>
  <c r="KMM6" i="67"/>
  <c r="KML6" i="67"/>
  <c r="KMK6" i="67"/>
  <c r="KMJ6" i="67"/>
  <c r="KMI6" i="67"/>
  <c r="KMH6" i="67"/>
  <c r="KMG6" i="67"/>
  <c r="KMF6" i="67"/>
  <c r="KME6" i="67"/>
  <c r="KMD6" i="67"/>
  <c r="KMC6" i="67"/>
  <c r="KMB6" i="67"/>
  <c r="KMA6" i="67"/>
  <c r="KLZ6" i="67"/>
  <c r="KLY6" i="67"/>
  <c r="KLX6" i="67"/>
  <c r="KLW6" i="67"/>
  <c r="KLV6" i="67"/>
  <c r="KLU6" i="67"/>
  <c r="KLT6" i="67"/>
  <c r="KLS6" i="67"/>
  <c r="KLR6" i="67"/>
  <c r="KLQ6" i="67"/>
  <c r="KLP6" i="67"/>
  <c r="KLO6" i="67"/>
  <c r="KLN6" i="67"/>
  <c r="KLM6" i="67"/>
  <c r="KLL6" i="67"/>
  <c r="KLK6" i="67"/>
  <c r="KLJ6" i="67"/>
  <c r="KLI6" i="67"/>
  <c r="KLH6" i="67"/>
  <c r="KLG6" i="67"/>
  <c r="KLF6" i="67"/>
  <c r="KLE6" i="67"/>
  <c r="KLD6" i="67"/>
  <c r="KLC6" i="67"/>
  <c r="KLB6" i="67"/>
  <c r="KLA6" i="67"/>
  <c r="KKZ6" i="67"/>
  <c r="KKY6" i="67"/>
  <c r="KKX6" i="67"/>
  <c r="KKW6" i="67"/>
  <c r="KKV6" i="67"/>
  <c r="KKU6" i="67"/>
  <c r="KKT6" i="67"/>
  <c r="KKS6" i="67"/>
  <c r="KKR6" i="67"/>
  <c r="KKQ6" i="67"/>
  <c r="KKP6" i="67"/>
  <c r="KKO6" i="67"/>
  <c r="KKN6" i="67"/>
  <c r="KKM6" i="67"/>
  <c r="KKL6" i="67"/>
  <c r="KKK6" i="67"/>
  <c r="KKJ6" i="67"/>
  <c r="KKI6" i="67"/>
  <c r="KKH6" i="67"/>
  <c r="KKG6" i="67"/>
  <c r="KKF6" i="67"/>
  <c r="KKE6" i="67"/>
  <c r="KKD6" i="67"/>
  <c r="KKC6" i="67"/>
  <c r="KKB6" i="67"/>
  <c r="KKA6" i="67"/>
  <c r="KJZ6" i="67"/>
  <c r="KJY6" i="67"/>
  <c r="KJX6" i="67"/>
  <c r="KJW6" i="67"/>
  <c r="KJV6" i="67"/>
  <c r="KJU6" i="67"/>
  <c r="KJT6" i="67"/>
  <c r="KJS6" i="67"/>
  <c r="KJR6" i="67"/>
  <c r="KJQ6" i="67"/>
  <c r="KJP6" i="67"/>
  <c r="KJO6" i="67"/>
  <c r="KJN6" i="67"/>
  <c r="KJM6" i="67"/>
  <c r="KJL6" i="67"/>
  <c r="KJK6" i="67"/>
  <c r="KJJ6" i="67"/>
  <c r="KJI6" i="67"/>
  <c r="KJH6" i="67"/>
  <c r="KJG6" i="67"/>
  <c r="KJF6" i="67"/>
  <c r="KJE6" i="67"/>
  <c r="KJD6" i="67"/>
  <c r="KJC6" i="67"/>
  <c r="KJB6" i="67"/>
  <c r="KJA6" i="67"/>
  <c r="KIZ6" i="67"/>
  <c r="KIY6" i="67"/>
  <c r="KIX6" i="67"/>
  <c r="KIW6" i="67"/>
  <c r="KIV6" i="67"/>
  <c r="KIU6" i="67"/>
  <c r="KIT6" i="67"/>
  <c r="KIS6" i="67"/>
  <c r="KIR6" i="67"/>
  <c r="KIQ6" i="67"/>
  <c r="KIP6" i="67"/>
  <c r="KIO6" i="67"/>
  <c r="KIN6" i="67"/>
  <c r="KIM6" i="67"/>
  <c r="KIL6" i="67"/>
  <c r="KIK6" i="67"/>
  <c r="KIJ6" i="67"/>
  <c r="KII6" i="67"/>
  <c r="KIH6" i="67"/>
  <c r="KIG6" i="67"/>
  <c r="KIF6" i="67"/>
  <c r="KIE6" i="67"/>
  <c r="KID6" i="67"/>
  <c r="KIC6" i="67"/>
  <c r="KIB6" i="67"/>
  <c r="KIA6" i="67"/>
  <c r="KHZ6" i="67"/>
  <c r="KHY6" i="67"/>
  <c r="KHX6" i="67"/>
  <c r="KHW6" i="67"/>
  <c r="KHV6" i="67"/>
  <c r="KHU6" i="67"/>
  <c r="KHT6" i="67"/>
  <c r="KHS6" i="67"/>
  <c r="KHR6" i="67"/>
  <c r="KHQ6" i="67"/>
  <c r="KHP6" i="67"/>
  <c r="KHO6" i="67"/>
  <c r="KHN6" i="67"/>
  <c r="KHM6" i="67"/>
  <c r="KHL6" i="67"/>
  <c r="KHK6" i="67"/>
  <c r="KHJ6" i="67"/>
  <c r="KHI6" i="67"/>
  <c r="KHH6" i="67"/>
  <c r="KHG6" i="67"/>
  <c r="KHF6" i="67"/>
  <c r="KHE6" i="67"/>
  <c r="KHD6" i="67"/>
  <c r="KHC6" i="67"/>
  <c r="KHB6" i="67"/>
  <c r="KHA6" i="67"/>
  <c r="KGZ6" i="67"/>
  <c r="KGY6" i="67"/>
  <c r="KGX6" i="67"/>
  <c r="KGW6" i="67"/>
  <c r="KGV6" i="67"/>
  <c r="KGU6" i="67"/>
  <c r="KGT6" i="67"/>
  <c r="KGS6" i="67"/>
  <c r="KGR6" i="67"/>
  <c r="KGQ6" i="67"/>
  <c r="KGP6" i="67"/>
  <c r="KGO6" i="67"/>
  <c r="KGN6" i="67"/>
  <c r="KGM6" i="67"/>
  <c r="KGL6" i="67"/>
  <c r="KGK6" i="67"/>
  <c r="KGJ6" i="67"/>
  <c r="KGI6" i="67"/>
  <c r="KGH6" i="67"/>
  <c r="KGG6" i="67"/>
  <c r="KGF6" i="67"/>
  <c r="KGE6" i="67"/>
  <c r="KGD6" i="67"/>
  <c r="KGC6" i="67"/>
  <c r="KGB6" i="67"/>
  <c r="KGA6" i="67"/>
  <c r="KFZ6" i="67"/>
  <c r="KFY6" i="67"/>
  <c r="KFX6" i="67"/>
  <c r="KFW6" i="67"/>
  <c r="KFV6" i="67"/>
  <c r="KFU6" i="67"/>
  <c r="KFT6" i="67"/>
  <c r="KFS6" i="67"/>
  <c r="KFR6" i="67"/>
  <c r="KFQ6" i="67"/>
  <c r="KFP6" i="67"/>
  <c r="KFO6" i="67"/>
  <c r="KFN6" i="67"/>
  <c r="KFM6" i="67"/>
  <c r="KFL6" i="67"/>
  <c r="KFK6" i="67"/>
  <c r="KFJ6" i="67"/>
  <c r="KFI6" i="67"/>
  <c r="KFH6" i="67"/>
  <c r="KFG6" i="67"/>
  <c r="KFF6" i="67"/>
  <c r="KFE6" i="67"/>
  <c r="KFD6" i="67"/>
  <c r="KFC6" i="67"/>
  <c r="KFB6" i="67"/>
  <c r="KFA6" i="67"/>
  <c r="KEZ6" i="67"/>
  <c r="KEY6" i="67"/>
  <c r="KEX6" i="67"/>
  <c r="KEW6" i="67"/>
  <c r="KEV6" i="67"/>
  <c r="KEU6" i="67"/>
  <c r="KET6" i="67"/>
  <c r="KES6" i="67"/>
  <c r="KER6" i="67"/>
  <c r="KEQ6" i="67"/>
  <c r="KEP6" i="67"/>
  <c r="KEO6" i="67"/>
  <c r="KEN6" i="67"/>
  <c r="KEM6" i="67"/>
  <c r="KEL6" i="67"/>
  <c r="KEK6" i="67"/>
  <c r="KEJ6" i="67"/>
  <c r="KEI6" i="67"/>
  <c r="KEH6" i="67"/>
  <c r="KEG6" i="67"/>
  <c r="KEF6" i="67"/>
  <c r="KEE6" i="67"/>
  <c r="KED6" i="67"/>
  <c r="KEC6" i="67"/>
  <c r="KEB6" i="67"/>
  <c r="KEA6" i="67"/>
  <c r="KDZ6" i="67"/>
  <c r="KDY6" i="67"/>
  <c r="KDX6" i="67"/>
  <c r="KDW6" i="67"/>
  <c r="KDV6" i="67"/>
  <c r="KDU6" i="67"/>
  <c r="KDT6" i="67"/>
  <c r="KDS6" i="67"/>
  <c r="KDR6" i="67"/>
  <c r="KDQ6" i="67"/>
  <c r="KDP6" i="67"/>
  <c r="KDO6" i="67"/>
  <c r="KDN6" i="67"/>
  <c r="KDM6" i="67"/>
  <c r="KDL6" i="67"/>
  <c r="KDK6" i="67"/>
  <c r="KDJ6" i="67"/>
  <c r="KDI6" i="67"/>
  <c r="KDH6" i="67"/>
  <c r="KDG6" i="67"/>
  <c r="KDF6" i="67"/>
  <c r="KDE6" i="67"/>
  <c r="KDD6" i="67"/>
  <c r="KDC6" i="67"/>
  <c r="KDB6" i="67"/>
  <c r="KDA6" i="67"/>
  <c r="KCZ6" i="67"/>
  <c r="KCY6" i="67"/>
  <c r="KCX6" i="67"/>
  <c r="KCW6" i="67"/>
  <c r="KCV6" i="67"/>
  <c r="KCU6" i="67"/>
  <c r="KCT6" i="67"/>
  <c r="KCS6" i="67"/>
  <c r="KCR6" i="67"/>
  <c r="KCQ6" i="67"/>
  <c r="KCP6" i="67"/>
  <c r="KCO6" i="67"/>
  <c r="KCN6" i="67"/>
  <c r="KCM6" i="67"/>
  <c r="KCL6" i="67"/>
  <c r="KCK6" i="67"/>
  <c r="KCJ6" i="67"/>
  <c r="KCI6" i="67"/>
  <c r="KCH6" i="67"/>
  <c r="KCG6" i="67"/>
  <c r="KCF6" i="67"/>
  <c r="KCE6" i="67"/>
  <c r="KCD6" i="67"/>
  <c r="KCC6" i="67"/>
  <c r="KCB6" i="67"/>
  <c r="KCA6" i="67"/>
  <c r="KBZ6" i="67"/>
  <c r="KBY6" i="67"/>
  <c r="KBX6" i="67"/>
  <c r="KBW6" i="67"/>
  <c r="KBV6" i="67"/>
  <c r="KBU6" i="67"/>
  <c r="KBT6" i="67"/>
  <c r="KBS6" i="67"/>
  <c r="KBR6" i="67"/>
  <c r="KBQ6" i="67"/>
  <c r="KBP6" i="67"/>
  <c r="KBO6" i="67"/>
  <c r="KBN6" i="67"/>
  <c r="KBM6" i="67"/>
  <c r="KBL6" i="67"/>
  <c r="KBK6" i="67"/>
  <c r="KBJ6" i="67"/>
  <c r="KBI6" i="67"/>
  <c r="KBH6" i="67"/>
  <c r="KBG6" i="67"/>
  <c r="KBF6" i="67"/>
  <c r="KBE6" i="67"/>
  <c r="KBD6" i="67"/>
  <c r="KBC6" i="67"/>
  <c r="KBB6" i="67"/>
  <c r="KBA6" i="67"/>
  <c r="KAZ6" i="67"/>
  <c r="KAY6" i="67"/>
  <c r="KAX6" i="67"/>
  <c r="KAW6" i="67"/>
  <c r="KAV6" i="67"/>
  <c r="KAU6" i="67"/>
  <c r="KAT6" i="67"/>
  <c r="KAS6" i="67"/>
  <c r="KAR6" i="67"/>
  <c r="KAQ6" i="67"/>
  <c r="KAP6" i="67"/>
  <c r="KAO6" i="67"/>
  <c r="KAN6" i="67"/>
  <c r="KAM6" i="67"/>
  <c r="KAL6" i="67"/>
  <c r="KAK6" i="67"/>
  <c r="KAJ6" i="67"/>
  <c r="KAI6" i="67"/>
  <c r="KAH6" i="67"/>
  <c r="KAG6" i="67"/>
  <c r="KAF6" i="67"/>
  <c r="KAE6" i="67"/>
  <c r="KAD6" i="67"/>
  <c r="KAC6" i="67"/>
  <c r="KAB6" i="67"/>
  <c r="KAA6" i="67"/>
  <c r="JZZ6" i="67"/>
  <c r="JZY6" i="67"/>
  <c r="JZX6" i="67"/>
  <c r="JZW6" i="67"/>
  <c r="JZV6" i="67"/>
  <c r="JZU6" i="67"/>
  <c r="JZT6" i="67"/>
  <c r="JZS6" i="67"/>
  <c r="JZR6" i="67"/>
  <c r="JZQ6" i="67"/>
  <c r="JZP6" i="67"/>
  <c r="JZO6" i="67"/>
  <c r="JZN6" i="67"/>
  <c r="JZM6" i="67"/>
  <c r="JZL6" i="67"/>
  <c r="JZK6" i="67"/>
  <c r="JZJ6" i="67"/>
  <c r="JZI6" i="67"/>
  <c r="JZH6" i="67"/>
  <c r="JZG6" i="67"/>
  <c r="JZF6" i="67"/>
  <c r="JZE6" i="67"/>
  <c r="JZD6" i="67"/>
  <c r="JZC6" i="67"/>
  <c r="JZB6" i="67"/>
  <c r="JZA6" i="67"/>
  <c r="JYZ6" i="67"/>
  <c r="JYY6" i="67"/>
  <c r="JYX6" i="67"/>
  <c r="JYW6" i="67"/>
  <c r="JYV6" i="67"/>
  <c r="JYU6" i="67"/>
  <c r="JYT6" i="67"/>
  <c r="JYS6" i="67"/>
  <c r="JYR6" i="67"/>
  <c r="JYQ6" i="67"/>
  <c r="JYP6" i="67"/>
  <c r="JYO6" i="67"/>
  <c r="JYN6" i="67"/>
  <c r="JYM6" i="67"/>
  <c r="JYL6" i="67"/>
  <c r="JYK6" i="67"/>
  <c r="JYJ6" i="67"/>
  <c r="JYI6" i="67"/>
  <c r="JYH6" i="67"/>
  <c r="JYG6" i="67"/>
  <c r="JYF6" i="67"/>
  <c r="JYE6" i="67"/>
  <c r="JYD6" i="67"/>
  <c r="JYC6" i="67"/>
  <c r="JYB6" i="67"/>
  <c r="JYA6" i="67"/>
  <c r="JXZ6" i="67"/>
  <c r="JXY6" i="67"/>
  <c r="JXX6" i="67"/>
  <c r="JXW6" i="67"/>
  <c r="JXV6" i="67"/>
  <c r="JXU6" i="67"/>
  <c r="JXT6" i="67"/>
  <c r="JXS6" i="67"/>
  <c r="JXR6" i="67"/>
  <c r="JXQ6" i="67"/>
  <c r="JXP6" i="67"/>
  <c r="JXO6" i="67"/>
  <c r="JXN6" i="67"/>
  <c r="JXM6" i="67"/>
  <c r="JXL6" i="67"/>
  <c r="JXK6" i="67"/>
  <c r="JXJ6" i="67"/>
  <c r="JXI6" i="67"/>
  <c r="JXH6" i="67"/>
  <c r="JXG6" i="67"/>
  <c r="JXF6" i="67"/>
  <c r="JXE6" i="67"/>
  <c r="JXD6" i="67"/>
  <c r="JXC6" i="67"/>
  <c r="JXB6" i="67"/>
  <c r="JXA6" i="67"/>
  <c r="JWZ6" i="67"/>
  <c r="JWY6" i="67"/>
  <c r="JWX6" i="67"/>
  <c r="JWW6" i="67"/>
  <c r="JWV6" i="67"/>
  <c r="JWU6" i="67"/>
  <c r="JWT6" i="67"/>
  <c r="JWS6" i="67"/>
  <c r="JWR6" i="67"/>
  <c r="JWQ6" i="67"/>
  <c r="JWP6" i="67"/>
  <c r="JWO6" i="67"/>
  <c r="JWN6" i="67"/>
  <c r="JWM6" i="67"/>
  <c r="JWL6" i="67"/>
  <c r="JWK6" i="67"/>
  <c r="JWJ6" i="67"/>
  <c r="JWI6" i="67"/>
  <c r="JWH6" i="67"/>
  <c r="JWG6" i="67"/>
  <c r="JWF6" i="67"/>
  <c r="JWE6" i="67"/>
  <c r="JWD6" i="67"/>
  <c r="JWC6" i="67"/>
  <c r="JWB6" i="67"/>
  <c r="JWA6" i="67"/>
  <c r="JVZ6" i="67"/>
  <c r="JVY6" i="67"/>
  <c r="JVX6" i="67"/>
  <c r="JVW6" i="67"/>
  <c r="JVV6" i="67"/>
  <c r="JVU6" i="67"/>
  <c r="JVT6" i="67"/>
  <c r="JVS6" i="67"/>
  <c r="JVR6" i="67"/>
  <c r="JVQ6" i="67"/>
  <c r="JVP6" i="67"/>
  <c r="JVO6" i="67"/>
  <c r="JVN6" i="67"/>
  <c r="JVM6" i="67"/>
  <c r="JVL6" i="67"/>
  <c r="JVK6" i="67"/>
  <c r="JVJ6" i="67"/>
  <c r="JVI6" i="67"/>
  <c r="JVH6" i="67"/>
  <c r="JVG6" i="67"/>
  <c r="JVF6" i="67"/>
  <c r="JVE6" i="67"/>
  <c r="JVD6" i="67"/>
  <c r="JVC6" i="67"/>
  <c r="JVB6" i="67"/>
  <c r="JVA6" i="67"/>
  <c r="JUZ6" i="67"/>
  <c r="JUY6" i="67"/>
  <c r="JUX6" i="67"/>
  <c r="JUW6" i="67"/>
  <c r="JUV6" i="67"/>
  <c r="JUU6" i="67"/>
  <c r="JUT6" i="67"/>
  <c r="JUS6" i="67"/>
  <c r="JUR6" i="67"/>
  <c r="JUQ6" i="67"/>
  <c r="JUP6" i="67"/>
  <c r="JUO6" i="67"/>
  <c r="JUN6" i="67"/>
  <c r="JUM6" i="67"/>
  <c r="JUL6" i="67"/>
  <c r="JUK6" i="67"/>
  <c r="JUJ6" i="67"/>
  <c r="JUI6" i="67"/>
  <c r="JUH6" i="67"/>
  <c r="JUG6" i="67"/>
  <c r="JUF6" i="67"/>
  <c r="JUE6" i="67"/>
  <c r="JUD6" i="67"/>
  <c r="JUC6" i="67"/>
  <c r="JUB6" i="67"/>
  <c r="JUA6" i="67"/>
  <c r="JTZ6" i="67"/>
  <c r="JTY6" i="67"/>
  <c r="JTX6" i="67"/>
  <c r="JTW6" i="67"/>
  <c r="JTV6" i="67"/>
  <c r="JTU6" i="67"/>
  <c r="JTT6" i="67"/>
  <c r="JTS6" i="67"/>
  <c r="JTR6" i="67"/>
  <c r="JTQ6" i="67"/>
  <c r="JTP6" i="67"/>
  <c r="JTO6" i="67"/>
  <c r="JTN6" i="67"/>
  <c r="JTM6" i="67"/>
  <c r="JTL6" i="67"/>
  <c r="JTK6" i="67"/>
  <c r="JTJ6" i="67"/>
  <c r="JTI6" i="67"/>
  <c r="JTH6" i="67"/>
  <c r="JTG6" i="67"/>
  <c r="JTF6" i="67"/>
  <c r="JTE6" i="67"/>
  <c r="JTD6" i="67"/>
  <c r="JTC6" i="67"/>
  <c r="JTB6" i="67"/>
  <c r="JTA6" i="67"/>
  <c r="JSZ6" i="67"/>
  <c r="JSY6" i="67"/>
  <c r="JSX6" i="67"/>
  <c r="JSW6" i="67"/>
  <c r="JSV6" i="67"/>
  <c r="JSU6" i="67"/>
  <c r="JST6" i="67"/>
  <c r="JSS6" i="67"/>
  <c r="JSR6" i="67"/>
  <c r="JSQ6" i="67"/>
  <c r="JSP6" i="67"/>
  <c r="JSO6" i="67"/>
  <c r="JSN6" i="67"/>
  <c r="JSM6" i="67"/>
  <c r="JSL6" i="67"/>
  <c r="JSK6" i="67"/>
  <c r="JSJ6" i="67"/>
  <c r="JSI6" i="67"/>
  <c r="JSH6" i="67"/>
  <c r="JSG6" i="67"/>
  <c r="JSF6" i="67"/>
  <c r="JSE6" i="67"/>
  <c r="JSD6" i="67"/>
  <c r="JSC6" i="67"/>
  <c r="JSB6" i="67"/>
  <c r="JSA6" i="67"/>
  <c r="JRZ6" i="67"/>
  <c r="JRY6" i="67"/>
  <c r="JRX6" i="67"/>
  <c r="JRW6" i="67"/>
  <c r="JRV6" i="67"/>
  <c r="JRU6" i="67"/>
  <c r="JRT6" i="67"/>
  <c r="JRS6" i="67"/>
  <c r="JRR6" i="67"/>
  <c r="JRQ6" i="67"/>
  <c r="JRP6" i="67"/>
  <c r="JRO6" i="67"/>
  <c r="JRN6" i="67"/>
  <c r="JRM6" i="67"/>
  <c r="JRL6" i="67"/>
  <c r="JRK6" i="67"/>
  <c r="JRJ6" i="67"/>
  <c r="JRI6" i="67"/>
  <c r="JRH6" i="67"/>
  <c r="JRG6" i="67"/>
  <c r="JRF6" i="67"/>
  <c r="JRE6" i="67"/>
  <c r="JRD6" i="67"/>
  <c r="JRC6" i="67"/>
  <c r="JRB6" i="67"/>
  <c r="JRA6" i="67"/>
  <c r="JQZ6" i="67"/>
  <c r="JQY6" i="67"/>
  <c r="JQX6" i="67"/>
  <c r="JQW6" i="67"/>
  <c r="JQV6" i="67"/>
  <c r="JQU6" i="67"/>
  <c r="JQT6" i="67"/>
  <c r="JQS6" i="67"/>
  <c r="JQR6" i="67"/>
  <c r="JQQ6" i="67"/>
  <c r="JQP6" i="67"/>
  <c r="JQO6" i="67"/>
  <c r="JQN6" i="67"/>
  <c r="JQM6" i="67"/>
  <c r="JQL6" i="67"/>
  <c r="JQK6" i="67"/>
  <c r="JQJ6" i="67"/>
  <c r="JQI6" i="67"/>
  <c r="JQH6" i="67"/>
  <c r="JQG6" i="67"/>
  <c r="JQF6" i="67"/>
  <c r="JQE6" i="67"/>
  <c r="JQD6" i="67"/>
  <c r="JQC6" i="67"/>
  <c r="JQB6" i="67"/>
  <c r="JQA6" i="67"/>
  <c r="JPZ6" i="67"/>
  <c r="JPY6" i="67"/>
  <c r="JPX6" i="67"/>
  <c r="JPW6" i="67"/>
  <c r="JPV6" i="67"/>
  <c r="JPU6" i="67"/>
  <c r="JPT6" i="67"/>
  <c r="JPS6" i="67"/>
  <c r="JPR6" i="67"/>
  <c r="JPQ6" i="67"/>
  <c r="JPP6" i="67"/>
  <c r="JPO6" i="67"/>
  <c r="JPN6" i="67"/>
  <c r="JPM6" i="67"/>
  <c r="JPL6" i="67"/>
  <c r="JPK6" i="67"/>
  <c r="JPJ6" i="67"/>
  <c r="JPI6" i="67"/>
  <c r="JPH6" i="67"/>
  <c r="JPG6" i="67"/>
  <c r="JPF6" i="67"/>
  <c r="JPE6" i="67"/>
  <c r="JPD6" i="67"/>
  <c r="JPC6" i="67"/>
  <c r="JPB6" i="67"/>
  <c r="JPA6" i="67"/>
  <c r="JOZ6" i="67"/>
  <c r="JOY6" i="67"/>
  <c r="JOX6" i="67"/>
  <c r="JOW6" i="67"/>
  <c r="JOV6" i="67"/>
  <c r="JOU6" i="67"/>
  <c r="JOT6" i="67"/>
  <c r="JOS6" i="67"/>
  <c r="JOR6" i="67"/>
  <c r="JOQ6" i="67"/>
  <c r="JOP6" i="67"/>
  <c r="JOO6" i="67"/>
  <c r="JON6" i="67"/>
  <c r="JOM6" i="67"/>
  <c r="JOL6" i="67"/>
  <c r="JOK6" i="67"/>
  <c r="JOJ6" i="67"/>
  <c r="JOI6" i="67"/>
  <c r="JOH6" i="67"/>
  <c r="JOG6" i="67"/>
  <c r="JOF6" i="67"/>
  <c r="JOE6" i="67"/>
  <c r="JOD6" i="67"/>
  <c r="JOC6" i="67"/>
  <c r="JOB6" i="67"/>
  <c r="JOA6" i="67"/>
  <c r="JNZ6" i="67"/>
  <c r="JNY6" i="67"/>
  <c r="JNX6" i="67"/>
  <c r="JNW6" i="67"/>
  <c r="JNV6" i="67"/>
  <c r="JNU6" i="67"/>
  <c r="JNT6" i="67"/>
  <c r="JNS6" i="67"/>
  <c r="JNR6" i="67"/>
  <c r="JNQ6" i="67"/>
  <c r="JNP6" i="67"/>
  <c r="JNO6" i="67"/>
  <c r="JNN6" i="67"/>
  <c r="JNM6" i="67"/>
  <c r="JNL6" i="67"/>
  <c r="JNK6" i="67"/>
  <c r="JNJ6" i="67"/>
  <c r="JNI6" i="67"/>
  <c r="JNH6" i="67"/>
  <c r="JNG6" i="67"/>
  <c r="JNF6" i="67"/>
  <c r="JNE6" i="67"/>
  <c r="JND6" i="67"/>
  <c r="JNC6" i="67"/>
  <c r="JNB6" i="67"/>
  <c r="JNA6" i="67"/>
  <c r="JMZ6" i="67"/>
  <c r="JMY6" i="67"/>
  <c r="JMX6" i="67"/>
  <c r="JMW6" i="67"/>
  <c r="JMV6" i="67"/>
  <c r="JMU6" i="67"/>
  <c r="JMT6" i="67"/>
  <c r="JMS6" i="67"/>
  <c r="JMR6" i="67"/>
  <c r="JMQ6" i="67"/>
  <c r="JMP6" i="67"/>
  <c r="JMO6" i="67"/>
  <c r="JMN6" i="67"/>
  <c r="JMM6" i="67"/>
  <c r="JML6" i="67"/>
  <c r="JMK6" i="67"/>
  <c r="JMJ6" i="67"/>
  <c r="JMI6" i="67"/>
  <c r="JMH6" i="67"/>
  <c r="JMG6" i="67"/>
  <c r="JMF6" i="67"/>
  <c r="JME6" i="67"/>
  <c r="JMD6" i="67"/>
  <c r="JMC6" i="67"/>
  <c r="JMB6" i="67"/>
  <c r="JMA6" i="67"/>
  <c r="JLZ6" i="67"/>
  <c r="JLY6" i="67"/>
  <c r="JLX6" i="67"/>
  <c r="JLW6" i="67"/>
  <c r="JLV6" i="67"/>
  <c r="JLU6" i="67"/>
  <c r="JLT6" i="67"/>
  <c r="JLS6" i="67"/>
  <c r="JLR6" i="67"/>
  <c r="JLQ6" i="67"/>
  <c r="JLP6" i="67"/>
  <c r="JLO6" i="67"/>
  <c r="JLN6" i="67"/>
  <c r="JLM6" i="67"/>
  <c r="JLL6" i="67"/>
  <c r="JLK6" i="67"/>
  <c r="JLJ6" i="67"/>
  <c r="JLI6" i="67"/>
  <c r="JLH6" i="67"/>
  <c r="JLG6" i="67"/>
  <c r="JLF6" i="67"/>
  <c r="JLE6" i="67"/>
  <c r="JLD6" i="67"/>
  <c r="JLC6" i="67"/>
  <c r="JLB6" i="67"/>
  <c r="JLA6" i="67"/>
  <c r="JKZ6" i="67"/>
  <c r="JKY6" i="67"/>
  <c r="JKX6" i="67"/>
  <c r="JKW6" i="67"/>
  <c r="JKV6" i="67"/>
  <c r="JKU6" i="67"/>
  <c r="JKT6" i="67"/>
  <c r="JKS6" i="67"/>
  <c r="JKR6" i="67"/>
  <c r="JKQ6" i="67"/>
  <c r="JKP6" i="67"/>
  <c r="JKO6" i="67"/>
  <c r="JKN6" i="67"/>
  <c r="JKM6" i="67"/>
  <c r="JKL6" i="67"/>
  <c r="JKK6" i="67"/>
  <c r="JKJ6" i="67"/>
  <c r="JKI6" i="67"/>
  <c r="JKH6" i="67"/>
  <c r="JKG6" i="67"/>
  <c r="JKF6" i="67"/>
  <c r="JKE6" i="67"/>
  <c r="JKD6" i="67"/>
  <c r="JKC6" i="67"/>
  <c r="JKB6" i="67"/>
  <c r="JKA6" i="67"/>
  <c r="JJZ6" i="67"/>
  <c r="JJY6" i="67"/>
  <c r="JJX6" i="67"/>
  <c r="JJW6" i="67"/>
  <c r="JJV6" i="67"/>
  <c r="JJU6" i="67"/>
  <c r="JJT6" i="67"/>
  <c r="JJS6" i="67"/>
  <c r="JJR6" i="67"/>
  <c r="JJQ6" i="67"/>
  <c r="JJP6" i="67"/>
  <c r="JJO6" i="67"/>
  <c r="JJN6" i="67"/>
  <c r="JJM6" i="67"/>
  <c r="JJL6" i="67"/>
  <c r="JJK6" i="67"/>
  <c r="JJJ6" i="67"/>
  <c r="JJI6" i="67"/>
  <c r="JJH6" i="67"/>
  <c r="JJG6" i="67"/>
  <c r="JJF6" i="67"/>
  <c r="JJE6" i="67"/>
  <c r="JJD6" i="67"/>
  <c r="JJC6" i="67"/>
  <c r="JJB6" i="67"/>
  <c r="JJA6" i="67"/>
  <c r="JIZ6" i="67"/>
  <c r="JIY6" i="67"/>
  <c r="JIX6" i="67"/>
  <c r="JIW6" i="67"/>
  <c r="JIV6" i="67"/>
  <c r="JIU6" i="67"/>
  <c r="JIT6" i="67"/>
  <c r="JIS6" i="67"/>
  <c r="JIR6" i="67"/>
  <c r="JIQ6" i="67"/>
  <c r="JIP6" i="67"/>
  <c r="JIO6" i="67"/>
  <c r="JIN6" i="67"/>
  <c r="JIM6" i="67"/>
  <c r="JIL6" i="67"/>
  <c r="JIK6" i="67"/>
  <c r="JIJ6" i="67"/>
  <c r="JII6" i="67"/>
  <c r="JIH6" i="67"/>
  <c r="JIG6" i="67"/>
  <c r="JIF6" i="67"/>
  <c r="JIE6" i="67"/>
  <c r="JID6" i="67"/>
  <c r="JIC6" i="67"/>
  <c r="JIB6" i="67"/>
  <c r="JIA6" i="67"/>
  <c r="JHZ6" i="67"/>
  <c r="JHY6" i="67"/>
  <c r="JHX6" i="67"/>
  <c r="JHW6" i="67"/>
  <c r="JHV6" i="67"/>
  <c r="JHU6" i="67"/>
  <c r="JHT6" i="67"/>
  <c r="JHS6" i="67"/>
  <c r="JHR6" i="67"/>
  <c r="JHQ6" i="67"/>
  <c r="JHP6" i="67"/>
  <c r="JHO6" i="67"/>
  <c r="JHN6" i="67"/>
  <c r="JHM6" i="67"/>
  <c r="JHL6" i="67"/>
  <c r="JHK6" i="67"/>
  <c r="JHJ6" i="67"/>
  <c r="JHI6" i="67"/>
  <c r="JHH6" i="67"/>
  <c r="JHG6" i="67"/>
  <c r="JHF6" i="67"/>
  <c r="JHE6" i="67"/>
  <c r="JHD6" i="67"/>
  <c r="JHC6" i="67"/>
  <c r="JHB6" i="67"/>
  <c r="JHA6" i="67"/>
  <c r="JGZ6" i="67"/>
  <c r="JGY6" i="67"/>
  <c r="JGX6" i="67"/>
  <c r="JGW6" i="67"/>
  <c r="JGV6" i="67"/>
  <c r="JGU6" i="67"/>
  <c r="JGT6" i="67"/>
  <c r="JGS6" i="67"/>
  <c r="JGR6" i="67"/>
  <c r="JGQ6" i="67"/>
  <c r="JGP6" i="67"/>
  <c r="JGO6" i="67"/>
  <c r="JGN6" i="67"/>
  <c r="JGM6" i="67"/>
  <c r="JGL6" i="67"/>
  <c r="JGK6" i="67"/>
  <c r="JGJ6" i="67"/>
  <c r="JGI6" i="67"/>
  <c r="JGH6" i="67"/>
  <c r="JGG6" i="67"/>
  <c r="JGF6" i="67"/>
  <c r="JGE6" i="67"/>
  <c r="JGD6" i="67"/>
  <c r="JGC6" i="67"/>
  <c r="JGB6" i="67"/>
  <c r="JGA6" i="67"/>
  <c r="JFZ6" i="67"/>
  <c r="JFY6" i="67"/>
  <c r="JFX6" i="67"/>
  <c r="JFW6" i="67"/>
  <c r="JFV6" i="67"/>
  <c r="JFU6" i="67"/>
  <c r="JFT6" i="67"/>
  <c r="JFS6" i="67"/>
  <c r="JFR6" i="67"/>
  <c r="JFQ6" i="67"/>
  <c r="JFP6" i="67"/>
  <c r="JFO6" i="67"/>
  <c r="JFN6" i="67"/>
  <c r="JFM6" i="67"/>
  <c r="JFL6" i="67"/>
  <c r="JFK6" i="67"/>
  <c r="JFJ6" i="67"/>
  <c r="JFI6" i="67"/>
  <c r="JFH6" i="67"/>
  <c r="JFG6" i="67"/>
  <c r="JFF6" i="67"/>
  <c r="JFE6" i="67"/>
  <c r="JFD6" i="67"/>
  <c r="JFC6" i="67"/>
  <c r="JFB6" i="67"/>
  <c r="JFA6" i="67"/>
  <c r="JEZ6" i="67"/>
  <c r="JEY6" i="67"/>
  <c r="JEX6" i="67"/>
  <c r="JEW6" i="67"/>
  <c r="JEV6" i="67"/>
  <c r="JEU6" i="67"/>
  <c r="JET6" i="67"/>
  <c r="JES6" i="67"/>
  <c r="JER6" i="67"/>
  <c r="JEQ6" i="67"/>
  <c r="JEP6" i="67"/>
  <c r="JEO6" i="67"/>
  <c r="JEN6" i="67"/>
  <c r="JEM6" i="67"/>
  <c r="JEL6" i="67"/>
  <c r="JEK6" i="67"/>
  <c r="JEJ6" i="67"/>
  <c r="JEI6" i="67"/>
  <c r="JEH6" i="67"/>
  <c r="JEG6" i="67"/>
  <c r="JEF6" i="67"/>
  <c r="JEE6" i="67"/>
  <c r="JED6" i="67"/>
  <c r="JEC6" i="67"/>
  <c r="JEB6" i="67"/>
  <c r="JEA6" i="67"/>
  <c r="JDZ6" i="67"/>
  <c r="JDY6" i="67"/>
  <c r="JDX6" i="67"/>
  <c r="JDW6" i="67"/>
  <c r="JDV6" i="67"/>
  <c r="JDU6" i="67"/>
  <c r="JDT6" i="67"/>
  <c r="JDS6" i="67"/>
  <c r="JDR6" i="67"/>
  <c r="JDQ6" i="67"/>
  <c r="JDP6" i="67"/>
  <c r="JDO6" i="67"/>
  <c r="JDN6" i="67"/>
  <c r="JDM6" i="67"/>
  <c r="JDL6" i="67"/>
  <c r="JDK6" i="67"/>
  <c r="JDJ6" i="67"/>
  <c r="JDI6" i="67"/>
  <c r="JDH6" i="67"/>
  <c r="JDG6" i="67"/>
  <c r="JDF6" i="67"/>
  <c r="JDE6" i="67"/>
  <c r="JDD6" i="67"/>
  <c r="JDC6" i="67"/>
  <c r="JDB6" i="67"/>
  <c r="JDA6" i="67"/>
  <c r="JCZ6" i="67"/>
  <c r="JCY6" i="67"/>
  <c r="JCX6" i="67"/>
  <c r="JCW6" i="67"/>
  <c r="JCV6" i="67"/>
  <c r="JCU6" i="67"/>
  <c r="JCT6" i="67"/>
  <c r="JCS6" i="67"/>
  <c r="JCR6" i="67"/>
  <c r="JCQ6" i="67"/>
  <c r="JCP6" i="67"/>
  <c r="JCO6" i="67"/>
  <c r="JCN6" i="67"/>
  <c r="JCM6" i="67"/>
  <c r="JCL6" i="67"/>
  <c r="JCK6" i="67"/>
  <c r="JCJ6" i="67"/>
  <c r="JCI6" i="67"/>
  <c r="JCH6" i="67"/>
  <c r="JCG6" i="67"/>
  <c r="JCF6" i="67"/>
  <c r="JCE6" i="67"/>
  <c r="JCD6" i="67"/>
  <c r="JCC6" i="67"/>
  <c r="JCB6" i="67"/>
  <c r="JCA6" i="67"/>
  <c r="JBZ6" i="67"/>
  <c r="JBY6" i="67"/>
  <c r="JBX6" i="67"/>
  <c r="JBW6" i="67"/>
  <c r="JBV6" i="67"/>
  <c r="JBU6" i="67"/>
  <c r="JBT6" i="67"/>
  <c r="JBS6" i="67"/>
  <c r="JBR6" i="67"/>
  <c r="JBQ6" i="67"/>
  <c r="JBP6" i="67"/>
  <c r="JBO6" i="67"/>
  <c r="JBN6" i="67"/>
  <c r="JBM6" i="67"/>
  <c r="JBL6" i="67"/>
  <c r="JBK6" i="67"/>
  <c r="JBJ6" i="67"/>
  <c r="JBI6" i="67"/>
  <c r="JBH6" i="67"/>
  <c r="JBG6" i="67"/>
  <c r="JBF6" i="67"/>
  <c r="JBE6" i="67"/>
  <c r="JBD6" i="67"/>
  <c r="JBC6" i="67"/>
  <c r="JBB6" i="67"/>
  <c r="JBA6" i="67"/>
  <c r="JAZ6" i="67"/>
  <c r="JAY6" i="67"/>
  <c r="JAX6" i="67"/>
  <c r="JAW6" i="67"/>
  <c r="JAV6" i="67"/>
  <c r="JAU6" i="67"/>
  <c r="JAT6" i="67"/>
  <c r="JAS6" i="67"/>
  <c r="JAR6" i="67"/>
  <c r="JAQ6" i="67"/>
  <c r="JAP6" i="67"/>
  <c r="JAO6" i="67"/>
  <c r="JAN6" i="67"/>
  <c r="JAM6" i="67"/>
  <c r="JAL6" i="67"/>
  <c r="JAK6" i="67"/>
  <c r="JAJ6" i="67"/>
  <c r="JAI6" i="67"/>
  <c r="JAH6" i="67"/>
  <c r="JAG6" i="67"/>
  <c r="JAF6" i="67"/>
  <c r="JAE6" i="67"/>
  <c r="JAD6" i="67"/>
  <c r="JAC6" i="67"/>
  <c r="JAB6" i="67"/>
  <c r="JAA6" i="67"/>
  <c r="IZZ6" i="67"/>
  <c r="IZY6" i="67"/>
  <c r="IZX6" i="67"/>
  <c r="IZW6" i="67"/>
  <c r="IZV6" i="67"/>
  <c r="IZU6" i="67"/>
  <c r="IZT6" i="67"/>
  <c r="IZS6" i="67"/>
  <c r="IZR6" i="67"/>
  <c r="IZQ6" i="67"/>
  <c r="IZP6" i="67"/>
  <c r="IZO6" i="67"/>
  <c r="IZN6" i="67"/>
  <c r="IZM6" i="67"/>
  <c r="IZL6" i="67"/>
  <c r="IZK6" i="67"/>
  <c r="IZJ6" i="67"/>
  <c r="IZI6" i="67"/>
  <c r="IZH6" i="67"/>
  <c r="IZG6" i="67"/>
  <c r="IZF6" i="67"/>
  <c r="IZE6" i="67"/>
  <c r="IZD6" i="67"/>
  <c r="IZC6" i="67"/>
  <c r="IZB6" i="67"/>
  <c r="IZA6" i="67"/>
  <c r="IYZ6" i="67"/>
  <c r="IYY6" i="67"/>
  <c r="IYX6" i="67"/>
  <c r="IYW6" i="67"/>
  <c r="IYV6" i="67"/>
  <c r="IYU6" i="67"/>
  <c r="IYT6" i="67"/>
  <c r="IYS6" i="67"/>
  <c r="IYR6" i="67"/>
  <c r="IYQ6" i="67"/>
  <c r="IYP6" i="67"/>
  <c r="IYO6" i="67"/>
  <c r="IYN6" i="67"/>
  <c r="IYM6" i="67"/>
  <c r="IYL6" i="67"/>
  <c r="IYK6" i="67"/>
  <c r="IYJ6" i="67"/>
  <c r="IYI6" i="67"/>
  <c r="IYH6" i="67"/>
  <c r="IYG6" i="67"/>
  <c r="IYF6" i="67"/>
  <c r="IYE6" i="67"/>
  <c r="IYD6" i="67"/>
  <c r="IYC6" i="67"/>
  <c r="IYB6" i="67"/>
  <c r="IYA6" i="67"/>
  <c r="IXZ6" i="67"/>
  <c r="IXY6" i="67"/>
  <c r="IXX6" i="67"/>
  <c r="IXW6" i="67"/>
  <c r="IXV6" i="67"/>
  <c r="IXU6" i="67"/>
  <c r="IXT6" i="67"/>
  <c r="IXS6" i="67"/>
  <c r="IXR6" i="67"/>
  <c r="IXQ6" i="67"/>
  <c r="IXP6" i="67"/>
  <c r="IXO6" i="67"/>
  <c r="IXN6" i="67"/>
  <c r="IXM6" i="67"/>
  <c r="IXL6" i="67"/>
  <c r="IXK6" i="67"/>
  <c r="IXJ6" i="67"/>
  <c r="IXI6" i="67"/>
  <c r="IXH6" i="67"/>
  <c r="IXG6" i="67"/>
  <c r="IXF6" i="67"/>
  <c r="IXE6" i="67"/>
  <c r="IXD6" i="67"/>
  <c r="IXC6" i="67"/>
  <c r="IXB6" i="67"/>
  <c r="IXA6" i="67"/>
  <c r="IWZ6" i="67"/>
  <c r="IWY6" i="67"/>
  <c r="IWX6" i="67"/>
  <c r="IWW6" i="67"/>
  <c r="IWV6" i="67"/>
  <c r="IWU6" i="67"/>
  <c r="IWT6" i="67"/>
  <c r="IWS6" i="67"/>
  <c r="IWR6" i="67"/>
  <c r="IWQ6" i="67"/>
  <c r="IWP6" i="67"/>
  <c r="IWO6" i="67"/>
  <c r="IWN6" i="67"/>
  <c r="IWM6" i="67"/>
  <c r="IWL6" i="67"/>
  <c r="IWK6" i="67"/>
  <c r="IWJ6" i="67"/>
  <c r="IWI6" i="67"/>
  <c r="IWH6" i="67"/>
  <c r="IWG6" i="67"/>
  <c r="IWF6" i="67"/>
  <c r="IWE6" i="67"/>
  <c r="IWD6" i="67"/>
  <c r="IWC6" i="67"/>
  <c r="IWB6" i="67"/>
  <c r="IWA6" i="67"/>
  <c r="IVZ6" i="67"/>
  <c r="IVY6" i="67"/>
  <c r="IVX6" i="67"/>
  <c r="IVW6" i="67"/>
  <c r="IVV6" i="67"/>
  <c r="IVU6" i="67"/>
  <c r="IVT6" i="67"/>
  <c r="IVS6" i="67"/>
  <c r="IVR6" i="67"/>
  <c r="IVQ6" i="67"/>
  <c r="IVP6" i="67"/>
  <c r="IVO6" i="67"/>
  <c r="IVN6" i="67"/>
  <c r="IVM6" i="67"/>
  <c r="IVL6" i="67"/>
  <c r="IVK6" i="67"/>
  <c r="IVJ6" i="67"/>
  <c r="IVI6" i="67"/>
  <c r="IVH6" i="67"/>
  <c r="IVG6" i="67"/>
  <c r="IVF6" i="67"/>
  <c r="IVE6" i="67"/>
  <c r="IVD6" i="67"/>
  <c r="IVC6" i="67"/>
  <c r="IVB6" i="67"/>
  <c r="IVA6" i="67"/>
  <c r="IUZ6" i="67"/>
  <c r="IUY6" i="67"/>
  <c r="IUX6" i="67"/>
  <c r="IUW6" i="67"/>
  <c r="IUV6" i="67"/>
  <c r="IUU6" i="67"/>
  <c r="IUT6" i="67"/>
  <c r="IUS6" i="67"/>
  <c r="IUR6" i="67"/>
  <c r="IUQ6" i="67"/>
  <c r="IUP6" i="67"/>
  <c r="IUO6" i="67"/>
  <c r="IUN6" i="67"/>
  <c r="IUM6" i="67"/>
  <c r="IUL6" i="67"/>
  <c r="IUK6" i="67"/>
  <c r="IUJ6" i="67"/>
  <c r="IUI6" i="67"/>
  <c r="IUH6" i="67"/>
  <c r="IUG6" i="67"/>
  <c r="IUF6" i="67"/>
  <c r="IUE6" i="67"/>
  <c r="IUD6" i="67"/>
  <c r="IUC6" i="67"/>
  <c r="IUB6" i="67"/>
  <c r="IUA6" i="67"/>
  <c r="ITZ6" i="67"/>
  <c r="ITY6" i="67"/>
  <c r="ITX6" i="67"/>
  <c r="ITW6" i="67"/>
  <c r="ITV6" i="67"/>
  <c r="ITU6" i="67"/>
  <c r="ITT6" i="67"/>
  <c r="ITS6" i="67"/>
  <c r="ITR6" i="67"/>
  <c r="ITQ6" i="67"/>
  <c r="ITP6" i="67"/>
  <c r="ITO6" i="67"/>
  <c r="ITN6" i="67"/>
  <c r="ITM6" i="67"/>
  <c r="ITL6" i="67"/>
  <c r="ITK6" i="67"/>
  <c r="ITJ6" i="67"/>
  <c r="ITI6" i="67"/>
  <c r="ITH6" i="67"/>
  <c r="ITG6" i="67"/>
  <c r="ITF6" i="67"/>
  <c r="ITE6" i="67"/>
  <c r="ITD6" i="67"/>
  <c r="ITC6" i="67"/>
  <c r="ITB6" i="67"/>
  <c r="ITA6" i="67"/>
  <c r="ISZ6" i="67"/>
  <c r="ISY6" i="67"/>
  <c r="ISX6" i="67"/>
  <c r="ISW6" i="67"/>
  <c r="ISV6" i="67"/>
  <c r="ISU6" i="67"/>
  <c r="IST6" i="67"/>
  <c r="ISS6" i="67"/>
  <c r="ISR6" i="67"/>
  <c r="ISQ6" i="67"/>
  <c r="ISP6" i="67"/>
  <c r="ISO6" i="67"/>
  <c r="ISN6" i="67"/>
  <c r="ISM6" i="67"/>
  <c r="ISL6" i="67"/>
  <c r="ISK6" i="67"/>
  <c r="ISJ6" i="67"/>
  <c r="ISI6" i="67"/>
  <c r="ISH6" i="67"/>
  <c r="ISG6" i="67"/>
  <c r="ISF6" i="67"/>
  <c r="ISE6" i="67"/>
  <c r="ISD6" i="67"/>
  <c r="ISC6" i="67"/>
  <c r="ISB6" i="67"/>
  <c r="ISA6" i="67"/>
  <c r="IRZ6" i="67"/>
  <c r="IRY6" i="67"/>
  <c r="IRX6" i="67"/>
  <c r="IRW6" i="67"/>
  <c r="IRV6" i="67"/>
  <c r="IRU6" i="67"/>
  <c r="IRT6" i="67"/>
  <c r="IRS6" i="67"/>
  <c r="IRR6" i="67"/>
  <c r="IRQ6" i="67"/>
  <c r="IRP6" i="67"/>
  <c r="IRO6" i="67"/>
  <c r="IRN6" i="67"/>
  <c r="IRM6" i="67"/>
  <c r="IRL6" i="67"/>
  <c r="IRK6" i="67"/>
  <c r="IRJ6" i="67"/>
  <c r="IRI6" i="67"/>
  <c r="IRH6" i="67"/>
  <c r="IRG6" i="67"/>
  <c r="IRF6" i="67"/>
  <c r="IRE6" i="67"/>
  <c r="IRD6" i="67"/>
  <c r="IRC6" i="67"/>
  <c r="IRB6" i="67"/>
  <c r="IRA6" i="67"/>
  <c r="IQZ6" i="67"/>
  <c r="IQY6" i="67"/>
  <c r="IQX6" i="67"/>
  <c r="IQW6" i="67"/>
  <c r="IQV6" i="67"/>
  <c r="IQU6" i="67"/>
  <c r="IQT6" i="67"/>
  <c r="IQS6" i="67"/>
  <c r="IQR6" i="67"/>
  <c r="IQQ6" i="67"/>
  <c r="IQP6" i="67"/>
  <c r="IQO6" i="67"/>
  <c r="IQN6" i="67"/>
  <c r="IQM6" i="67"/>
  <c r="IQL6" i="67"/>
  <c r="IQK6" i="67"/>
  <c r="IQJ6" i="67"/>
  <c r="IQI6" i="67"/>
  <c r="IQH6" i="67"/>
  <c r="IQG6" i="67"/>
  <c r="IQF6" i="67"/>
  <c r="IQE6" i="67"/>
  <c r="IQD6" i="67"/>
  <c r="IQC6" i="67"/>
  <c r="IQB6" i="67"/>
  <c r="IQA6" i="67"/>
  <c r="IPZ6" i="67"/>
  <c r="IPY6" i="67"/>
  <c r="IPX6" i="67"/>
  <c r="IPW6" i="67"/>
  <c r="IPV6" i="67"/>
  <c r="IPU6" i="67"/>
  <c r="IPT6" i="67"/>
  <c r="IPS6" i="67"/>
  <c r="IPR6" i="67"/>
  <c r="IPQ6" i="67"/>
  <c r="IPP6" i="67"/>
  <c r="IPO6" i="67"/>
  <c r="IPN6" i="67"/>
  <c r="IPM6" i="67"/>
  <c r="IPL6" i="67"/>
  <c r="IPK6" i="67"/>
  <c r="IPJ6" i="67"/>
  <c r="IPI6" i="67"/>
  <c r="IPH6" i="67"/>
  <c r="IPG6" i="67"/>
  <c r="IPF6" i="67"/>
  <c r="IPE6" i="67"/>
  <c r="IPD6" i="67"/>
  <c r="IPC6" i="67"/>
  <c r="IPB6" i="67"/>
  <c r="IPA6" i="67"/>
  <c r="IOZ6" i="67"/>
  <c r="IOY6" i="67"/>
  <c r="IOX6" i="67"/>
  <c r="IOW6" i="67"/>
  <c r="IOV6" i="67"/>
  <c r="IOU6" i="67"/>
  <c r="IOT6" i="67"/>
  <c r="IOS6" i="67"/>
  <c r="IOR6" i="67"/>
  <c r="IOQ6" i="67"/>
  <c r="IOP6" i="67"/>
  <c r="IOO6" i="67"/>
  <c r="ION6" i="67"/>
  <c r="IOM6" i="67"/>
  <c r="IOL6" i="67"/>
  <c r="IOK6" i="67"/>
  <c r="IOJ6" i="67"/>
  <c r="IOI6" i="67"/>
  <c r="IOH6" i="67"/>
  <c r="IOG6" i="67"/>
  <c r="IOF6" i="67"/>
  <c r="IOE6" i="67"/>
  <c r="IOD6" i="67"/>
  <c r="IOC6" i="67"/>
  <c r="IOB6" i="67"/>
  <c r="IOA6" i="67"/>
  <c r="INZ6" i="67"/>
  <c r="INY6" i="67"/>
  <c r="INX6" i="67"/>
  <c r="INW6" i="67"/>
  <c r="INV6" i="67"/>
  <c r="INU6" i="67"/>
  <c r="INT6" i="67"/>
  <c r="INS6" i="67"/>
  <c r="INR6" i="67"/>
  <c r="INQ6" i="67"/>
  <c r="INP6" i="67"/>
  <c r="INO6" i="67"/>
  <c r="INN6" i="67"/>
  <c r="INM6" i="67"/>
  <c r="INL6" i="67"/>
  <c r="INK6" i="67"/>
  <c r="INJ6" i="67"/>
  <c r="INI6" i="67"/>
  <c r="INH6" i="67"/>
  <c r="ING6" i="67"/>
  <c r="INF6" i="67"/>
  <c r="INE6" i="67"/>
  <c r="IND6" i="67"/>
  <c r="INC6" i="67"/>
  <c r="INB6" i="67"/>
  <c r="INA6" i="67"/>
  <c r="IMZ6" i="67"/>
  <c r="IMY6" i="67"/>
  <c r="IMX6" i="67"/>
  <c r="IMW6" i="67"/>
  <c r="IMV6" i="67"/>
  <c r="IMU6" i="67"/>
  <c r="IMT6" i="67"/>
  <c r="IMS6" i="67"/>
  <c r="IMR6" i="67"/>
  <c r="IMQ6" i="67"/>
  <c r="IMP6" i="67"/>
  <c r="IMO6" i="67"/>
  <c r="IMN6" i="67"/>
  <c r="IMM6" i="67"/>
  <c r="IML6" i="67"/>
  <c r="IMK6" i="67"/>
  <c r="IMJ6" i="67"/>
  <c r="IMI6" i="67"/>
  <c r="IMH6" i="67"/>
  <c r="IMG6" i="67"/>
  <c r="IMF6" i="67"/>
  <c r="IME6" i="67"/>
  <c r="IMD6" i="67"/>
  <c r="IMC6" i="67"/>
  <c r="IMB6" i="67"/>
  <c r="IMA6" i="67"/>
  <c r="ILZ6" i="67"/>
  <c r="ILY6" i="67"/>
  <c r="ILX6" i="67"/>
  <c r="ILW6" i="67"/>
  <c r="ILV6" i="67"/>
  <c r="ILU6" i="67"/>
  <c r="ILT6" i="67"/>
  <c r="ILS6" i="67"/>
  <c r="ILR6" i="67"/>
  <c r="ILQ6" i="67"/>
  <c r="ILP6" i="67"/>
  <c r="ILO6" i="67"/>
  <c r="ILN6" i="67"/>
  <c r="ILM6" i="67"/>
  <c r="ILL6" i="67"/>
  <c r="ILK6" i="67"/>
  <c r="ILJ6" i="67"/>
  <c r="ILI6" i="67"/>
  <c r="ILH6" i="67"/>
  <c r="ILG6" i="67"/>
  <c r="ILF6" i="67"/>
  <c r="ILE6" i="67"/>
  <c r="ILD6" i="67"/>
  <c r="ILC6" i="67"/>
  <c r="ILB6" i="67"/>
  <c r="ILA6" i="67"/>
  <c r="IKZ6" i="67"/>
  <c r="IKY6" i="67"/>
  <c r="IKX6" i="67"/>
  <c r="IKW6" i="67"/>
  <c r="IKV6" i="67"/>
  <c r="IKU6" i="67"/>
  <c r="IKT6" i="67"/>
  <c r="IKS6" i="67"/>
  <c r="IKR6" i="67"/>
  <c r="IKQ6" i="67"/>
  <c r="IKP6" i="67"/>
  <c r="IKO6" i="67"/>
  <c r="IKN6" i="67"/>
  <c r="IKM6" i="67"/>
  <c r="IKL6" i="67"/>
  <c r="IKK6" i="67"/>
  <c r="IKJ6" i="67"/>
  <c r="IKI6" i="67"/>
  <c r="IKH6" i="67"/>
  <c r="IKG6" i="67"/>
  <c r="IKF6" i="67"/>
  <c r="IKE6" i="67"/>
  <c r="IKD6" i="67"/>
  <c r="IKC6" i="67"/>
  <c r="IKB6" i="67"/>
  <c r="IKA6" i="67"/>
  <c r="IJZ6" i="67"/>
  <c r="IJY6" i="67"/>
  <c r="IJX6" i="67"/>
  <c r="IJW6" i="67"/>
  <c r="IJV6" i="67"/>
  <c r="IJU6" i="67"/>
  <c r="IJT6" i="67"/>
  <c r="IJS6" i="67"/>
  <c r="IJR6" i="67"/>
  <c r="IJQ6" i="67"/>
  <c r="IJP6" i="67"/>
  <c r="IJO6" i="67"/>
  <c r="IJN6" i="67"/>
  <c r="IJM6" i="67"/>
  <c r="IJL6" i="67"/>
  <c r="IJK6" i="67"/>
  <c r="IJJ6" i="67"/>
  <c r="IJI6" i="67"/>
  <c r="IJH6" i="67"/>
  <c r="IJG6" i="67"/>
  <c r="IJF6" i="67"/>
  <c r="IJE6" i="67"/>
  <c r="IJD6" i="67"/>
  <c r="IJC6" i="67"/>
  <c r="IJB6" i="67"/>
  <c r="IJA6" i="67"/>
  <c r="IIZ6" i="67"/>
  <c r="IIY6" i="67"/>
  <c r="IIX6" i="67"/>
  <c r="IIW6" i="67"/>
  <c r="IIV6" i="67"/>
  <c r="IIU6" i="67"/>
  <c r="IIT6" i="67"/>
  <c r="IIS6" i="67"/>
  <c r="IIR6" i="67"/>
  <c r="IIQ6" i="67"/>
  <c r="IIP6" i="67"/>
  <c r="IIO6" i="67"/>
  <c r="IIN6" i="67"/>
  <c r="IIM6" i="67"/>
  <c r="IIL6" i="67"/>
  <c r="IIK6" i="67"/>
  <c r="IIJ6" i="67"/>
  <c r="III6" i="67"/>
  <c r="IIH6" i="67"/>
  <c r="IIG6" i="67"/>
  <c r="IIF6" i="67"/>
  <c r="IIE6" i="67"/>
  <c r="IID6" i="67"/>
  <c r="IIC6" i="67"/>
  <c r="IIB6" i="67"/>
  <c r="IIA6" i="67"/>
  <c r="IHZ6" i="67"/>
  <c r="IHY6" i="67"/>
  <c r="IHX6" i="67"/>
  <c r="IHW6" i="67"/>
  <c r="IHV6" i="67"/>
  <c r="IHU6" i="67"/>
  <c r="IHT6" i="67"/>
  <c r="IHS6" i="67"/>
  <c r="IHR6" i="67"/>
  <c r="IHQ6" i="67"/>
  <c r="IHP6" i="67"/>
  <c r="IHO6" i="67"/>
  <c r="IHN6" i="67"/>
  <c r="IHM6" i="67"/>
  <c r="IHL6" i="67"/>
  <c r="IHK6" i="67"/>
  <c r="IHJ6" i="67"/>
  <c r="IHI6" i="67"/>
  <c r="IHH6" i="67"/>
  <c r="IHG6" i="67"/>
  <c r="IHF6" i="67"/>
  <c r="IHE6" i="67"/>
  <c r="IHD6" i="67"/>
  <c r="IHC6" i="67"/>
  <c r="IHB6" i="67"/>
  <c r="IHA6" i="67"/>
  <c r="IGZ6" i="67"/>
  <c r="IGY6" i="67"/>
  <c r="IGX6" i="67"/>
  <c r="IGW6" i="67"/>
  <c r="IGV6" i="67"/>
  <c r="IGU6" i="67"/>
  <c r="IGT6" i="67"/>
  <c r="IGS6" i="67"/>
  <c r="IGR6" i="67"/>
  <c r="IGQ6" i="67"/>
  <c r="IGP6" i="67"/>
  <c r="IGO6" i="67"/>
  <c r="IGN6" i="67"/>
  <c r="IGM6" i="67"/>
  <c r="IGL6" i="67"/>
  <c r="IGK6" i="67"/>
  <c r="IGJ6" i="67"/>
  <c r="IGI6" i="67"/>
  <c r="IGH6" i="67"/>
  <c r="IGG6" i="67"/>
  <c r="IGF6" i="67"/>
  <c r="IGE6" i="67"/>
  <c r="IGD6" i="67"/>
  <c r="IGC6" i="67"/>
  <c r="IGB6" i="67"/>
  <c r="IGA6" i="67"/>
  <c r="IFZ6" i="67"/>
  <c r="IFY6" i="67"/>
  <c r="IFX6" i="67"/>
  <c r="IFW6" i="67"/>
  <c r="IFV6" i="67"/>
  <c r="IFU6" i="67"/>
  <c r="IFT6" i="67"/>
  <c r="IFS6" i="67"/>
  <c r="IFR6" i="67"/>
  <c r="IFQ6" i="67"/>
  <c r="IFP6" i="67"/>
  <c r="IFO6" i="67"/>
  <c r="IFN6" i="67"/>
  <c r="IFM6" i="67"/>
  <c r="IFL6" i="67"/>
  <c r="IFK6" i="67"/>
  <c r="IFJ6" i="67"/>
  <c r="IFI6" i="67"/>
  <c r="IFH6" i="67"/>
  <c r="IFG6" i="67"/>
  <c r="IFF6" i="67"/>
  <c r="IFE6" i="67"/>
  <c r="IFD6" i="67"/>
  <c r="IFC6" i="67"/>
  <c r="IFB6" i="67"/>
  <c r="IFA6" i="67"/>
  <c r="IEZ6" i="67"/>
  <c r="IEY6" i="67"/>
  <c r="IEX6" i="67"/>
  <c r="IEW6" i="67"/>
  <c r="IEV6" i="67"/>
  <c r="IEU6" i="67"/>
  <c r="IET6" i="67"/>
  <c r="IES6" i="67"/>
  <c r="IER6" i="67"/>
  <c r="IEQ6" i="67"/>
  <c r="IEP6" i="67"/>
  <c r="IEO6" i="67"/>
  <c r="IEN6" i="67"/>
  <c r="IEM6" i="67"/>
  <c r="IEL6" i="67"/>
  <c r="IEK6" i="67"/>
  <c r="IEJ6" i="67"/>
  <c r="IEI6" i="67"/>
  <c r="IEH6" i="67"/>
  <c r="IEG6" i="67"/>
  <c r="IEF6" i="67"/>
  <c r="IEE6" i="67"/>
  <c r="IED6" i="67"/>
  <c r="IEC6" i="67"/>
  <c r="IEB6" i="67"/>
  <c r="IEA6" i="67"/>
  <c r="IDZ6" i="67"/>
  <c r="IDY6" i="67"/>
  <c r="IDX6" i="67"/>
  <c r="IDW6" i="67"/>
  <c r="IDV6" i="67"/>
  <c r="IDU6" i="67"/>
  <c r="IDT6" i="67"/>
  <c r="IDS6" i="67"/>
  <c r="IDR6" i="67"/>
  <c r="IDQ6" i="67"/>
  <c r="IDP6" i="67"/>
  <c r="IDO6" i="67"/>
  <c r="IDN6" i="67"/>
  <c r="IDM6" i="67"/>
  <c r="IDL6" i="67"/>
  <c r="IDK6" i="67"/>
  <c r="IDJ6" i="67"/>
  <c r="IDI6" i="67"/>
  <c r="IDH6" i="67"/>
  <c r="IDG6" i="67"/>
  <c r="IDF6" i="67"/>
  <c r="IDE6" i="67"/>
  <c r="IDD6" i="67"/>
  <c r="IDC6" i="67"/>
  <c r="IDB6" i="67"/>
  <c r="IDA6" i="67"/>
  <c r="ICZ6" i="67"/>
  <c r="ICY6" i="67"/>
  <c r="ICX6" i="67"/>
  <c r="ICW6" i="67"/>
  <c r="ICV6" i="67"/>
  <c r="ICU6" i="67"/>
  <c r="ICT6" i="67"/>
  <c r="ICS6" i="67"/>
  <c r="ICR6" i="67"/>
  <c r="ICQ6" i="67"/>
  <c r="ICP6" i="67"/>
  <c r="ICO6" i="67"/>
  <c r="ICN6" i="67"/>
  <c r="ICM6" i="67"/>
  <c r="ICL6" i="67"/>
  <c r="ICK6" i="67"/>
  <c r="ICJ6" i="67"/>
  <c r="ICI6" i="67"/>
  <c r="ICH6" i="67"/>
  <c r="ICG6" i="67"/>
  <c r="ICF6" i="67"/>
  <c r="ICE6" i="67"/>
  <c r="ICD6" i="67"/>
  <c r="ICC6" i="67"/>
  <c r="ICB6" i="67"/>
  <c r="ICA6" i="67"/>
  <c r="IBZ6" i="67"/>
  <c r="IBY6" i="67"/>
  <c r="IBX6" i="67"/>
  <c r="IBW6" i="67"/>
  <c r="IBV6" i="67"/>
  <c r="IBU6" i="67"/>
  <c r="IBT6" i="67"/>
  <c r="IBS6" i="67"/>
  <c r="IBR6" i="67"/>
  <c r="IBQ6" i="67"/>
  <c r="IBP6" i="67"/>
  <c r="IBO6" i="67"/>
  <c r="IBN6" i="67"/>
  <c r="IBM6" i="67"/>
  <c r="IBL6" i="67"/>
  <c r="IBK6" i="67"/>
  <c r="IBJ6" i="67"/>
  <c r="IBI6" i="67"/>
  <c r="IBH6" i="67"/>
  <c r="IBG6" i="67"/>
  <c r="IBF6" i="67"/>
  <c r="IBE6" i="67"/>
  <c r="IBD6" i="67"/>
  <c r="IBC6" i="67"/>
  <c r="IBB6" i="67"/>
  <c r="IBA6" i="67"/>
  <c r="IAZ6" i="67"/>
  <c r="IAY6" i="67"/>
  <c r="IAX6" i="67"/>
  <c r="IAW6" i="67"/>
  <c r="IAV6" i="67"/>
  <c r="IAU6" i="67"/>
  <c r="IAT6" i="67"/>
  <c r="IAS6" i="67"/>
  <c r="IAR6" i="67"/>
  <c r="IAQ6" i="67"/>
  <c r="IAP6" i="67"/>
  <c r="IAO6" i="67"/>
  <c r="IAN6" i="67"/>
  <c r="IAM6" i="67"/>
  <c r="IAL6" i="67"/>
  <c r="IAK6" i="67"/>
  <c r="IAJ6" i="67"/>
  <c r="IAI6" i="67"/>
  <c r="IAH6" i="67"/>
  <c r="IAG6" i="67"/>
  <c r="IAF6" i="67"/>
  <c r="IAE6" i="67"/>
  <c r="IAD6" i="67"/>
  <c r="IAC6" i="67"/>
  <c r="IAB6" i="67"/>
  <c r="IAA6" i="67"/>
  <c r="HZZ6" i="67"/>
  <c r="HZY6" i="67"/>
  <c r="HZX6" i="67"/>
  <c r="HZW6" i="67"/>
  <c r="HZV6" i="67"/>
  <c r="HZU6" i="67"/>
  <c r="HZT6" i="67"/>
  <c r="HZS6" i="67"/>
  <c r="HZR6" i="67"/>
  <c r="HZQ6" i="67"/>
  <c r="HZP6" i="67"/>
  <c r="HZO6" i="67"/>
  <c r="HZN6" i="67"/>
  <c r="HZM6" i="67"/>
  <c r="HZL6" i="67"/>
  <c r="HZK6" i="67"/>
  <c r="HZJ6" i="67"/>
  <c r="HZI6" i="67"/>
  <c r="HZH6" i="67"/>
  <c r="HZG6" i="67"/>
  <c r="HZF6" i="67"/>
  <c r="HZE6" i="67"/>
  <c r="HZD6" i="67"/>
  <c r="HZC6" i="67"/>
  <c r="HZB6" i="67"/>
  <c r="HZA6" i="67"/>
  <c r="HYZ6" i="67"/>
  <c r="HYY6" i="67"/>
  <c r="HYX6" i="67"/>
  <c r="HYW6" i="67"/>
  <c r="HYV6" i="67"/>
  <c r="HYU6" i="67"/>
  <c r="HYT6" i="67"/>
  <c r="HYS6" i="67"/>
  <c r="HYR6" i="67"/>
  <c r="HYQ6" i="67"/>
  <c r="HYP6" i="67"/>
  <c r="HYO6" i="67"/>
  <c r="HYN6" i="67"/>
  <c r="HYM6" i="67"/>
  <c r="HYL6" i="67"/>
  <c r="HYK6" i="67"/>
  <c r="HYJ6" i="67"/>
  <c r="HYI6" i="67"/>
  <c r="HYH6" i="67"/>
  <c r="HYG6" i="67"/>
  <c r="HYF6" i="67"/>
  <c r="HYE6" i="67"/>
  <c r="HYD6" i="67"/>
  <c r="HYC6" i="67"/>
  <c r="HYB6" i="67"/>
  <c r="HYA6" i="67"/>
  <c r="HXZ6" i="67"/>
  <c r="HXY6" i="67"/>
  <c r="HXX6" i="67"/>
  <c r="HXW6" i="67"/>
  <c r="HXV6" i="67"/>
  <c r="HXU6" i="67"/>
  <c r="HXT6" i="67"/>
  <c r="HXS6" i="67"/>
  <c r="HXR6" i="67"/>
  <c r="HXQ6" i="67"/>
  <c r="HXP6" i="67"/>
  <c r="HXO6" i="67"/>
  <c r="HXN6" i="67"/>
  <c r="HXM6" i="67"/>
  <c r="HXL6" i="67"/>
  <c r="HXK6" i="67"/>
  <c r="HXJ6" i="67"/>
  <c r="HXI6" i="67"/>
  <c r="HXH6" i="67"/>
  <c r="HXG6" i="67"/>
  <c r="HXF6" i="67"/>
  <c r="HXE6" i="67"/>
  <c r="HXD6" i="67"/>
  <c r="HXC6" i="67"/>
  <c r="HXB6" i="67"/>
  <c r="HXA6" i="67"/>
  <c r="HWZ6" i="67"/>
  <c r="HWY6" i="67"/>
  <c r="HWX6" i="67"/>
  <c r="HWW6" i="67"/>
  <c r="HWV6" i="67"/>
  <c r="HWU6" i="67"/>
  <c r="HWT6" i="67"/>
  <c r="HWS6" i="67"/>
  <c r="HWR6" i="67"/>
  <c r="HWQ6" i="67"/>
  <c r="HWP6" i="67"/>
  <c r="HWO6" i="67"/>
  <c r="HWN6" i="67"/>
  <c r="HWM6" i="67"/>
  <c r="HWL6" i="67"/>
  <c r="HWK6" i="67"/>
  <c r="HWJ6" i="67"/>
  <c r="HWI6" i="67"/>
  <c r="HWH6" i="67"/>
  <c r="HWG6" i="67"/>
  <c r="HWF6" i="67"/>
  <c r="HWE6" i="67"/>
  <c r="HWD6" i="67"/>
  <c r="HWC6" i="67"/>
  <c r="HWB6" i="67"/>
  <c r="HWA6" i="67"/>
  <c r="HVZ6" i="67"/>
  <c r="HVY6" i="67"/>
  <c r="HVX6" i="67"/>
  <c r="HVW6" i="67"/>
  <c r="HVV6" i="67"/>
  <c r="HVU6" i="67"/>
  <c r="HVT6" i="67"/>
  <c r="HVS6" i="67"/>
  <c r="HVR6" i="67"/>
  <c r="HVQ6" i="67"/>
  <c r="HVP6" i="67"/>
  <c r="HVO6" i="67"/>
  <c r="HVN6" i="67"/>
  <c r="HVM6" i="67"/>
  <c r="HVL6" i="67"/>
  <c r="HVK6" i="67"/>
  <c r="HVJ6" i="67"/>
  <c r="HVI6" i="67"/>
  <c r="HVH6" i="67"/>
  <c r="HVG6" i="67"/>
  <c r="HVF6" i="67"/>
  <c r="HVE6" i="67"/>
  <c r="HVD6" i="67"/>
  <c r="HVC6" i="67"/>
  <c r="HVB6" i="67"/>
  <c r="HVA6" i="67"/>
  <c r="HUZ6" i="67"/>
  <c r="HUY6" i="67"/>
  <c r="HUX6" i="67"/>
  <c r="HUW6" i="67"/>
  <c r="HUV6" i="67"/>
  <c r="HUU6" i="67"/>
  <c r="HUT6" i="67"/>
  <c r="HUS6" i="67"/>
  <c r="HUR6" i="67"/>
  <c r="HUQ6" i="67"/>
  <c r="HUP6" i="67"/>
  <c r="HUO6" i="67"/>
  <c r="HUN6" i="67"/>
  <c r="HUM6" i="67"/>
  <c r="HUL6" i="67"/>
  <c r="HUK6" i="67"/>
  <c r="HUJ6" i="67"/>
  <c r="HUI6" i="67"/>
  <c r="HUH6" i="67"/>
  <c r="HUG6" i="67"/>
  <c r="HUF6" i="67"/>
  <c r="HUE6" i="67"/>
  <c r="HUD6" i="67"/>
  <c r="HUC6" i="67"/>
  <c r="HUB6" i="67"/>
  <c r="HUA6" i="67"/>
  <c r="HTZ6" i="67"/>
  <c r="HTY6" i="67"/>
  <c r="HTX6" i="67"/>
  <c r="HTW6" i="67"/>
  <c r="HTV6" i="67"/>
  <c r="HTU6" i="67"/>
  <c r="HTT6" i="67"/>
  <c r="HTS6" i="67"/>
  <c r="HTR6" i="67"/>
  <c r="HTQ6" i="67"/>
  <c r="HTP6" i="67"/>
  <c r="HTO6" i="67"/>
  <c r="HTN6" i="67"/>
  <c r="HTM6" i="67"/>
  <c r="HTL6" i="67"/>
  <c r="HTK6" i="67"/>
  <c r="HTJ6" i="67"/>
  <c r="HTI6" i="67"/>
  <c r="HTH6" i="67"/>
  <c r="HTG6" i="67"/>
  <c r="HTF6" i="67"/>
  <c r="HTE6" i="67"/>
  <c r="HTD6" i="67"/>
  <c r="HTC6" i="67"/>
  <c r="HTB6" i="67"/>
  <c r="HTA6" i="67"/>
  <c r="HSZ6" i="67"/>
  <c r="HSY6" i="67"/>
  <c r="HSX6" i="67"/>
  <c r="HSW6" i="67"/>
  <c r="HSV6" i="67"/>
  <c r="HSU6" i="67"/>
  <c r="HST6" i="67"/>
  <c r="HSS6" i="67"/>
  <c r="HSR6" i="67"/>
  <c r="HSQ6" i="67"/>
  <c r="HSP6" i="67"/>
  <c r="HSO6" i="67"/>
  <c r="HSN6" i="67"/>
  <c r="HSM6" i="67"/>
  <c r="HSL6" i="67"/>
  <c r="HSK6" i="67"/>
  <c r="HSJ6" i="67"/>
  <c r="HSI6" i="67"/>
  <c r="HSH6" i="67"/>
  <c r="HSG6" i="67"/>
  <c r="HSF6" i="67"/>
  <c r="HSE6" i="67"/>
  <c r="HSD6" i="67"/>
  <c r="HSC6" i="67"/>
  <c r="HSB6" i="67"/>
  <c r="HSA6" i="67"/>
  <c r="HRZ6" i="67"/>
  <c r="HRY6" i="67"/>
  <c r="HRX6" i="67"/>
  <c r="HRW6" i="67"/>
  <c r="HRV6" i="67"/>
  <c r="HRU6" i="67"/>
  <c r="HRT6" i="67"/>
  <c r="HRS6" i="67"/>
  <c r="HRR6" i="67"/>
  <c r="HRQ6" i="67"/>
  <c r="HRP6" i="67"/>
  <c r="HRO6" i="67"/>
  <c r="HRN6" i="67"/>
  <c r="HRM6" i="67"/>
  <c r="HRL6" i="67"/>
  <c r="HRK6" i="67"/>
  <c r="HRJ6" i="67"/>
  <c r="HRI6" i="67"/>
  <c r="HRH6" i="67"/>
  <c r="HRG6" i="67"/>
  <c r="HRF6" i="67"/>
  <c r="HRE6" i="67"/>
  <c r="HRD6" i="67"/>
  <c r="HRC6" i="67"/>
  <c r="HRB6" i="67"/>
  <c r="HRA6" i="67"/>
  <c r="HQZ6" i="67"/>
  <c r="HQY6" i="67"/>
  <c r="HQX6" i="67"/>
  <c r="HQW6" i="67"/>
  <c r="HQV6" i="67"/>
  <c r="HQU6" i="67"/>
  <c r="HQT6" i="67"/>
  <c r="HQS6" i="67"/>
  <c r="HQR6" i="67"/>
  <c r="HQQ6" i="67"/>
  <c r="HQP6" i="67"/>
  <c r="HQO6" i="67"/>
  <c r="HQN6" i="67"/>
  <c r="HQM6" i="67"/>
  <c r="HQL6" i="67"/>
  <c r="HQK6" i="67"/>
  <c r="HQJ6" i="67"/>
  <c r="HQI6" i="67"/>
  <c r="HQH6" i="67"/>
  <c r="HQG6" i="67"/>
  <c r="HQF6" i="67"/>
  <c r="HQE6" i="67"/>
  <c r="HQD6" i="67"/>
  <c r="HQC6" i="67"/>
  <c r="HQB6" i="67"/>
  <c r="HQA6" i="67"/>
  <c r="HPZ6" i="67"/>
  <c r="HPY6" i="67"/>
  <c r="HPX6" i="67"/>
  <c r="HPW6" i="67"/>
  <c r="HPV6" i="67"/>
  <c r="HPU6" i="67"/>
  <c r="HPT6" i="67"/>
  <c r="HPS6" i="67"/>
  <c r="HPR6" i="67"/>
  <c r="HPQ6" i="67"/>
  <c r="HPP6" i="67"/>
  <c r="HPO6" i="67"/>
  <c r="HPN6" i="67"/>
  <c r="HPM6" i="67"/>
  <c r="HPL6" i="67"/>
  <c r="HPK6" i="67"/>
  <c r="HPJ6" i="67"/>
  <c r="HPI6" i="67"/>
  <c r="HPH6" i="67"/>
  <c r="HPG6" i="67"/>
  <c r="HPF6" i="67"/>
  <c r="HPE6" i="67"/>
  <c r="HPD6" i="67"/>
  <c r="HPC6" i="67"/>
  <c r="HPB6" i="67"/>
  <c r="HPA6" i="67"/>
  <c r="HOZ6" i="67"/>
  <c r="HOY6" i="67"/>
  <c r="HOX6" i="67"/>
  <c r="HOW6" i="67"/>
  <c r="HOV6" i="67"/>
  <c r="HOU6" i="67"/>
  <c r="HOT6" i="67"/>
  <c r="HOS6" i="67"/>
  <c r="HOR6" i="67"/>
  <c r="HOQ6" i="67"/>
  <c r="HOP6" i="67"/>
  <c r="HOO6" i="67"/>
  <c r="HON6" i="67"/>
  <c r="HOM6" i="67"/>
  <c r="HOL6" i="67"/>
  <c r="HOK6" i="67"/>
  <c r="HOJ6" i="67"/>
  <c r="HOI6" i="67"/>
  <c r="HOH6" i="67"/>
  <c r="HOG6" i="67"/>
  <c r="HOF6" i="67"/>
  <c r="HOE6" i="67"/>
  <c r="HOD6" i="67"/>
  <c r="HOC6" i="67"/>
  <c r="HOB6" i="67"/>
  <c r="HOA6" i="67"/>
  <c r="HNZ6" i="67"/>
  <c r="HNY6" i="67"/>
  <c r="HNX6" i="67"/>
  <c r="HNW6" i="67"/>
  <c r="HNV6" i="67"/>
  <c r="HNU6" i="67"/>
  <c r="HNT6" i="67"/>
  <c r="HNS6" i="67"/>
  <c r="HNR6" i="67"/>
  <c r="HNQ6" i="67"/>
  <c r="HNP6" i="67"/>
  <c r="HNO6" i="67"/>
  <c r="HNN6" i="67"/>
  <c r="HNM6" i="67"/>
  <c r="HNL6" i="67"/>
  <c r="HNK6" i="67"/>
  <c r="HNJ6" i="67"/>
  <c r="HNI6" i="67"/>
  <c r="HNH6" i="67"/>
  <c r="HNG6" i="67"/>
  <c r="HNF6" i="67"/>
  <c r="HNE6" i="67"/>
  <c r="HND6" i="67"/>
  <c r="HNC6" i="67"/>
  <c r="HNB6" i="67"/>
  <c r="HNA6" i="67"/>
  <c r="HMZ6" i="67"/>
  <c r="HMY6" i="67"/>
  <c r="HMX6" i="67"/>
  <c r="HMW6" i="67"/>
  <c r="HMV6" i="67"/>
  <c r="HMU6" i="67"/>
  <c r="HMT6" i="67"/>
  <c r="HMS6" i="67"/>
  <c r="HMR6" i="67"/>
  <c r="HMQ6" i="67"/>
  <c r="HMP6" i="67"/>
  <c r="HMO6" i="67"/>
  <c r="HMN6" i="67"/>
  <c r="HMM6" i="67"/>
  <c r="HML6" i="67"/>
  <c r="HMK6" i="67"/>
  <c r="HMJ6" i="67"/>
  <c r="HMI6" i="67"/>
  <c r="HMH6" i="67"/>
  <c r="HMG6" i="67"/>
  <c r="HMF6" i="67"/>
  <c r="HME6" i="67"/>
  <c r="HMD6" i="67"/>
  <c r="HMC6" i="67"/>
  <c r="HMB6" i="67"/>
  <c r="HMA6" i="67"/>
  <c r="HLZ6" i="67"/>
  <c r="HLY6" i="67"/>
  <c r="HLX6" i="67"/>
  <c r="HLW6" i="67"/>
  <c r="HLV6" i="67"/>
  <c r="HLU6" i="67"/>
  <c r="HLT6" i="67"/>
  <c r="HLS6" i="67"/>
  <c r="HLR6" i="67"/>
  <c r="HLQ6" i="67"/>
  <c r="HLP6" i="67"/>
  <c r="HLO6" i="67"/>
  <c r="HLN6" i="67"/>
  <c r="HLM6" i="67"/>
  <c r="HLL6" i="67"/>
  <c r="HLK6" i="67"/>
  <c r="HLJ6" i="67"/>
  <c r="HLI6" i="67"/>
  <c r="HLH6" i="67"/>
  <c r="HLG6" i="67"/>
  <c r="HLF6" i="67"/>
  <c r="HLE6" i="67"/>
  <c r="HLD6" i="67"/>
  <c r="HLC6" i="67"/>
  <c r="HLB6" i="67"/>
  <c r="HLA6" i="67"/>
  <c r="HKZ6" i="67"/>
  <c r="HKY6" i="67"/>
  <c r="HKX6" i="67"/>
  <c r="HKW6" i="67"/>
  <c r="HKV6" i="67"/>
  <c r="HKU6" i="67"/>
  <c r="HKT6" i="67"/>
  <c r="HKS6" i="67"/>
  <c r="HKR6" i="67"/>
  <c r="HKQ6" i="67"/>
  <c r="HKP6" i="67"/>
  <c r="HKO6" i="67"/>
  <c r="HKN6" i="67"/>
  <c r="HKM6" i="67"/>
  <c r="HKL6" i="67"/>
  <c r="HKK6" i="67"/>
  <c r="HKJ6" i="67"/>
  <c r="HKI6" i="67"/>
  <c r="HKH6" i="67"/>
  <c r="HKG6" i="67"/>
  <c r="HKF6" i="67"/>
  <c r="HKE6" i="67"/>
  <c r="HKD6" i="67"/>
  <c r="HKC6" i="67"/>
  <c r="HKB6" i="67"/>
  <c r="HKA6" i="67"/>
  <c r="HJZ6" i="67"/>
  <c r="HJY6" i="67"/>
  <c r="HJX6" i="67"/>
  <c r="HJW6" i="67"/>
  <c r="HJV6" i="67"/>
  <c r="HJU6" i="67"/>
  <c r="HJT6" i="67"/>
  <c r="HJS6" i="67"/>
  <c r="HJR6" i="67"/>
  <c r="HJQ6" i="67"/>
  <c r="HJP6" i="67"/>
  <c r="HJO6" i="67"/>
  <c r="HJN6" i="67"/>
  <c r="HJM6" i="67"/>
  <c r="HJL6" i="67"/>
  <c r="HJK6" i="67"/>
  <c r="HJJ6" i="67"/>
  <c r="HJI6" i="67"/>
  <c r="HJH6" i="67"/>
  <c r="HJG6" i="67"/>
  <c r="HJF6" i="67"/>
  <c r="HJE6" i="67"/>
  <c r="HJD6" i="67"/>
  <c r="HJC6" i="67"/>
  <c r="HJB6" i="67"/>
  <c r="HJA6" i="67"/>
  <c r="HIZ6" i="67"/>
  <c r="HIY6" i="67"/>
  <c r="HIX6" i="67"/>
  <c r="HIW6" i="67"/>
  <c r="HIV6" i="67"/>
  <c r="HIU6" i="67"/>
  <c r="HIT6" i="67"/>
  <c r="HIS6" i="67"/>
  <c r="HIR6" i="67"/>
  <c r="HIQ6" i="67"/>
  <c r="HIP6" i="67"/>
  <c r="HIO6" i="67"/>
  <c r="HIN6" i="67"/>
  <c r="HIM6" i="67"/>
  <c r="HIL6" i="67"/>
  <c r="HIK6" i="67"/>
  <c r="HIJ6" i="67"/>
  <c r="HII6" i="67"/>
  <c r="HIH6" i="67"/>
  <c r="HIG6" i="67"/>
  <c r="HIF6" i="67"/>
  <c r="HIE6" i="67"/>
  <c r="HID6" i="67"/>
  <c r="HIC6" i="67"/>
  <c r="HIB6" i="67"/>
  <c r="HIA6" i="67"/>
  <c r="HHZ6" i="67"/>
  <c r="HHY6" i="67"/>
  <c r="HHX6" i="67"/>
  <c r="HHW6" i="67"/>
  <c r="HHV6" i="67"/>
  <c r="HHU6" i="67"/>
  <c r="HHT6" i="67"/>
  <c r="HHS6" i="67"/>
  <c r="HHR6" i="67"/>
  <c r="HHQ6" i="67"/>
  <c r="HHP6" i="67"/>
  <c r="HHO6" i="67"/>
  <c r="HHN6" i="67"/>
  <c r="HHM6" i="67"/>
  <c r="HHL6" i="67"/>
  <c r="HHK6" i="67"/>
  <c r="HHJ6" i="67"/>
  <c r="HHI6" i="67"/>
  <c r="HHH6" i="67"/>
  <c r="HHG6" i="67"/>
  <c r="HHF6" i="67"/>
  <c r="HHE6" i="67"/>
  <c r="HHD6" i="67"/>
  <c r="HHC6" i="67"/>
  <c r="HHB6" i="67"/>
  <c r="HHA6" i="67"/>
  <c r="HGZ6" i="67"/>
  <c r="HGY6" i="67"/>
  <c r="HGX6" i="67"/>
  <c r="HGW6" i="67"/>
  <c r="HGV6" i="67"/>
  <c r="HGU6" i="67"/>
  <c r="HGT6" i="67"/>
  <c r="HGS6" i="67"/>
  <c r="HGR6" i="67"/>
  <c r="HGQ6" i="67"/>
  <c r="HGP6" i="67"/>
  <c r="HGO6" i="67"/>
  <c r="HGN6" i="67"/>
  <c r="HGM6" i="67"/>
  <c r="HGL6" i="67"/>
  <c r="HGK6" i="67"/>
  <c r="HGJ6" i="67"/>
  <c r="HGI6" i="67"/>
  <c r="HGH6" i="67"/>
  <c r="HGG6" i="67"/>
  <c r="HGF6" i="67"/>
  <c r="HGE6" i="67"/>
  <c r="HGD6" i="67"/>
  <c r="HGC6" i="67"/>
  <c r="HGB6" i="67"/>
  <c r="HGA6" i="67"/>
  <c r="HFZ6" i="67"/>
  <c r="HFY6" i="67"/>
  <c r="HFX6" i="67"/>
  <c r="HFW6" i="67"/>
  <c r="HFV6" i="67"/>
  <c r="HFU6" i="67"/>
  <c r="HFT6" i="67"/>
  <c r="HFS6" i="67"/>
  <c r="HFR6" i="67"/>
  <c r="HFQ6" i="67"/>
  <c r="HFP6" i="67"/>
  <c r="HFO6" i="67"/>
  <c r="HFN6" i="67"/>
  <c r="HFM6" i="67"/>
  <c r="HFL6" i="67"/>
  <c r="HFK6" i="67"/>
  <c r="HFJ6" i="67"/>
  <c r="HFI6" i="67"/>
  <c r="HFH6" i="67"/>
  <c r="HFG6" i="67"/>
  <c r="HFF6" i="67"/>
  <c r="HFE6" i="67"/>
  <c r="HFD6" i="67"/>
  <c r="HFC6" i="67"/>
  <c r="HFB6" i="67"/>
  <c r="HFA6" i="67"/>
  <c r="HEZ6" i="67"/>
  <c r="HEY6" i="67"/>
  <c r="HEX6" i="67"/>
  <c r="HEW6" i="67"/>
  <c r="HEV6" i="67"/>
  <c r="HEU6" i="67"/>
  <c r="HET6" i="67"/>
  <c r="HES6" i="67"/>
  <c r="HER6" i="67"/>
  <c r="HEQ6" i="67"/>
  <c r="HEP6" i="67"/>
  <c r="HEO6" i="67"/>
  <c r="HEN6" i="67"/>
  <c r="HEM6" i="67"/>
  <c r="HEL6" i="67"/>
  <c r="HEK6" i="67"/>
  <c r="HEJ6" i="67"/>
  <c r="HEI6" i="67"/>
  <c r="HEH6" i="67"/>
  <c r="HEG6" i="67"/>
  <c r="HEF6" i="67"/>
  <c r="HEE6" i="67"/>
  <c r="HED6" i="67"/>
  <c r="HEC6" i="67"/>
  <c r="HEB6" i="67"/>
  <c r="HEA6" i="67"/>
  <c r="HDZ6" i="67"/>
  <c r="HDY6" i="67"/>
  <c r="HDX6" i="67"/>
  <c r="HDW6" i="67"/>
  <c r="HDV6" i="67"/>
  <c r="HDU6" i="67"/>
  <c r="HDT6" i="67"/>
  <c r="HDS6" i="67"/>
  <c r="HDR6" i="67"/>
  <c r="HDQ6" i="67"/>
  <c r="HDP6" i="67"/>
  <c r="HDO6" i="67"/>
  <c r="HDN6" i="67"/>
  <c r="HDM6" i="67"/>
  <c r="HDL6" i="67"/>
  <c r="HDK6" i="67"/>
  <c r="HDJ6" i="67"/>
  <c r="HDI6" i="67"/>
  <c r="HDH6" i="67"/>
  <c r="HDG6" i="67"/>
  <c r="HDF6" i="67"/>
  <c r="HDE6" i="67"/>
  <c r="HDD6" i="67"/>
  <c r="HDC6" i="67"/>
  <c r="HDB6" i="67"/>
  <c r="HDA6" i="67"/>
  <c r="HCZ6" i="67"/>
  <c r="HCY6" i="67"/>
  <c r="HCX6" i="67"/>
  <c r="HCW6" i="67"/>
  <c r="HCV6" i="67"/>
  <c r="HCU6" i="67"/>
  <c r="HCT6" i="67"/>
  <c r="HCS6" i="67"/>
  <c r="HCR6" i="67"/>
  <c r="HCQ6" i="67"/>
  <c r="HCP6" i="67"/>
  <c r="HCO6" i="67"/>
  <c r="HCN6" i="67"/>
  <c r="HCM6" i="67"/>
  <c r="HCL6" i="67"/>
  <c r="HCK6" i="67"/>
  <c r="HCJ6" i="67"/>
  <c r="HCI6" i="67"/>
  <c r="HCH6" i="67"/>
  <c r="HCG6" i="67"/>
  <c r="HCF6" i="67"/>
  <c r="HCE6" i="67"/>
  <c r="HCD6" i="67"/>
  <c r="HCC6" i="67"/>
  <c r="HCB6" i="67"/>
  <c r="HCA6" i="67"/>
  <c r="HBZ6" i="67"/>
  <c r="HBY6" i="67"/>
  <c r="HBX6" i="67"/>
  <c r="HBW6" i="67"/>
  <c r="HBV6" i="67"/>
  <c r="HBU6" i="67"/>
  <c r="HBT6" i="67"/>
  <c r="HBS6" i="67"/>
  <c r="HBR6" i="67"/>
  <c r="HBQ6" i="67"/>
  <c r="HBP6" i="67"/>
  <c r="HBO6" i="67"/>
  <c r="HBN6" i="67"/>
  <c r="HBM6" i="67"/>
  <c r="HBL6" i="67"/>
  <c r="HBK6" i="67"/>
  <c r="HBJ6" i="67"/>
  <c r="HBI6" i="67"/>
  <c r="HBH6" i="67"/>
  <c r="HBG6" i="67"/>
  <c r="HBF6" i="67"/>
  <c r="HBE6" i="67"/>
  <c r="HBD6" i="67"/>
  <c r="HBC6" i="67"/>
  <c r="HBB6" i="67"/>
  <c r="HBA6" i="67"/>
  <c r="HAZ6" i="67"/>
  <c r="HAY6" i="67"/>
  <c r="HAX6" i="67"/>
  <c r="HAW6" i="67"/>
  <c r="HAV6" i="67"/>
  <c r="HAU6" i="67"/>
  <c r="HAT6" i="67"/>
  <c r="HAS6" i="67"/>
  <c r="HAR6" i="67"/>
  <c r="HAQ6" i="67"/>
  <c r="HAP6" i="67"/>
  <c r="HAO6" i="67"/>
  <c r="HAN6" i="67"/>
  <c r="HAM6" i="67"/>
  <c r="HAL6" i="67"/>
  <c r="HAK6" i="67"/>
  <c r="HAJ6" i="67"/>
  <c r="HAI6" i="67"/>
  <c r="HAH6" i="67"/>
  <c r="HAG6" i="67"/>
  <c r="HAF6" i="67"/>
  <c r="HAE6" i="67"/>
  <c r="HAD6" i="67"/>
  <c r="HAC6" i="67"/>
  <c r="HAB6" i="67"/>
  <c r="HAA6" i="67"/>
  <c r="GZZ6" i="67"/>
  <c r="GZY6" i="67"/>
  <c r="GZX6" i="67"/>
  <c r="GZW6" i="67"/>
  <c r="GZV6" i="67"/>
  <c r="GZU6" i="67"/>
  <c r="GZT6" i="67"/>
  <c r="GZS6" i="67"/>
  <c r="GZR6" i="67"/>
  <c r="GZQ6" i="67"/>
  <c r="GZP6" i="67"/>
  <c r="GZO6" i="67"/>
  <c r="GZN6" i="67"/>
  <c r="GZM6" i="67"/>
  <c r="GZL6" i="67"/>
  <c r="GZK6" i="67"/>
  <c r="GZJ6" i="67"/>
  <c r="GZI6" i="67"/>
  <c r="GZH6" i="67"/>
  <c r="GZG6" i="67"/>
  <c r="GZF6" i="67"/>
  <c r="GZE6" i="67"/>
  <c r="GZD6" i="67"/>
  <c r="GZC6" i="67"/>
  <c r="GZB6" i="67"/>
  <c r="GZA6" i="67"/>
  <c r="GYZ6" i="67"/>
  <c r="GYY6" i="67"/>
  <c r="GYX6" i="67"/>
  <c r="GYW6" i="67"/>
  <c r="GYV6" i="67"/>
  <c r="GYU6" i="67"/>
  <c r="GYT6" i="67"/>
  <c r="GYS6" i="67"/>
  <c r="GYR6" i="67"/>
  <c r="GYQ6" i="67"/>
  <c r="GYP6" i="67"/>
  <c r="GYO6" i="67"/>
  <c r="GYN6" i="67"/>
  <c r="GYM6" i="67"/>
  <c r="GYL6" i="67"/>
  <c r="GYK6" i="67"/>
  <c r="GYJ6" i="67"/>
  <c r="GYI6" i="67"/>
  <c r="GYH6" i="67"/>
  <c r="GYG6" i="67"/>
  <c r="GYF6" i="67"/>
  <c r="GYE6" i="67"/>
  <c r="GYD6" i="67"/>
  <c r="GYC6" i="67"/>
  <c r="GYB6" i="67"/>
  <c r="GYA6" i="67"/>
  <c r="GXZ6" i="67"/>
  <c r="GXY6" i="67"/>
  <c r="GXX6" i="67"/>
  <c r="GXW6" i="67"/>
  <c r="GXV6" i="67"/>
  <c r="GXU6" i="67"/>
  <c r="GXT6" i="67"/>
  <c r="GXS6" i="67"/>
  <c r="GXR6" i="67"/>
  <c r="GXQ6" i="67"/>
  <c r="GXP6" i="67"/>
  <c r="GXO6" i="67"/>
  <c r="GXN6" i="67"/>
  <c r="GXM6" i="67"/>
  <c r="GXL6" i="67"/>
  <c r="GXK6" i="67"/>
  <c r="GXJ6" i="67"/>
  <c r="GXI6" i="67"/>
  <c r="GXH6" i="67"/>
  <c r="GXG6" i="67"/>
  <c r="GXF6" i="67"/>
  <c r="GXE6" i="67"/>
  <c r="GXD6" i="67"/>
  <c r="GXC6" i="67"/>
  <c r="GXB6" i="67"/>
  <c r="GXA6" i="67"/>
  <c r="GWZ6" i="67"/>
  <c r="GWY6" i="67"/>
  <c r="GWX6" i="67"/>
  <c r="GWW6" i="67"/>
  <c r="GWV6" i="67"/>
  <c r="GWU6" i="67"/>
  <c r="GWT6" i="67"/>
  <c r="GWS6" i="67"/>
  <c r="GWR6" i="67"/>
  <c r="GWQ6" i="67"/>
  <c r="GWP6" i="67"/>
  <c r="GWO6" i="67"/>
  <c r="GWN6" i="67"/>
  <c r="GWM6" i="67"/>
  <c r="GWL6" i="67"/>
  <c r="GWK6" i="67"/>
  <c r="GWJ6" i="67"/>
  <c r="GWI6" i="67"/>
  <c r="GWH6" i="67"/>
  <c r="GWG6" i="67"/>
  <c r="GWF6" i="67"/>
  <c r="GWE6" i="67"/>
  <c r="GWD6" i="67"/>
  <c r="GWC6" i="67"/>
  <c r="GWB6" i="67"/>
  <c r="GWA6" i="67"/>
  <c r="GVZ6" i="67"/>
  <c r="GVY6" i="67"/>
  <c r="GVX6" i="67"/>
  <c r="GVW6" i="67"/>
  <c r="GVV6" i="67"/>
  <c r="GVU6" i="67"/>
  <c r="GVT6" i="67"/>
  <c r="GVS6" i="67"/>
  <c r="GVR6" i="67"/>
  <c r="GVQ6" i="67"/>
  <c r="GVP6" i="67"/>
  <c r="GVO6" i="67"/>
  <c r="GVN6" i="67"/>
  <c r="GVM6" i="67"/>
  <c r="GVL6" i="67"/>
  <c r="GVK6" i="67"/>
  <c r="GVJ6" i="67"/>
  <c r="GVI6" i="67"/>
  <c r="GVH6" i="67"/>
  <c r="GVG6" i="67"/>
  <c r="GVF6" i="67"/>
  <c r="GVE6" i="67"/>
  <c r="GVD6" i="67"/>
  <c r="GVC6" i="67"/>
  <c r="GVB6" i="67"/>
  <c r="GVA6" i="67"/>
  <c r="GUZ6" i="67"/>
  <c r="GUY6" i="67"/>
  <c r="GUX6" i="67"/>
  <c r="GUW6" i="67"/>
  <c r="GUV6" i="67"/>
  <c r="GUU6" i="67"/>
  <c r="GUT6" i="67"/>
  <c r="GUS6" i="67"/>
  <c r="GUR6" i="67"/>
  <c r="GUQ6" i="67"/>
  <c r="GUP6" i="67"/>
  <c r="GUO6" i="67"/>
  <c r="GUN6" i="67"/>
  <c r="GUM6" i="67"/>
  <c r="GUL6" i="67"/>
  <c r="GUK6" i="67"/>
  <c r="GUJ6" i="67"/>
  <c r="GUI6" i="67"/>
  <c r="GUH6" i="67"/>
  <c r="GUG6" i="67"/>
  <c r="GUF6" i="67"/>
  <c r="GUE6" i="67"/>
  <c r="GUD6" i="67"/>
  <c r="GUC6" i="67"/>
  <c r="GUB6" i="67"/>
  <c r="GUA6" i="67"/>
  <c r="GTZ6" i="67"/>
  <c r="GTY6" i="67"/>
  <c r="GTX6" i="67"/>
  <c r="GTW6" i="67"/>
  <c r="GTV6" i="67"/>
  <c r="GTU6" i="67"/>
  <c r="GTT6" i="67"/>
  <c r="GTS6" i="67"/>
  <c r="GTR6" i="67"/>
  <c r="GTQ6" i="67"/>
  <c r="GTP6" i="67"/>
  <c r="GTO6" i="67"/>
  <c r="GTN6" i="67"/>
  <c r="GTM6" i="67"/>
  <c r="GTL6" i="67"/>
  <c r="GTK6" i="67"/>
  <c r="GTJ6" i="67"/>
  <c r="GTI6" i="67"/>
  <c r="GTH6" i="67"/>
  <c r="GTG6" i="67"/>
  <c r="GTF6" i="67"/>
  <c r="GTE6" i="67"/>
  <c r="GTD6" i="67"/>
  <c r="GTC6" i="67"/>
  <c r="GTB6" i="67"/>
  <c r="GTA6" i="67"/>
  <c r="GSZ6" i="67"/>
  <c r="GSY6" i="67"/>
  <c r="GSX6" i="67"/>
  <c r="GSW6" i="67"/>
  <c r="GSV6" i="67"/>
  <c r="GSU6" i="67"/>
  <c r="GST6" i="67"/>
  <c r="GSS6" i="67"/>
  <c r="GSR6" i="67"/>
  <c r="GSQ6" i="67"/>
  <c r="GSP6" i="67"/>
  <c r="GSO6" i="67"/>
  <c r="GSN6" i="67"/>
  <c r="GSM6" i="67"/>
  <c r="GSL6" i="67"/>
  <c r="GSK6" i="67"/>
  <c r="GSJ6" i="67"/>
  <c r="GSI6" i="67"/>
  <c r="GSH6" i="67"/>
  <c r="GSG6" i="67"/>
  <c r="GSF6" i="67"/>
  <c r="GSE6" i="67"/>
  <c r="GSD6" i="67"/>
  <c r="GSC6" i="67"/>
  <c r="GSB6" i="67"/>
  <c r="GSA6" i="67"/>
  <c r="GRZ6" i="67"/>
  <c r="GRY6" i="67"/>
  <c r="GRX6" i="67"/>
  <c r="GRW6" i="67"/>
  <c r="GRV6" i="67"/>
  <c r="GRU6" i="67"/>
  <c r="GRT6" i="67"/>
  <c r="GRS6" i="67"/>
  <c r="GRR6" i="67"/>
  <c r="GRQ6" i="67"/>
  <c r="GRP6" i="67"/>
  <c r="GRO6" i="67"/>
  <c r="GRN6" i="67"/>
  <c r="GRM6" i="67"/>
  <c r="GRL6" i="67"/>
  <c r="GRK6" i="67"/>
  <c r="GRJ6" i="67"/>
  <c r="GRI6" i="67"/>
  <c r="GRH6" i="67"/>
  <c r="GRG6" i="67"/>
  <c r="GRF6" i="67"/>
  <c r="GRE6" i="67"/>
  <c r="GRD6" i="67"/>
  <c r="GRC6" i="67"/>
  <c r="GRB6" i="67"/>
  <c r="GRA6" i="67"/>
  <c r="GQZ6" i="67"/>
  <c r="GQY6" i="67"/>
  <c r="GQX6" i="67"/>
  <c r="GQW6" i="67"/>
  <c r="GQV6" i="67"/>
  <c r="GQU6" i="67"/>
  <c r="GQT6" i="67"/>
  <c r="GQS6" i="67"/>
  <c r="GQR6" i="67"/>
  <c r="GQQ6" i="67"/>
  <c r="GQP6" i="67"/>
  <c r="GQO6" i="67"/>
  <c r="GQN6" i="67"/>
  <c r="GQM6" i="67"/>
  <c r="GQL6" i="67"/>
  <c r="GQK6" i="67"/>
  <c r="GQJ6" i="67"/>
  <c r="GQI6" i="67"/>
  <c r="GQH6" i="67"/>
  <c r="GQG6" i="67"/>
  <c r="GQF6" i="67"/>
  <c r="GQE6" i="67"/>
  <c r="GQD6" i="67"/>
  <c r="GQC6" i="67"/>
  <c r="GQB6" i="67"/>
  <c r="GQA6" i="67"/>
  <c r="GPZ6" i="67"/>
  <c r="GPY6" i="67"/>
  <c r="GPX6" i="67"/>
  <c r="GPW6" i="67"/>
  <c r="GPV6" i="67"/>
  <c r="GPU6" i="67"/>
  <c r="GPT6" i="67"/>
  <c r="GPS6" i="67"/>
  <c r="GPR6" i="67"/>
  <c r="GPQ6" i="67"/>
  <c r="GPP6" i="67"/>
  <c r="GPO6" i="67"/>
  <c r="GPN6" i="67"/>
  <c r="GPM6" i="67"/>
  <c r="GPL6" i="67"/>
  <c r="GPK6" i="67"/>
  <c r="GPJ6" i="67"/>
  <c r="GPI6" i="67"/>
  <c r="GPH6" i="67"/>
  <c r="GPG6" i="67"/>
  <c r="GPF6" i="67"/>
  <c r="GPE6" i="67"/>
  <c r="GPD6" i="67"/>
  <c r="GPC6" i="67"/>
  <c r="GPB6" i="67"/>
  <c r="GPA6" i="67"/>
  <c r="GOZ6" i="67"/>
  <c r="GOY6" i="67"/>
  <c r="GOX6" i="67"/>
  <c r="GOW6" i="67"/>
  <c r="GOV6" i="67"/>
  <c r="GOU6" i="67"/>
  <c r="GOT6" i="67"/>
  <c r="GOS6" i="67"/>
  <c r="GOR6" i="67"/>
  <c r="GOQ6" i="67"/>
  <c r="GOP6" i="67"/>
  <c r="GOO6" i="67"/>
  <c r="GON6" i="67"/>
  <c r="GOM6" i="67"/>
  <c r="GOL6" i="67"/>
  <c r="GOK6" i="67"/>
  <c r="GOJ6" i="67"/>
  <c r="GOI6" i="67"/>
  <c r="GOH6" i="67"/>
  <c r="GOG6" i="67"/>
  <c r="GOF6" i="67"/>
  <c r="GOE6" i="67"/>
  <c r="GOD6" i="67"/>
  <c r="GOC6" i="67"/>
  <c r="GOB6" i="67"/>
  <c r="GOA6" i="67"/>
  <c r="GNZ6" i="67"/>
  <c r="GNY6" i="67"/>
  <c r="GNX6" i="67"/>
  <c r="GNW6" i="67"/>
  <c r="GNV6" i="67"/>
  <c r="GNU6" i="67"/>
  <c r="GNT6" i="67"/>
  <c r="GNS6" i="67"/>
  <c r="GNR6" i="67"/>
  <c r="GNQ6" i="67"/>
  <c r="GNP6" i="67"/>
  <c r="GNO6" i="67"/>
  <c r="GNN6" i="67"/>
  <c r="GNM6" i="67"/>
  <c r="GNL6" i="67"/>
  <c r="GNK6" i="67"/>
  <c r="GNJ6" i="67"/>
  <c r="GNI6" i="67"/>
  <c r="GNH6" i="67"/>
  <c r="GNG6" i="67"/>
  <c r="GNF6" i="67"/>
  <c r="GNE6" i="67"/>
  <c r="GND6" i="67"/>
  <c r="GNC6" i="67"/>
  <c r="GNB6" i="67"/>
  <c r="GNA6" i="67"/>
  <c r="GMZ6" i="67"/>
  <c r="GMY6" i="67"/>
  <c r="GMX6" i="67"/>
  <c r="GMW6" i="67"/>
  <c r="GMV6" i="67"/>
  <c r="GMU6" i="67"/>
  <c r="GMT6" i="67"/>
  <c r="GMS6" i="67"/>
  <c r="GMR6" i="67"/>
  <c r="GMQ6" i="67"/>
  <c r="GMP6" i="67"/>
  <c r="GMO6" i="67"/>
  <c r="GMN6" i="67"/>
  <c r="GMM6" i="67"/>
  <c r="GML6" i="67"/>
  <c r="GMK6" i="67"/>
  <c r="GMJ6" i="67"/>
  <c r="GMI6" i="67"/>
  <c r="GMH6" i="67"/>
  <c r="GMG6" i="67"/>
  <c r="GMF6" i="67"/>
  <c r="GME6" i="67"/>
  <c r="GMD6" i="67"/>
  <c r="GMC6" i="67"/>
  <c r="GMB6" i="67"/>
  <c r="GMA6" i="67"/>
  <c r="GLZ6" i="67"/>
  <c r="GLY6" i="67"/>
  <c r="GLX6" i="67"/>
  <c r="GLW6" i="67"/>
  <c r="GLV6" i="67"/>
  <c r="GLU6" i="67"/>
  <c r="GLT6" i="67"/>
  <c r="GLS6" i="67"/>
  <c r="GLR6" i="67"/>
  <c r="GLQ6" i="67"/>
  <c r="GLP6" i="67"/>
  <c r="GLO6" i="67"/>
  <c r="GLN6" i="67"/>
  <c r="GLM6" i="67"/>
  <c r="GLL6" i="67"/>
  <c r="GLK6" i="67"/>
  <c r="GLJ6" i="67"/>
  <c r="GLI6" i="67"/>
  <c r="GLH6" i="67"/>
  <c r="GLG6" i="67"/>
  <c r="GLF6" i="67"/>
  <c r="GLE6" i="67"/>
  <c r="GLD6" i="67"/>
  <c r="GLC6" i="67"/>
  <c r="GLB6" i="67"/>
  <c r="GLA6" i="67"/>
  <c r="GKZ6" i="67"/>
  <c r="GKY6" i="67"/>
  <c r="GKX6" i="67"/>
  <c r="GKW6" i="67"/>
  <c r="GKV6" i="67"/>
  <c r="GKU6" i="67"/>
  <c r="GKT6" i="67"/>
  <c r="GKS6" i="67"/>
  <c r="GKR6" i="67"/>
  <c r="GKQ6" i="67"/>
  <c r="GKP6" i="67"/>
  <c r="GKO6" i="67"/>
  <c r="GKN6" i="67"/>
  <c r="GKM6" i="67"/>
  <c r="GKL6" i="67"/>
  <c r="GKK6" i="67"/>
  <c r="GKJ6" i="67"/>
  <c r="GKI6" i="67"/>
  <c r="GKH6" i="67"/>
  <c r="GKG6" i="67"/>
  <c r="GKF6" i="67"/>
  <c r="GKE6" i="67"/>
  <c r="GKD6" i="67"/>
  <c r="GKC6" i="67"/>
  <c r="GKB6" i="67"/>
  <c r="GKA6" i="67"/>
  <c r="GJZ6" i="67"/>
  <c r="GJY6" i="67"/>
  <c r="GJX6" i="67"/>
  <c r="GJW6" i="67"/>
  <c r="GJV6" i="67"/>
  <c r="GJU6" i="67"/>
  <c r="GJT6" i="67"/>
  <c r="GJS6" i="67"/>
  <c r="GJR6" i="67"/>
  <c r="GJQ6" i="67"/>
  <c r="GJP6" i="67"/>
  <c r="GJO6" i="67"/>
  <c r="GJN6" i="67"/>
  <c r="GJM6" i="67"/>
  <c r="GJL6" i="67"/>
  <c r="GJK6" i="67"/>
  <c r="GJJ6" i="67"/>
  <c r="GJI6" i="67"/>
  <c r="GJH6" i="67"/>
  <c r="GJG6" i="67"/>
  <c r="GJF6" i="67"/>
  <c r="GJE6" i="67"/>
  <c r="GJD6" i="67"/>
  <c r="GJC6" i="67"/>
  <c r="GJB6" i="67"/>
  <c r="GJA6" i="67"/>
  <c r="GIZ6" i="67"/>
  <c r="GIY6" i="67"/>
  <c r="GIX6" i="67"/>
  <c r="GIW6" i="67"/>
  <c r="GIV6" i="67"/>
  <c r="GIU6" i="67"/>
  <c r="GIT6" i="67"/>
  <c r="GIS6" i="67"/>
  <c r="GIR6" i="67"/>
  <c r="GIQ6" i="67"/>
  <c r="GIP6" i="67"/>
  <c r="GIO6" i="67"/>
  <c r="GIN6" i="67"/>
  <c r="GIM6" i="67"/>
  <c r="GIL6" i="67"/>
  <c r="GIK6" i="67"/>
  <c r="GIJ6" i="67"/>
  <c r="GII6" i="67"/>
  <c r="GIH6" i="67"/>
  <c r="GIG6" i="67"/>
  <c r="GIF6" i="67"/>
  <c r="GIE6" i="67"/>
  <c r="GID6" i="67"/>
  <c r="GIC6" i="67"/>
  <c r="GIB6" i="67"/>
  <c r="GIA6" i="67"/>
  <c r="GHZ6" i="67"/>
  <c r="GHY6" i="67"/>
  <c r="GHX6" i="67"/>
  <c r="GHW6" i="67"/>
  <c r="GHV6" i="67"/>
  <c r="GHU6" i="67"/>
  <c r="GHT6" i="67"/>
  <c r="GHS6" i="67"/>
  <c r="GHR6" i="67"/>
  <c r="GHQ6" i="67"/>
  <c r="GHP6" i="67"/>
  <c r="GHO6" i="67"/>
  <c r="GHN6" i="67"/>
  <c r="GHM6" i="67"/>
  <c r="GHL6" i="67"/>
  <c r="GHK6" i="67"/>
  <c r="GHJ6" i="67"/>
  <c r="GHI6" i="67"/>
  <c r="GHH6" i="67"/>
  <c r="GHG6" i="67"/>
  <c r="GHF6" i="67"/>
  <c r="GHE6" i="67"/>
  <c r="GHD6" i="67"/>
  <c r="GHC6" i="67"/>
  <c r="GHB6" i="67"/>
  <c r="GHA6" i="67"/>
  <c r="GGZ6" i="67"/>
  <c r="GGY6" i="67"/>
  <c r="GGX6" i="67"/>
  <c r="GGW6" i="67"/>
  <c r="GGV6" i="67"/>
  <c r="GGU6" i="67"/>
  <c r="GGT6" i="67"/>
  <c r="GGS6" i="67"/>
  <c r="GGR6" i="67"/>
  <c r="GGQ6" i="67"/>
  <c r="GGP6" i="67"/>
  <c r="GGO6" i="67"/>
  <c r="GGN6" i="67"/>
  <c r="GGM6" i="67"/>
  <c r="GGL6" i="67"/>
  <c r="GGK6" i="67"/>
  <c r="GGJ6" i="67"/>
  <c r="GGI6" i="67"/>
  <c r="GGH6" i="67"/>
  <c r="GGG6" i="67"/>
  <c r="GGF6" i="67"/>
  <c r="GGE6" i="67"/>
  <c r="GGD6" i="67"/>
  <c r="GGC6" i="67"/>
  <c r="GGB6" i="67"/>
  <c r="GGA6" i="67"/>
  <c r="GFZ6" i="67"/>
  <c r="GFY6" i="67"/>
  <c r="GFX6" i="67"/>
  <c r="GFW6" i="67"/>
  <c r="GFV6" i="67"/>
  <c r="GFU6" i="67"/>
  <c r="GFT6" i="67"/>
  <c r="GFS6" i="67"/>
  <c r="GFR6" i="67"/>
  <c r="GFQ6" i="67"/>
  <c r="GFP6" i="67"/>
  <c r="GFO6" i="67"/>
  <c r="GFN6" i="67"/>
  <c r="GFM6" i="67"/>
  <c r="GFL6" i="67"/>
  <c r="GFK6" i="67"/>
  <c r="GFJ6" i="67"/>
  <c r="GFI6" i="67"/>
  <c r="GFH6" i="67"/>
  <c r="GFG6" i="67"/>
  <c r="GFF6" i="67"/>
  <c r="GFE6" i="67"/>
  <c r="GFD6" i="67"/>
  <c r="GFC6" i="67"/>
  <c r="GFB6" i="67"/>
  <c r="GFA6" i="67"/>
  <c r="GEZ6" i="67"/>
  <c r="GEY6" i="67"/>
  <c r="GEX6" i="67"/>
  <c r="GEW6" i="67"/>
  <c r="GEV6" i="67"/>
  <c r="GEU6" i="67"/>
  <c r="GET6" i="67"/>
  <c r="GES6" i="67"/>
  <c r="GER6" i="67"/>
  <c r="GEQ6" i="67"/>
  <c r="GEP6" i="67"/>
  <c r="GEO6" i="67"/>
  <c r="GEN6" i="67"/>
  <c r="GEM6" i="67"/>
  <c r="GEL6" i="67"/>
  <c r="GEK6" i="67"/>
  <c r="GEJ6" i="67"/>
  <c r="GEI6" i="67"/>
  <c r="GEH6" i="67"/>
  <c r="GEG6" i="67"/>
  <c r="GEF6" i="67"/>
  <c r="GEE6" i="67"/>
  <c r="GED6" i="67"/>
  <c r="GEC6" i="67"/>
  <c r="GEB6" i="67"/>
  <c r="GEA6" i="67"/>
  <c r="GDZ6" i="67"/>
  <c r="GDY6" i="67"/>
  <c r="GDX6" i="67"/>
  <c r="GDW6" i="67"/>
  <c r="GDV6" i="67"/>
  <c r="GDU6" i="67"/>
  <c r="GDT6" i="67"/>
  <c r="GDS6" i="67"/>
  <c r="GDR6" i="67"/>
  <c r="GDQ6" i="67"/>
  <c r="GDP6" i="67"/>
  <c r="GDO6" i="67"/>
  <c r="GDN6" i="67"/>
  <c r="GDM6" i="67"/>
  <c r="GDL6" i="67"/>
  <c r="GDK6" i="67"/>
  <c r="GDJ6" i="67"/>
  <c r="GDI6" i="67"/>
  <c r="GDH6" i="67"/>
  <c r="GDG6" i="67"/>
  <c r="GDF6" i="67"/>
  <c r="GDE6" i="67"/>
  <c r="GDD6" i="67"/>
  <c r="GDC6" i="67"/>
  <c r="GDB6" i="67"/>
  <c r="GDA6" i="67"/>
  <c r="GCZ6" i="67"/>
  <c r="GCY6" i="67"/>
  <c r="GCX6" i="67"/>
  <c r="GCW6" i="67"/>
  <c r="GCV6" i="67"/>
  <c r="GCU6" i="67"/>
  <c r="GCT6" i="67"/>
  <c r="GCS6" i="67"/>
  <c r="GCR6" i="67"/>
  <c r="GCQ6" i="67"/>
  <c r="GCP6" i="67"/>
  <c r="GCO6" i="67"/>
  <c r="GCN6" i="67"/>
  <c r="GCM6" i="67"/>
  <c r="GCL6" i="67"/>
  <c r="GCK6" i="67"/>
  <c r="GCJ6" i="67"/>
  <c r="GCI6" i="67"/>
  <c r="GCH6" i="67"/>
  <c r="GCG6" i="67"/>
  <c r="GCF6" i="67"/>
  <c r="GCE6" i="67"/>
  <c r="GCD6" i="67"/>
  <c r="GCC6" i="67"/>
  <c r="GCB6" i="67"/>
  <c r="GCA6" i="67"/>
  <c r="GBZ6" i="67"/>
  <c r="GBY6" i="67"/>
  <c r="GBX6" i="67"/>
  <c r="GBW6" i="67"/>
  <c r="GBV6" i="67"/>
  <c r="GBU6" i="67"/>
  <c r="GBT6" i="67"/>
  <c r="GBS6" i="67"/>
  <c r="GBR6" i="67"/>
  <c r="GBQ6" i="67"/>
  <c r="GBP6" i="67"/>
  <c r="GBO6" i="67"/>
  <c r="GBN6" i="67"/>
  <c r="GBM6" i="67"/>
  <c r="GBL6" i="67"/>
  <c r="GBK6" i="67"/>
  <c r="GBJ6" i="67"/>
  <c r="GBI6" i="67"/>
  <c r="GBH6" i="67"/>
  <c r="GBG6" i="67"/>
  <c r="GBF6" i="67"/>
  <c r="GBE6" i="67"/>
  <c r="GBD6" i="67"/>
  <c r="GBC6" i="67"/>
  <c r="GBB6" i="67"/>
  <c r="GBA6" i="67"/>
  <c r="GAZ6" i="67"/>
  <c r="GAY6" i="67"/>
  <c r="GAX6" i="67"/>
  <c r="GAW6" i="67"/>
  <c r="GAV6" i="67"/>
  <c r="GAU6" i="67"/>
  <c r="GAT6" i="67"/>
  <c r="GAS6" i="67"/>
  <c r="GAR6" i="67"/>
  <c r="GAQ6" i="67"/>
  <c r="GAP6" i="67"/>
  <c r="GAO6" i="67"/>
  <c r="GAN6" i="67"/>
  <c r="GAM6" i="67"/>
  <c r="GAL6" i="67"/>
  <c r="GAK6" i="67"/>
  <c r="GAJ6" i="67"/>
  <c r="GAI6" i="67"/>
  <c r="GAH6" i="67"/>
  <c r="GAG6" i="67"/>
  <c r="GAF6" i="67"/>
  <c r="GAE6" i="67"/>
  <c r="GAD6" i="67"/>
  <c r="GAC6" i="67"/>
  <c r="GAB6" i="67"/>
  <c r="GAA6" i="67"/>
  <c r="FZZ6" i="67"/>
  <c r="FZY6" i="67"/>
  <c r="FZX6" i="67"/>
  <c r="FZW6" i="67"/>
  <c r="FZV6" i="67"/>
  <c r="FZU6" i="67"/>
  <c r="FZT6" i="67"/>
  <c r="FZS6" i="67"/>
  <c r="FZR6" i="67"/>
  <c r="FZQ6" i="67"/>
  <c r="FZP6" i="67"/>
  <c r="FZO6" i="67"/>
  <c r="FZN6" i="67"/>
  <c r="FZM6" i="67"/>
  <c r="FZL6" i="67"/>
  <c r="FZK6" i="67"/>
  <c r="FZJ6" i="67"/>
  <c r="FZI6" i="67"/>
  <c r="FZH6" i="67"/>
  <c r="FZG6" i="67"/>
  <c r="FZF6" i="67"/>
  <c r="FZE6" i="67"/>
  <c r="FZD6" i="67"/>
  <c r="FZC6" i="67"/>
  <c r="FZB6" i="67"/>
  <c r="FZA6" i="67"/>
  <c r="FYZ6" i="67"/>
  <c r="FYY6" i="67"/>
  <c r="FYX6" i="67"/>
  <c r="FYW6" i="67"/>
  <c r="FYV6" i="67"/>
  <c r="FYU6" i="67"/>
  <c r="FYT6" i="67"/>
  <c r="FYS6" i="67"/>
  <c r="FYR6" i="67"/>
  <c r="FYQ6" i="67"/>
  <c r="FYP6" i="67"/>
  <c r="FYO6" i="67"/>
  <c r="FYN6" i="67"/>
  <c r="FYM6" i="67"/>
  <c r="FYL6" i="67"/>
  <c r="FYK6" i="67"/>
  <c r="FYJ6" i="67"/>
  <c r="FYI6" i="67"/>
  <c r="FYH6" i="67"/>
  <c r="FYG6" i="67"/>
  <c r="FYF6" i="67"/>
  <c r="FYE6" i="67"/>
  <c r="FYD6" i="67"/>
  <c r="FYC6" i="67"/>
  <c r="FYB6" i="67"/>
  <c r="FYA6" i="67"/>
  <c r="FXZ6" i="67"/>
  <c r="FXY6" i="67"/>
  <c r="FXX6" i="67"/>
  <c r="FXW6" i="67"/>
  <c r="FXV6" i="67"/>
  <c r="FXU6" i="67"/>
  <c r="FXT6" i="67"/>
  <c r="FXS6" i="67"/>
  <c r="FXR6" i="67"/>
  <c r="FXQ6" i="67"/>
  <c r="FXP6" i="67"/>
  <c r="FXO6" i="67"/>
  <c r="FXN6" i="67"/>
  <c r="FXM6" i="67"/>
  <c r="FXL6" i="67"/>
  <c r="FXK6" i="67"/>
  <c r="FXJ6" i="67"/>
  <c r="FXI6" i="67"/>
  <c r="FXH6" i="67"/>
  <c r="FXG6" i="67"/>
  <c r="FXF6" i="67"/>
  <c r="FXE6" i="67"/>
  <c r="FXD6" i="67"/>
  <c r="FXC6" i="67"/>
  <c r="FXB6" i="67"/>
  <c r="FXA6" i="67"/>
  <c r="FWZ6" i="67"/>
  <c r="FWY6" i="67"/>
  <c r="FWX6" i="67"/>
  <c r="FWW6" i="67"/>
  <c r="FWV6" i="67"/>
  <c r="FWU6" i="67"/>
  <c r="FWT6" i="67"/>
  <c r="FWS6" i="67"/>
  <c r="FWR6" i="67"/>
  <c r="FWQ6" i="67"/>
  <c r="FWP6" i="67"/>
  <c r="FWO6" i="67"/>
  <c r="FWN6" i="67"/>
  <c r="FWM6" i="67"/>
  <c r="FWL6" i="67"/>
  <c r="FWK6" i="67"/>
  <c r="FWJ6" i="67"/>
  <c r="FWI6" i="67"/>
  <c r="FWH6" i="67"/>
  <c r="FWG6" i="67"/>
  <c r="FWF6" i="67"/>
  <c r="FWE6" i="67"/>
  <c r="FWD6" i="67"/>
  <c r="FWC6" i="67"/>
  <c r="FWB6" i="67"/>
  <c r="FWA6" i="67"/>
  <c r="FVZ6" i="67"/>
  <c r="FVY6" i="67"/>
  <c r="FVX6" i="67"/>
  <c r="FVW6" i="67"/>
  <c r="FVV6" i="67"/>
  <c r="FVU6" i="67"/>
  <c r="FVT6" i="67"/>
  <c r="FVS6" i="67"/>
  <c r="FVR6" i="67"/>
  <c r="FVQ6" i="67"/>
  <c r="FVP6" i="67"/>
  <c r="FVO6" i="67"/>
  <c r="FVN6" i="67"/>
  <c r="FVM6" i="67"/>
  <c r="FVL6" i="67"/>
  <c r="FVK6" i="67"/>
  <c r="FVJ6" i="67"/>
  <c r="FVI6" i="67"/>
  <c r="FVH6" i="67"/>
  <c r="FVG6" i="67"/>
  <c r="FVF6" i="67"/>
  <c r="FVE6" i="67"/>
  <c r="FVD6" i="67"/>
  <c r="FVC6" i="67"/>
  <c r="FVB6" i="67"/>
  <c r="FVA6" i="67"/>
  <c r="FUZ6" i="67"/>
  <c r="FUY6" i="67"/>
  <c r="FUX6" i="67"/>
  <c r="FUW6" i="67"/>
  <c r="FUV6" i="67"/>
  <c r="FUU6" i="67"/>
  <c r="FUT6" i="67"/>
  <c r="FUS6" i="67"/>
  <c r="FUR6" i="67"/>
  <c r="FUQ6" i="67"/>
  <c r="FUP6" i="67"/>
  <c r="FUO6" i="67"/>
  <c r="FUN6" i="67"/>
  <c r="FUM6" i="67"/>
  <c r="FUL6" i="67"/>
  <c r="FUK6" i="67"/>
  <c r="FUJ6" i="67"/>
  <c r="FUI6" i="67"/>
  <c r="FUH6" i="67"/>
  <c r="FUG6" i="67"/>
  <c r="FUF6" i="67"/>
  <c r="FUE6" i="67"/>
  <c r="FUD6" i="67"/>
  <c r="FUC6" i="67"/>
  <c r="FUB6" i="67"/>
  <c r="FUA6" i="67"/>
  <c r="FTZ6" i="67"/>
  <c r="FTY6" i="67"/>
  <c r="FTX6" i="67"/>
  <c r="FTW6" i="67"/>
  <c r="FTV6" i="67"/>
  <c r="FTU6" i="67"/>
  <c r="FTT6" i="67"/>
  <c r="FTS6" i="67"/>
  <c r="FTR6" i="67"/>
  <c r="FTQ6" i="67"/>
  <c r="FTP6" i="67"/>
  <c r="FTO6" i="67"/>
  <c r="FTN6" i="67"/>
  <c r="FTM6" i="67"/>
  <c r="FTL6" i="67"/>
  <c r="FTK6" i="67"/>
  <c r="FTJ6" i="67"/>
  <c r="FTI6" i="67"/>
  <c r="FTH6" i="67"/>
  <c r="FTG6" i="67"/>
  <c r="FTF6" i="67"/>
  <c r="FTE6" i="67"/>
  <c r="FTD6" i="67"/>
  <c r="FTC6" i="67"/>
  <c r="FTB6" i="67"/>
  <c r="FTA6" i="67"/>
  <c r="FSZ6" i="67"/>
  <c r="FSY6" i="67"/>
  <c r="FSX6" i="67"/>
  <c r="FSW6" i="67"/>
  <c r="FSV6" i="67"/>
  <c r="FSU6" i="67"/>
  <c r="FST6" i="67"/>
  <c r="FSS6" i="67"/>
  <c r="FSR6" i="67"/>
  <c r="FSQ6" i="67"/>
  <c r="FSP6" i="67"/>
  <c r="FSO6" i="67"/>
  <c r="FSN6" i="67"/>
  <c r="FSM6" i="67"/>
  <c r="FSL6" i="67"/>
  <c r="FSK6" i="67"/>
  <c r="FSJ6" i="67"/>
  <c r="FSI6" i="67"/>
  <c r="FSH6" i="67"/>
  <c r="FSG6" i="67"/>
  <c r="FSF6" i="67"/>
  <c r="FSE6" i="67"/>
  <c r="FSD6" i="67"/>
  <c r="FSC6" i="67"/>
  <c r="FSB6" i="67"/>
  <c r="FSA6" i="67"/>
  <c r="FRZ6" i="67"/>
  <c r="FRY6" i="67"/>
  <c r="FRX6" i="67"/>
  <c r="FRW6" i="67"/>
  <c r="FRV6" i="67"/>
  <c r="FRU6" i="67"/>
  <c r="FRT6" i="67"/>
  <c r="FRS6" i="67"/>
  <c r="FRR6" i="67"/>
  <c r="FRQ6" i="67"/>
  <c r="FRP6" i="67"/>
  <c r="FRO6" i="67"/>
  <c r="FRN6" i="67"/>
  <c r="FRM6" i="67"/>
  <c r="FRL6" i="67"/>
  <c r="FRK6" i="67"/>
  <c r="FRJ6" i="67"/>
  <c r="FRI6" i="67"/>
  <c r="FRH6" i="67"/>
  <c r="FRG6" i="67"/>
  <c r="FRF6" i="67"/>
  <c r="FRE6" i="67"/>
  <c r="FRD6" i="67"/>
  <c r="FRC6" i="67"/>
  <c r="FRB6" i="67"/>
  <c r="FRA6" i="67"/>
  <c r="FQZ6" i="67"/>
  <c r="FQY6" i="67"/>
  <c r="FQX6" i="67"/>
  <c r="FQW6" i="67"/>
  <c r="FQV6" i="67"/>
  <c r="FQU6" i="67"/>
  <c r="FQT6" i="67"/>
  <c r="FQS6" i="67"/>
  <c r="FQR6" i="67"/>
  <c r="FQQ6" i="67"/>
  <c r="FQP6" i="67"/>
  <c r="FQO6" i="67"/>
  <c r="FQN6" i="67"/>
  <c r="FQM6" i="67"/>
  <c r="FQL6" i="67"/>
  <c r="FQK6" i="67"/>
  <c r="FQJ6" i="67"/>
  <c r="FQI6" i="67"/>
  <c r="FQH6" i="67"/>
  <c r="FQG6" i="67"/>
  <c r="FQF6" i="67"/>
  <c r="FQE6" i="67"/>
  <c r="FQD6" i="67"/>
  <c r="FQC6" i="67"/>
  <c r="FQB6" i="67"/>
  <c r="FQA6" i="67"/>
  <c r="FPZ6" i="67"/>
  <c r="FPY6" i="67"/>
  <c r="FPX6" i="67"/>
  <c r="FPW6" i="67"/>
  <c r="FPV6" i="67"/>
  <c r="FPU6" i="67"/>
  <c r="FPT6" i="67"/>
  <c r="FPS6" i="67"/>
  <c r="FPR6" i="67"/>
  <c r="FPQ6" i="67"/>
  <c r="FPP6" i="67"/>
  <c r="FPO6" i="67"/>
  <c r="FPN6" i="67"/>
  <c r="FPM6" i="67"/>
  <c r="FPL6" i="67"/>
  <c r="FPK6" i="67"/>
  <c r="FPJ6" i="67"/>
  <c r="FPI6" i="67"/>
  <c r="FPH6" i="67"/>
  <c r="FPG6" i="67"/>
  <c r="FPF6" i="67"/>
  <c r="FPE6" i="67"/>
  <c r="FPD6" i="67"/>
  <c r="FPC6" i="67"/>
  <c r="FPB6" i="67"/>
  <c r="FPA6" i="67"/>
  <c r="FOZ6" i="67"/>
  <c r="FOY6" i="67"/>
  <c r="FOX6" i="67"/>
  <c r="FOW6" i="67"/>
  <c r="FOV6" i="67"/>
  <c r="FOU6" i="67"/>
  <c r="FOT6" i="67"/>
  <c r="FOS6" i="67"/>
  <c r="FOR6" i="67"/>
  <c r="FOQ6" i="67"/>
  <c r="FOP6" i="67"/>
  <c r="FOO6" i="67"/>
  <c r="FON6" i="67"/>
  <c r="FOM6" i="67"/>
  <c r="FOL6" i="67"/>
  <c r="FOK6" i="67"/>
  <c r="FOJ6" i="67"/>
  <c r="FOI6" i="67"/>
  <c r="FOH6" i="67"/>
  <c r="FOG6" i="67"/>
  <c r="FOF6" i="67"/>
  <c r="FOE6" i="67"/>
  <c r="FOD6" i="67"/>
  <c r="FOC6" i="67"/>
  <c r="FOB6" i="67"/>
  <c r="FOA6" i="67"/>
  <c r="FNZ6" i="67"/>
  <c r="FNY6" i="67"/>
  <c r="FNX6" i="67"/>
  <c r="FNW6" i="67"/>
  <c r="FNV6" i="67"/>
  <c r="FNU6" i="67"/>
  <c r="FNT6" i="67"/>
  <c r="FNS6" i="67"/>
  <c r="FNR6" i="67"/>
  <c r="FNQ6" i="67"/>
  <c r="FNP6" i="67"/>
  <c r="FNO6" i="67"/>
  <c r="FNN6" i="67"/>
  <c r="FNM6" i="67"/>
  <c r="FNL6" i="67"/>
  <c r="FNK6" i="67"/>
  <c r="FNJ6" i="67"/>
  <c r="FNI6" i="67"/>
  <c r="FNH6" i="67"/>
  <c r="FNG6" i="67"/>
  <c r="FNF6" i="67"/>
  <c r="FNE6" i="67"/>
  <c r="FND6" i="67"/>
  <c r="FNC6" i="67"/>
  <c r="FNB6" i="67"/>
  <c r="FNA6" i="67"/>
  <c r="FMZ6" i="67"/>
  <c r="FMY6" i="67"/>
  <c r="FMX6" i="67"/>
  <c r="FMW6" i="67"/>
  <c r="FMV6" i="67"/>
  <c r="FMU6" i="67"/>
  <c r="FMT6" i="67"/>
  <c r="FMS6" i="67"/>
  <c r="FMR6" i="67"/>
  <c r="FMQ6" i="67"/>
  <c r="FMP6" i="67"/>
  <c r="FMO6" i="67"/>
  <c r="FMN6" i="67"/>
  <c r="FMM6" i="67"/>
  <c r="FML6" i="67"/>
  <c r="FMK6" i="67"/>
  <c r="FMJ6" i="67"/>
  <c r="FMI6" i="67"/>
  <c r="FMH6" i="67"/>
  <c r="FMG6" i="67"/>
  <c r="FMF6" i="67"/>
  <c r="FME6" i="67"/>
  <c r="FMD6" i="67"/>
  <c r="FMC6" i="67"/>
  <c r="FMB6" i="67"/>
  <c r="FMA6" i="67"/>
  <c r="FLZ6" i="67"/>
  <c r="FLY6" i="67"/>
  <c r="FLX6" i="67"/>
  <c r="FLW6" i="67"/>
  <c r="FLV6" i="67"/>
  <c r="FLU6" i="67"/>
  <c r="FLT6" i="67"/>
  <c r="FLS6" i="67"/>
  <c r="FLR6" i="67"/>
  <c r="FLQ6" i="67"/>
  <c r="FLP6" i="67"/>
  <c r="FLO6" i="67"/>
  <c r="FLN6" i="67"/>
  <c r="FLM6" i="67"/>
  <c r="FLL6" i="67"/>
  <c r="FLK6" i="67"/>
  <c r="FLJ6" i="67"/>
  <c r="FLI6" i="67"/>
  <c r="FLH6" i="67"/>
  <c r="FLG6" i="67"/>
  <c r="FLF6" i="67"/>
  <c r="FLE6" i="67"/>
  <c r="FLD6" i="67"/>
  <c r="FLC6" i="67"/>
  <c r="FLB6" i="67"/>
  <c r="FLA6" i="67"/>
  <c r="FKZ6" i="67"/>
  <c r="FKY6" i="67"/>
  <c r="FKX6" i="67"/>
  <c r="FKW6" i="67"/>
  <c r="FKV6" i="67"/>
  <c r="FKU6" i="67"/>
  <c r="FKT6" i="67"/>
  <c r="FKS6" i="67"/>
  <c r="FKR6" i="67"/>
  <c r="FKQ6" i="67"/>
  <c r="FKP6" i="67"/>
  <c r="FKO6" i="67"/>
  <c r="FKN6" i="67"/>
  <c r="FKM6" i="67"/>
  <c r="FKL6" i="67"/>
  <c r="FKK6" i="67"/>
  <c r="FKJ6" i="67"/>
  <c r="FKI6" i="67"/>
  <c r="FKH6" i="67"/>
  <c r="FKG6" i="67"/>
  <c r="FKF6" i="67"/>
  <c r="FKE6" i="67"/>
  <c r="FKD6" i="67"/>
  <c r="FKC6" i="67"/>
  <c r="FKB6" i="67"/>
  <c r="FKA6" i="67"/>
  <c r="FJZ6" i="67"/>
  <c r="FJY6" i="67"/>
  <c r="FJX6" i="67"/>
  <c r="FJW6" i="67"/>
  <c r="FJV6" i="67"/>
  <c r="FJU6" i="67"/>
  <c r="FJT6" i="67"/>
  <c r="FJS6" i="67"/>
  <c r="FJR6" i="67"/>
  <c r="FJQ6" i="67"/>
  <c r="FJP6" i="67"/>
  <c r="FJO6" i="67"/>
  <c r="FJN6" i="67"/>
  <c r="FJM6" i="67"/>
  <c r="FJL6" i="67"/>
  <c r="FJK6" i="67"/>
  <c r="FJJ6" i="67"/>
  <c r="FJI6" i="67"/>
  <c r="FJH6" i="67"/>
  <c r="FJG6" i="67"/>
  <c r="FJF6" i="67"/>
  <c r="FJE6" i="67"/>
  <c r="FJD6" i="67"/>
  <c r="FJC6" i="67"/>
  <c r="FJB6" i="67"/>
  <c r="FJA6" i="67"/>
  <c r="FIZ6" i="67"/>
  <c r="FIY6" i="67"/>
  <c r="FIX6" i="67"/>
  <c r="FIW6" i="67"/>
  <c r="FIV6" i="67"/>
  <c r="FIU6" i="67"/>
  <c r="FIT6" i="67"/>
  <c r="FIS6" i="67"/>
  <c r="FIR6" i="67"/>
  <c r="FIQ6" i="67"/>
  <c r="FIP6" i="67"/>
  <c r="FIO6" i="67"/>
  <c r="FIN6" i="67"/>
  <c r="FIM6" i="67"/>
  <c r="FIL6" i="67"/>
  <c r="FIK6" i="67"/>
  <c r="FIJ6" i="67"/>
  <c r="FII6" i="67"/>
  <c r="FIH6" i="67"/>
  <c r="FIG6" i="67"/>
  <c r="FIF6" i="67"/>
  <c r="FIE6" i="67"/>
  <c r="FID6" i="67"/>
  <c r="FIC6" i="67"/>
  <c r="FIB6" i="67"/>
  <c r="FIA6" i="67"/>
  <c r="FHZ6" i="67"/>
  <c r="FHY6" i="67"/>
  <c r="FHX6" i="67"/>
  <c r="FHW6" i="67"/>
  <c r="FHV6" i="67"/>
  <c r="FHU6" i="67"/>
  <c r="FHT6" i="67"/>
  <c r="FHS6" i="67"/>
  <c r="FHR6" i="67"/>
  <c r="FHQ6" i="67"/>
  <c r="FHP6" i="67"/>
  <c r="FHO6" i="67"/>
  <c r="FHN6" i="67"/>
  <c r="FHM6" i="67"/>
  <c r="FHL6" i="67"/>
  <c r="FHK6" i="67"/>
  <c r="FHJ6" i="67"/>
  <c r="FHI6" i="67"/>
  <c r="FHH6" i="67"/>
  <c r="FHG6" i="67"/>
  <c r="FHF6" i="67"/>
  <c r="FHE6" i="67"/>
  <c r="FHD6" i="67"/>
  <c r="FHC6" i="67"/>
  <c r="FHB6" i="67"/>
  <c r="FHA6" i="67"/>
  <c r="FGZ6" i="67"/>
  <c r="FGY6" i="67"/>
  <c r="FGX6" i="67"/>
  <c r="FGW6" i="67"/>
  <c r="FGV6" i="67"/>
  <c r="FGU6" i="67"/>
  <c r="FGT6" i="67"/>
  <c r="FGS6" i="67"/>
  <c r="FGR6" i="67"/>
  <c r="FGQ6" i="67"/>
  <c r="FGP6" i="67"/>
  <c r="FGO6" i="67"/>
  <c r="FGN6" i="67"/>
  <c r="FGM6" i="67"/>
  <c r="FGL6" i="67"/>
  <c r="FGK6" i="67"/>
  <c r="FGJ6" i="67"/>
  <c r="FGI6" i="67"/>
  <c r="FGH6" i="67"/>
  <c r="FGG6" i="67"/>
  <c r="FGF6" i="67"/>
  <c r="FGE6" i="67"/>
  <c r="FGD6" i="67"/>
  <c r="FGC6" i="67"/>
  <c r="FGB6" i="67"/>
  <c r="FGA6" i="67"/>
  <c r="FFZ6" i="67"/>
  <c r="FFY6" i="67"/>
  <c r="FFX6" i="67"/>
  <c r="FFW6" i="67"/>
  <c r="FFV6" i="67"/>
  <c r="FFU6" i="67"/>
  <c r="FFT6" i="67"/>
  <c r="FFS6" i="67"/>
  <c r="FFR6" i="67"/>
  <c r="FFQ6" i="67"/>
  <c r="FFP6" i="67"/>
  <c r="FFO6" i="67"/>
  <c r="FFN6" i="67"/>
  <c r="FFM6" i="67"/>
  <c r="FFL6" i="67"/>
  <c r="FFK6" i="67"/>
  <c r="FFJ6" i="67"/>
  <c r="FFI6" i="67"/>
  <c r="FFH6" i="67"/>
  <c r="FFG6" i="67"/>
  <c r="FFF6" i="67"/>
  <c r="FFE6" i="67"/>
  <c r="FFD6" i="67"/>
  <c r="FFC6" i="67"/>
  <c r="FFB6" i="67"/>
  <c r="FFA6" i="67"/>
  <c r="FEZ6" i="67"/>
  <c r="FEY6" i="67"/>
  <c r="FEX6" i="67"/>
  <c r="FEW6" i="67"/>
  <c r="FEV6" i="67"/>
  <c r="FEU6" i="67"/>
  <c r="FET6" i="67"/>
  <c r="FES6" i="67"/>
  <c r="FER6" i="67"/>
  <c r="FEQ6" i="67"/>
  <c r="FEP6" i="67"/>
  <c r="FEO6" i="67"/>
  <c r="FEN6" i="67"/>
  <c r="FEM6" i="67"/>
  <c r="FEL6" i="67"/>
  <c r="FEK6" i="67"/>
  <c r="FEJ6" i="67"/>
  <c r="FEI6" i="67"/>
  <c r="FEH6" i="67"/>
  <c r="FEG6" i="67"/>
  <c r="FEF6" i="67"/>
  <c r="FEE6" i="67"/>
  <c r="FED6" i="67"/>
  <c r="FEC6" i="67"/>
  <c r="FEB6" i="67"/>
  <c r="FEA6" i="67"/>
  <c r="FDZ6" i="67"/>
  <c r="FDY6" i="67"/>
  <c r="FDX6" i="67"/>
  <c r="FDW6" i="67"/>
  <c r="FDV6" i="67"/>
  <c r="FDU6" i="67"/>
  <c r="FDT6" i="67"/>
  <c r="FDS6" i="67"/>
  <c r="FDR6" i="67"/>
  <c r="FDQ6" i="67"/>
  <c r="FDP6" i="67"/>
  <c r="FDO6" i="67"/>
  <c r="FDN6" i="67"/>
  <c r="FDM6" i="67"/>
  <c r="FDL6" i="67"/>
  <c r="FDK6" i="67"/>
  <c r="FDJ6" i="67"/>
  <c r="FDI6" i="67"/>
  <c r="FDH6" i="67"/>
  <c r="FDG6" i="67"/>
  <c r="FDF6" i="67"/>
  <c r="FDE6" i="67"/>
  <c r="FDD6" i="67"/>
  <c r="FDC6" i="67"/>
  <c r="FDB6" i="67"/>
  <c r="FDA6" i="67"/>
  <c r="FCZ6" i="67"/>
  <c r="FCY6" i="67"/>
  <c r="FCX6" i="67"/>
  <c r="FCW6" i="67"/>
  <c r="FCV6" i="67"/>
  <c r="FCU6" i="67"/>
  <c r="FCT6" i="67"/>
  <c r="FCS6" i="67"/>
  <c r="FCR6" i="67"/>
  <c r="FCQ6" i="67"/>
  <c r="FCP6" i="67"/>
  <c r="FCO6" i="67"/>
  <c r="FCN6" i="67"/>
  <c r="FCM6" i="67"/>
  <c r="FCL6" i="67"/>
  <c r="FCK6" i="67"/>
  <c r="FCJ6" i="67"/>
  <c r="FCI6" i="67"/>
  <c r="FCH6" i="67"/>
  <c r="FCG6" i="67"/>
  <c r="FCF6" i="67"/>
  <c r="FCE6" i="67"/>
  <c r="FCD6" i="67"/>
  <c r="FCC6" i="67"/>
  <c r="FCB6" i="67"/>
  <c r="FCA6" i="67"/>
  <c r="FBZ6" i="67"/>
  <c r="FBY6" i="67"/>
  <c r="FBX6" i="67"/>
  <c r="FBW6" i="67"/>
  <c r="FBV6" i="67"/>
  <c r="FBU6" i="67"/>
  <c r="FBT6" i="67"/>
  <c r="FBS6" i="67"/>
  <c r="FBR6" i="67"/>
  <c r="FBQ6" i="67"/>
  <c r="FBP6" i="67"/>
  <c r="FBO6" i="67"/>
  <c r="FBN6" i="67"/>
  <c r="FBM6" i="67"/>
  <c r="FBL6" i="67"/>
  <c r="FBK6" i="67"/>
  <c r="FBJ6" i="67"/>
  <c r="FBI6" i="67"/>
  <c r="FBH6" i="67"/>
  <c r="FBG6" i="67"/>
  <c r="FBF6" i="67"/>
  <c r="FBE6" i="67"/>
  <c r="FBD6" i="67"/>
  <c r="FBC6" i="67"/>
  <c r="FBB6" i="67"/>
  <c r="FBA6" i="67"/>
  <c r="FAZ6" i="67"/>
  <c r="FAY6" i="67"/>
  <c r="FAX6" i="67"/>
  <c r="FAW6" i="67"/>
  <c r="FAV6" i="67"/>
  <c r="FAU6" i="67"/>
  <c r="FAT6" i="67"/>
  <c r="FAS6" i="67"/>
  <c r="FAR6" i="67"/>
  <c r="FAQ6" i="67"/>
  <c r="FAP6" i="67"/>
  <c r="FAO6" i="67"/>
  <c r="FAN6" i="67"/>
  <c r="FAM6" i="67"/>
  <c r="FAL6" i="67"/>
  <c r="FAK6" i="67"/>
  <c r="FAJ6" i="67"/>
  <c r="FAI6" i="67"/>
  <c r="FAH6" i="67"/>
  <c r="FAG6" i="67"/>
  <c r="FAF6" i="67"/>
  <c r="FAE6" i="67"/>
  <c r="FAD6" i="67"/>
  <c r="FAC6" i="67"/>
  <c r="FAB6" i="67"/>
  <c r="FAA6" i="67"/>
  <c r="EZZ6" i="67"/>
  <c r="EZY6" i="67"/>
  <c r="EZX6" i="67"/>
  <c r="EZW6" i="67"/>
  <c r="EZV6" i="67"/>
  <c r="EZU6" i="67"/>
  <c r="EZT6" i="67"/>
  <c r="EZS6" i="67"/>
  <c r="EZR6" i="67"/>
  <c r="EZQ6" i="67"/>
  <c r="EZP6" i="67"/>
  <c r="EZO6" i="67"/>
  <c r="EZN6" i="67"/>
  <c r="EZM6" i="67"/>
  <c r="EZL6" i="67"/>
  <c r="EZK6" i="67"/>
  <c r="EZJ6" i="67"/>
  <c r="EZI6" i="67"/>
  <c r="EZH6" i="67"/>
  <c r="EZG6" i="67"/>
  <c r="EZF6" i="67"/>
  <c r="EZE6" i="67"/>
  <c r="EZD6" i="67"/>
  <c r="EZC6" i="67"/>
  <c r="EZB6" i="67"/>
  <c r="EZA6" i="67"/>
  <c r="EYZ6" i="67"/>
  <c r="EYY6" i="67"/>
  <c r="EYX6" i="67"/>
  <c r="EYW6" i="67"/>
  <c r="EYV6" i="67"/>
  <c r="EYU6" i="67"/>
  <c r="EYT6" i="67"/>
  <c r="EYS6" i="67"/>
  <c r="EYR6" i="67"/>
  <c r="EYQ6" i="67"/>
  <c r="EYP6" i="67"/>
  <c r="EYO6" i="67"/>
  <c r="EYN6" i="67"/>
  <c r="EYM6" i="67"/>
  <c r="EYL6" i="67"/>
  <c r="EYK6" i="67"/>
  <c r="EYJ6" i="67"/>
  <c r="EYI6" i="67"/>
  <c r="EYH6" i="67"/>
  <c r="EYG6" i="67"/>
  <c r="EYF6" i="67"/>
  <c r="EYE6" i="67"/>
  <c r="EYD6" i="67"/>
  <c r="EYC6" i="67"/>
  <c r="EYB6" i="67"/>
  <c r="EYA6" i="67"/>
  <c r="EXZ6" i="67"/>
  <c r="EXY6" i="67"/>
  <c r="EXX6" i="67"/>
  <c r="EXW6" i="67"/>
  <c r="EXV6" i="67"/>
  <c r="EXU6" i="67"/>
  <c r="EXT6" i="67"/>
  <c r="EXS6" i="67"/>
  <c r="EXR6" i="67"/>
  <c r="EXQ6" i="67"/>
  <c r="EXP6" i="67"/>
  <c r="EXO6" i="67"/>
  <c r="EXN6" i="67"/>
  <c r="EXM6" i="67"/>
  <c r="EXL6" i="67"/>
  <c r="EXK6" i="67"/>
  <c r="EXJ6" i="67"/>
  <c r="EXI6" i="67"/>
  <c r="EXH6" i="67"/>
  <c r="EXG6" i="67"/>
  <c r="EXF6" i="67"/>
  <c r="EXE6" i="67"/>
  <c r="EXD6" i="67"/>
  <c r="EXC6" i="67"/>
  <c r="EXB6" i="67"/>
  <c r="EXA6" i="67"/>
  <c r="EWZ6" i="67"/>
  <c r="EWY6" i="67"/>
  <c r="EWX6" i="67"/>
  <c r="EWW6" i="67"/>
  <c r="EWV6" i="67"/>
  <c r="EWU6" i="67"/>
  <c r="EWT6" i="67"/>
  <c r="EWS6" i="67"/>
  <c r="EWR6" i="67"/>
  <c r="EWQ6" i="67"/>
  <c r="EWP6" i="67"/>
  <c r="EWO6" i="67"/>
  <c r="EWN6" i="67"/>
  <c r="EWM6" i="67"/>
  <c r="EWL6" i="67"/>
  <c r="EWK6" i="67"/>
  <c r="EWJ6" i="67"/>
  <c r="EWI6" i="67"/>
  <c r="EWH6" i="67"/>
  <c r="EWG6" i="67"/>
  <c r="EWF6" i="67"/>
  <c r="EWE6" i="67"/>
  <c r="EWD6" i="67"/>
  <c r="EWC6" i="67"/>
  <c r="EWB6" i="67"/>
  <c r="EWA6" i="67"/>
  <c r="EVZ6" i="67"/>
  <c r="EVY6" i="67"/>
  <c r="EVX6" i="67"/>
  <c r="EVW6" i="67"/>
  <c r="EVV6" i="67"/>
  <c r="EVU6" i="67"/>
  <c r="EVT6" i="67"/>
  <c r="EVS6" i="67"/>
  <c r="EVR6" i="67"/>
  <c r="EVQ6" i="67"/>
  <c r="EVP6" i="67"/>
  <c r="EVO6" i="67"/>
  <c r="EVN6" i="67"/>
  <c r="EVM6" i="67"/>
  <c r="EVL6" i="67"/>
  <c r="EVK6" i="67"/>
  <c r="EVJ6" i="67"/>
  <c r="EVI6" i="67"/>
  <c r="EVH6" i="67"/>
  <c r="EVG6" i="67"/>
  <c r="EVF6" i="67"/>
  <c r="EVE6" i="67"/>
  <c r="EVD6" i="67"/>
  <c r="EVC6" i="67"/>
  <c r="EVB6" i="67"/>
  <c r="EVA6" i="67"/>
  <c r="EUZ6" i="67"/>
  <c r="EUY6" i="67"/>
  <c r="EUX6" i="67"/>
  <c r="EUW6" i="67"/>
  <c r="EUV6" i="67"/>
  <c r="EUU6" i="67"/>
  <c r="EUT6" i="67"/>
  <c r="EUS6" i="67"/>
  <c r="EUR6" i="67"/>
  <c r="EUQ6" i="67"/>
  <c r="EUP6" i="67"/>
  <c r="EUO6" i="67"/>
  <c r="EUN6" i="67"/>
  <c r="EUM6" i="67"/>
  <c r="EUL6" i="67"/>
  <c r="EUK6" i="67"/>
  <c r="EUJ6" i="67"/>
  <c r="EUI6" i="67"/>
  <c r="EUH6" i="67"/>
  <c r="EUG6" i="67"/>
  <c r="EUF6" i="67"/>
  <c r="EUE6" i="67"/>
  <c r="EUD6" i="67"/>
  <c r="EUC6" i="67"/>
  <c r="EUB6" i="67"/>
  <c r="EUA6" i="67"/>
  <c r="ETZ6" i="67"/>
  <c r="ETY6" i="67"/>
  <c r="ETX6" i="67"/>
  <c r="ETW6" i="67"/>
  <c r="ETV6" i="67"/>
  <c r="ETU6" i="67"/>
  <c r="ETT6" i="67"/>
  <c r="ETS6" i="67"/>
  <c r="ETR6" i="67"/>
  <c r="ETQ6" i="67"/>
  <c r="ETP6" i="67"/>
  <c r="ETO6" i="67"/>
  <c r="ETN6" i="67"/>
  <c r="ETM6" i="67"/>
  <c r="ETL6" i="67"/>
  <c r="ETK6" i="67"/>
  <c r="ETJ6" i="67"/>
  <c r="ETI6" i="67"/>
  <c r="ETH6" i="67"/>
  <c r="ETG6" i="67"/>
  <c r="ETF6" i="67"/>
  <c r="ETE6" i="67"/>
  <c r="ETD6" i="67"/>
  <c r="ETC6" i="67"/>
  <c r="ETB6" i="67"/>
  <c r="ETA6" i="67"/>
  <c r="ESZ6" i="67"/>
  <c r="ESY6" i="67"/>
  <c r="ESX6" i="67"/>
  <c r="ESW6" i="67"/>
  <c r="ESV6" i="67"/>
  <c r="ESU6" i="67"/>
  <c r="EST6" i="67"/>
  <c r="ESS6" i="67"/>
  <c r="ESR6" i="67"/>
  <c r="ESQ6" i="67"/>
  <c r="ESP6" i="67"/>
  <c r="ESO6" i="67"/>
  <c r="ESN6" i="67"/>
  <c r="ESM6" i="67"/>
  <c r="ESL6" i="67"/>
  <c r="ESK6" i="67"/>
  <c r="ESJ6" i="67"/>
  <c r="ESI6" i="67"/>
  <c r="ESH6" i="67"/>
  <c r="ESG6" i="67"/>
  <c r="ESF6" i="67"/>
  <c r="ESE6" i="67"/>
  <c r="ESD6" i="67"/>
  <c r="ESC6" i="67"/>
  <c r="ESB6" i="67"/>
  <c r="ESA6" i="67"/>
  <c r="ERZ6" i="67"/>
  <c r="ERY6" i="67"/>
  <c r="ERX6" i="67"/>
  <c r="ERW6" i="67"/>
  <c r="ERV6" i="67"/>
  <c r="ERU6" i="67"/>
  <c r="ERT6" i="67"/>
  <c r="ERS6" i="67"/>
  <c r="ERR6" i="67"/>
  <c r="ERQ6" i="67"/>
  <c r="ERP6" i="67"/>
  <c r="ERO6" i="67"/>
  <c r="ERN6" i="67"/>
  <c r="ERM6" i="67"/>
  <c r="ERL6" i="67"/>
  <c r="ERK6" i="67"/>
  <c r="ERJ6" i="67"/>
  <c r="ERI6" i="67"/>
  <c r="ERH6" i="67"/>
  <c r="ERG6" i="67"/>
  <c r="ERF6" i="67"/>
  <c r="ERE6" i="67"/>
  <c r="ERD6" i="67"/>
  <c r="ERC6" i="67"/>
  <c r="ERB6" i="67"/>
  <c r="ERA6" i="67"/>
  <c r="EQZ6" i="67"/>
  <c r="EQY6" i="67"/>
  <c r="EQX6" i="67"/>
  <c r="EQW6" i="67"/>
  <c r="EQV6" i="67"/>
  <c r="EQU6" i="67"/>
  <c r="EQT6" i="67"/>
  <c r="EQS6" i="67"/>
  <c r="EQR6" i="67"/>
  <c r="EQQ6" i="67"/>
  <c r="EQP6" i="67"/>
  <c r="EQO6" i="67"/>
  <c r="EQN6" i="67"/>
  <c r="EQM6" i="67"/>
  <c r="EQL6" i="67"/>
  <c r="EQK6" i="67"/>
  <c r="EQJ6" i="67"/>
  <c r="EQI6" i="67"/>
  <c r="EQH6" i="67"/>
  <c r="EQG6" i="67"/>
  <c r="EQF6" i="67"/>
  <c r="EQE6" i="67"/>
  <c r="EQD6" i="67"/>
  <c r="EQC6" i="67"/>
  <c r="EQB6" i="67"/>
  <c r="EQA6" i="67"/>
  <c r="EPZ6" i="67"/>
  <c r="EPY6" i="67"/>
  <c r="EPX6" i="67"/>
  <c r="EPW6" i="67"/>
  <c r="EPV6" i="67"/>
  <c r="EPU6" i="67"/>
  <c r="EPT6" i="67"/>
  <c r="EPS6" i="67"/>
  <c r="EPR6" i="67"/>
  <c r="EPQ6" i="67"/>
  <c r="EPP6" i="67"/>
  <c r="EPO6" i="67"/>
  <c r="EPN6" i="67"/>
  <c r="EPM6" i="67"/>
  <c r="EPL6" i="67"/>
  <c r="EPK6" i="67"/>
  <c r="EPJ6" i="67"/>
  <c r="EPI6" i="67"/>
  <c r="EPH6" i="67"/>
  <c r="EPG6" i="67"/>
  <c r="EPF6" i="67"/>
  <c r="EPE6" i="67"/>
  <c r="EPD6" i="67"/>
  <c r="EPC6" i="67"/>
  <c r="EPB6" i="67"/>
  <c r="EPA6" i="67"/>
  <c r="EOZ6" i="67"/>
  <c r="EOY6" i="67"/>
  <c r="EOX6" i="67"/>
  <c r="EOW6" i="67"/>
  <c r="EOV6" i="67"/>
  <c r="EOU6" i="67"/>
  <c r="EOT6" i="67"/>
  <c r="EOS6" i="67"/>
  <c r="EOR6" i="67"/>
  <c r="EOQ6" i="67"/>
  <c r="EOP6" i="67"/>
  <c r="EOO6" i="67"/>
  <c r="EON6" i="67"/>
  <c r="EOM6" i="67"/>
  <c r="EOL6" i="67"/>
  <c r="EOK6" i="67"/>
  <c r="EOJ6" i="67"/>
  <c r="EOI6" i="67"/>
  <c r="EOH6" i="67"/>
  <c r="EOG6" i="67"/>
  <c r="EOF6" i="67"/>
  <c r="EOE6" i="67"/>
  <c r="EOD6" i="67"/>
  <c r="EOC6" i="67"/>
  <c r="EOB6" i="67"/>
  <c r="EOA6" i="67"/>
  <c r="ENZ6" i="67"/>
  <c r="ENY6" i="67"/>
  <c r="ENX6" i="67"/>
  <c r="ENW6" i="67"/>
  <c r="ENV6" i="67"/>
  <c r="ENU6" i="67"/>
  <c r="ENT6" i="67"/>
  <c r="ENS6" i="67"/>
  <c r="ENR6" i="67"/>
  <c r="ENQ6" i="67"/>
  <c r="ENP6" i="67"/>
  <c r="ENO6" i="67"/>
  <c r="ENN6" i="67"/>
  <c r="ENM6" i="67"/>
  <c r="ENL6" i="67"/>
  <c r="ENK6" i="67"/>
  <c r="ENJ6" i="67"/>
  <c r="ENI6" i="67"/>
  <c r="ENH6" i="67"/>
  <c r="ENG6" i="67"/>
  <c r="ENF6" i="67"/>
  <c r="ENE6" i="67"/>
  <c r="END6" i="67"/>
  <c r="ENC6" i="67"/>
  <c r="ENB6" i="67"/>
  <c r="ENA6" i="67"/>
  <c r="EMZ6" i="67"/>
  <c r="EMY6" i="67"/>
  <c r="EMX6" i="67"/>
  <c r="EMW6" i="67"/>
  <c r="EMV6" i="67"/>
  <c r="EMU6" i="67"/>
  <c r="EMT6" i="67"/>
  <c r="EMS6" i="67"/>
  <c r="EMR6" i="67"/>
  <c r="EMQ6" i="67"/>
  <c r="EMP6" i="67"/>
  <c r="EMO6" i="67"/>
  <c r="EMN6" i="67"/>
  <c r="EMM6" i="67"/>
  <c r="EML6" i="67"/>
  <c r="EMK6" i="67"/>
  <c r="EMJ6" i="67"/>
  <c r="EMI6" i="67"/>
  <c r="EMH6" i="67"/>
  <c r="EMG6" i="67"/>
  <c r="EMF6" i="67"/>
  <c r="EME6" i="67"/>
  <c r="EMD6" i="67"/>
  <c r="EMC6" i="67"/>
  <c r="EMB6" i="67"/>
  <c r="EMA6" i="67"/>
  <c r="ELZ6" i="67"/>
  <c r="ELY6" i="67"/>
  <c r="ELX6" i="67"/>
  <c r="ELW6" i="67"/>
  <c r="ELV6" i="67"/>
  <c r="ELU6" i="67"/>
  <c r="ELT6" i="67"/>
  <c r="ELS6" i="67"/>
  <c r="ELR6" i="67"/>
  <c r="ELQ6" i="67"/>
  <c r="ELP6" i="67"/>
  <c r="ELO6" i="67"/>
  <c r="ELN6" i="67"/>
  <c r="ELM6" i="67"/>
  <c r="ELL6" i="67"/>
  <c r="ELK6" i="67"/>
  <c r="ELJ6" i="67"/>
  <c r="ELI6" i="67"/>
  <c r="ELH6" i="67"/>
  <c r="ELG6" i="67"/>
  <c r="ELF6" i="67"/>
  <c r="ELE6" i="67"/>
  <c r="ELD6" i="67"/>
  <c r="ELC6" i="67"/>
  <c r="ELB6" i="67"/>
  <c r="ELA6" i="67"/>
  <c r="EKZ6" i="67"/>
  <c r="EKY6" i="67"/>
  <c r="EKX6" i="67"/>
  <c r="EKW6" i="67"/>
  <c r="EKV6" i="67"/>
  <c r="EKU6" i="67"/>
  <c r="EKT6" i="67"/>
  <c r="EKS6" i="67"/>
  <c r="EKR6" i="67"/>
  <c r="EKQ6" i="67"/>
  <c r="EKP6" i="67"/>
  <c r="EKO6" i="67"/>
  <c r="EKN6" i="67"/>
  <c r="EKM6" i="67"/>
  <c r="EKL6" i="67"/>
  <c r="EKK6" i="67"/>
  <c r="EKJ6" i="67"/>
  <c r="EKI6" i="67"/>
  <c r="EKH6" i="67"/>
  <c r="EKG6" i="67"/>
  <c r="EKF6" i="67"/>
  <c r="EKE6" i="67"/>
  <c r="EKD6" i="67"/>
  <c r="EKC6" i="67"/>
  <c r="EKB6" i="67"/>
  <c r="EKA6" i="67"/>
  <c r="EJZ6" i="67"/>
  <c r="EJY6" i="67"/>
  <c r="EJX6" i="67"/>
  <c r="EJW6" i="67"/>
  <c r="EJV6" i="67"/>
  <c r="EJU6" i="67"/>
  <c r="EJT6" i="67"/>
  <c r="EJS6" i="67"/>
  <c r="EJR6" i="67"/>
  <c r="EJQ6" i="67"/>
  <c r="EJP6" i="67"/>
  <c r="EJO6" i="67"/>
  <c r="EJN6" i="67"/>
  <c r="EJM6" i="67"/>
  <c r="EJL6" i="67"/>
  <c r="EJK6" i="67"/>
  <c r="EJJ6" i="67"/>
  <c r="EJI6" i="67"/>
  <c r="EJH6" i="67"/>
  <c r="EJG6" i="67"/>
  <c r="EJF6" i="67"/>
  <c r="EJE6" i="67"/>
  <c r="EJD6" i="67"/>
  <c r="EJC6" i="67"/>
  <c r="EJB6" i="67"/>
  <c r="EJA6" i="67"/>
  <c r="EIZ6" i="67"/>
  <c r="EIY6" i="67"/>
  <c r="EIX6" i="67"/>
  <c r="EIW6" i="67"/>
  <c r="EIV6" i="67"/>
  <c r="EIU6" i="67"/>
  <c r="EIT6" i="67"/>
  <c r="EIS6" i="67"/>
  <c r="EIR6" i="67"/>
  <c r="EIQ6" i="67"/>
  <c r="EIP6" i="67"/>
  <c r="EIO6" i="67"/>
  <c r="EIN6" i="67"/>
  <c r="EIM6" i="67"/>
  <c r="EIL6" i="67"/>
  <c r="EIK6" i="67"/>
  <c r="EIJ6" i="67"/>
  <c r="EII6" i="67"/>
  <c r="EIH6" i="67"/>
  <c r="EIG6" i="67"/>
  <c r="EIF6" i="67"/>
  <c r="EIE6" i="67"/>
  <c r="EID6" i="67"/>
  <c r="EIC6" i="67"/>
  <c r="EIB6" i="67"/>
  <c r="EIA6" i="67"/>
  <c r="EHZ6" i="67"/>
  <c r="EHY6" i="67"/>
  <c r="EHX6" i="67"/>
  <c r="EHW6" i="67"/>
  <c r="EHV6" i="67"/>
  <c r="EHU6" i="67"/>
  <c r="EHT6" i="67"/>
  <c r="EHS6" i="67"/>
  <c r="EHR6" i="67"/>
  <c r="EHQ6" i="67"/>
  <c r="EHP6" i="67"/>
  <c r="EHO6" i="67"/>
  <c r="EHN6" i="67"/>
  <c r="EHM6" i="67"/>
  <c r="EHL6" i="67"/>
  <c r="EHK6" i="67"/>
  <c r="EHJ6" i="67"/>
  <c r="EHI6" i="67"/>
  <c r="EHH6" i="67"/>
  <c r="EHG6" i="67"/>
  <c r="EHF6" i="67"/>
  <c r="EHE6" i="67"/>
  <c r="EHD6" i="67"/>
  <c r="EHC6" i="67"/>
  <c r="EHB6" i="67"/>
  <c r="EHA6" i="67"/>
  <c r="EGZ6" i="67"/>
  <c r="EGY6" i="67"/>
  <c r="EGX6" i="67"/>
  <c r="EGW6" i="67"/>
  <c r="EGV6" i="67"/>
  <c r="EGU6" i="67"/>
  <c r="EGT6" i="67"/>
  <c r="EGS6" i="67"/>
  <c r="EGR6" i="67"/>
  <c r="EGQ6" i="67"/>
  <c r="EGP6" i="67"/>
  <c r="EGO6" i="67"/>
  <c r="EGN6" i="67"/>
  <c r="EGM6" i="67"/>
  <c r="EGL6" i="67"/>
  <c r="EGK6" i="67"/>
  <c r="EGJ6" i="67"/>
  <c r="EGI6" i="67"/>
  <c r="EGH6" i="67"/>
  <c r="EGG6" i="67"/>
  <c r="EGF6" i="67"/>
  <c r="EGE6" i="67"/>
  <c r="EGD6" i="67"/>
  <c r="EGC6" i="67"/>
  <c r="EGB6" i="67"/>
  <c r="EGA6" i="67"/>
  <c r="EFZ6" i="67"/>
  <c r="EFY6" i="67"/>
  <c r="EFX6" i="67"/>
  <c r="EFW6" i="67"/>
  <c r="EFV6" i="67"/>
  <c r="EFU6" i="67"/>
  <c r="EFT6" i="67"/>
  <c r="EFS6" i="67"/>
  <c r="EFR6" i="67"/>
  <c r="EFQ6" i="67"/>
  <c r="EFP6" i="67"/>
  <c r="EFO6" i="67"/>
  <c r="EFN6" i="67"/>
  <c r="EFM6" i="67"/>
  <c r="EFL6" i="67"/>
  <c r="EFK6" i="67"/>
  <c r="EFJ6" i="67"/>
  <c r="EFI6" i="67"/>
  <c r="EFH6" i="67"/>
  <c r="EFG6" i="67"/>
  <c r="EFF6" i="67"/>
  <c r="EFE6" i="67"/>
  <c r="EFD6" i="67"/>
  <c r="EFC6" i="67"/>
  <c r="EFB6" i="67"/>
  <c r="EFA6" i="67"/>
  <c r="EEZ6" i="67"/>
  <c r="EEY6" i="67"/>
  <c r="EEX6" i="67"/>
  <c r="EEW6" i="67"/>
  <c r="EEV6" i="67"/>
  <c r="EEU6" i="67"/>
  <c r="EET6" i="67"/>
  <c r="EES6" i="67"/>
  <c r="EER6" i="67"/>
  <c r="EEQ6" i="67"/>
  <c r="EEP6" i="67"/>
  <c r="EEO6" i="67"/>
  <c r="EEN6" i="67"/>
  <c r="EEM6" i="67"/>
  <c r="EEL6" i="67"/>
  <c r="EEK6" i="67"/>
  <c r="EEJ6" i="67"/>
  <c r="EEI6" i="67"/>
  <c r="EEH6" i="67"/>
  <c r="EEG6" i="67"/>
  <c r="EEF6" i="67"/>
  <c r="EEE6" i="67"/>
  <c r="EED6" i="67"/>
  <c r="EEC6" i="67"/>
  <c r="EEB6" i="67"/>
  <c r="EEA6" i="67"/>
  <c r="EDZ6" i="67"/>
  <c r="EDY6" i="67"/>
  <c r="EDX6" i="67"/>
  <c r="EDW6" i="67"/>
  <c r="EDV6" i="67"/>
  <c r="EDU6" i="67"/>
  <c r="EDT6" i="67"/>
  <c r="EDS6" i="67"/>
  <c r="EDR6" i="67"/>
  <c r="EDQ6" i="67"/>
  <c r="EDP6" i="67"/>
  <c r="EDO6" i="67"/>
  <c r="EDN6" i="67"/>
  <c r="EDM6" i="67"/>
  <c r="EDL6" i="67"/>
  <c r="EDK6" i="67"/>
  <c r="EDJ6" i="67"/>
  <c r="EDI6" i="67"/>
  <c r="EDH6" i="67"/>
  <c r="EDG6" i="67"/>
  <c r="EDF6" i="67"/>
  <c r="EDE6" i="67"/>
  <c r="EDD6" i="67"/>
  <c r="EDC6" i="67"/>
  <c r="EDB6" i="67"/>
  <c r="EDA6" i="67"/>
  <c r="ECZ6" i="67"/>
  <c r="ECY6" i="67"/>
  <c r="ECX6" i="67"/>
  <c r="ECW6" i="67"/>
  <c r="ECV6" i="67"/>
  <c r="ECU6" i="67"/>
  <c r="ECT6" i="67"/>
  <c r="ECS6" i="67"/>
  <c r="ECR6" i="67"/>
  <c r="ECQ6" i="67"/>
  <c r="ECP6" i="67"/>
  <c r="ECO6" i="67"/>
  <c r="ECN6" i="67"/>
  <c r="ECM6" i="67"/>
  <c r="ECL6" i="67"/>
  <c r="ECK6" i="67"/>
  <c r="ECJ6" i="67"/>
  <c r="ECI6" i="67"/>
  <c r="ECH6" i="67"/>
  <c r="ECG6" i="67"/>
  <c r="ECF6" i="67"/>
  <c r="ECE6" i="67"/>
  <c r="ECD6" i="67"/>
  <c r="ECC6" i="67"/>
  <c r="ECB6" i="67"/>
  <c r="ECA6" i="67"/>
  <c r="EBZ6" i="67"/>
  <c r="EBY6" i="67"/>
  <c r="EBX6" i="67"/>
  <c r="EBW6" i="67"/>
  <c r="EBV6" i="67"/>
  <c r="EBU6" i="67"/>
  <c r="EBT6" i="67"/>
  <c r="EBS6" i="67"/>
  <c r="EBR6" i="67"/>
  <c r="EBQ6" i="67"/>
  <c r="EBP6" i="67"/>
  <c r="EBO6" i="67"/>
  <c r="EBN6" i="67"/>
  <c r="EBM6" i="67"/>
  <c r="EBL6" i="67"/>
  <c r="EBK6" i="67"/>
  <c r="EBJ6" i="67"/>
  <c r="EBI6" i="67"/>
  <c r="EBH6" i="67"/>
  <c r="EBG6" i="67"/>
  <c r="EBF6" i="67"/>
  <c r="EBE6" i="67"/>
  <c r="EBD6" i="67"/>
  <c r="EBC6" i="67"/>
  <c r="EBB6" i="67"/>
  <c r="EBA6" i="67"/>
  <c r="EAZ6" i="67"/>
  <c r="EAY6" i="67"/>
  <c r="EAX6" i="67"/>
  <c r="EAW6" i="67"/>
  <c r="EAV6" i="67"/>
  <c r="EAU6" i="67"/>
  <c r="EAT6" i="67"/>
  <c r="EAS6" i="67"/>
  <c r="EAR6" i="67"/>
  <c r="EAQ6" i="67"/>
  <c r="EAP6" i="67"/>
  <c r="EAO6" i="67"/>
  <c r="EAN6" i="67"/>
  <c r="EAM6" i="67"/>
  <c r="EAL6" i="67"/>
  <c r="EAK6" i="67"/>
  <c r="EAJ6" i="67"/>
  <c r="EAI6" i="67"/>
  <c r="EAH6" i="67"/>
  <c r="EAG6" i="67"/>
  <c r="EAF6" i="67"/>
  <c r="EAE6" i="67"/>
  <c r="EAD6" i="67"/>
  <c r="EAC6" i="67"/>
  <c r="EAB6" i="67"/>
  <c r="EAA6" i="67"/>
  <c r="DZZ6" i="67"/>
  <c r="DZY6" i="67"/>
  <c r="DZX6" i="67"/>
  <c r="DZW6" i="67"/>
  <c r="DZV6" i="67"/>
  <c r="DZU6" i="67"/>
  <c r="DZT6" i="67"/>
  <c r="DZS6" i="67"/>
  <c r="DZR6" i="67"/>
  <c r="DZQ6" i="67"/>
  <c r="DZP6" i="67"/>
  <c r="DZO6" i="67"/>
  <c r="DZN6" i="67"/>
  <c r="DZM6" i="67"/>
  <c r="DZL6" i="67"/>
  <c r="DZK6" i="67"/>
  <c r="DZJ6" i="67"/>
  <c r="DZI6" i="67"/>
  <c r="DZH6" i="67"/>
  <c r="DZG6" i="67"/>
  <c r="DZF6" i="67"/>
  <c r="DZE6" i="67"/>
  <c r="DZD6" i="67"/>
  <c r="DZC6" i="67"/>
  <c r="DZB6" i="67"/>
  <c r="DZA6" i="67"/>
  <c r="DYZ6" i="67"/>
  <c r="DYY6" i="67"/>
  <c r="DYX6" i="67"/>
  <c r="DYW6" i="67"/>
  <c r="DYV6" i="67"/>
  <c r="DYU6" i="67"/>
  <c r="DYT6" i="67"/>
  <c r="DYS6" i="67"/>
  <c r="DYR6" i="67"/>
  <c r="DYQ6" i="67"/>
  <c r="DYP6" i="67"/>
  <c r="DYO6" i="67"/>
  <c r="DYN6" i="67"/>
  <c r="DYM6" i="67"/>
  <c r="DYL6" i="67"/>
  <c r="DYK6" i="67"/>
  <c r="DYJ6" i="67"/>
  <c r="DYI6" i="67"/>
  <c r="DYH6" i="67"/>
  <c r="DYG6" i="67"/>
  <c r="DYF6" i="67"/>
  <c r="DYE6" i="67"/>
  <c r="DYD6" i="67"/>
  <c r="DYC6" i="67"/>
  <c r="DYB6" i="67"/>
  <c r="DYA6" i="67"/>
  <c r="DXZ6" i="67"/>
  <c r="DXY6" i="67"/>
  <c r="DXX6" i="67"/>
  <c r="DXW6" i="67"/>
  <c r="DXV6" i="67"/>
  <c r="DXU6" i="67"/>
  <c r="DXT6" i="67"/>
  <c r="DXS6" i="67"/>
  <c r="DXR6" i="67"/>
  <c r="DXQ6" i="67"/>
  <c r="DXP6" i="67"/>
  <c r="DXO6" i="67"/>
  <c r="DXN6" i="67"/>
  <c r="DXM6" i="67"/>
  <c r="DXL6" i="67"/>
  <c r="DXK6" i="67"/>
  <c r="DXJ6" i="67"/>
  <c r="DXI6" i="67"/>
  <c r="DXH6" i="67"/>
  <c r="DXG6" i="67"/>
  <c r="DXF6" i="67"/>
  <c r="DXE6" i="67"/>
  <c r="DXD6" i="67"/>
  <c r="DXC6" i="67"/>
  <c r="DXB6" i="67"/>
  <c r="DXA6" i="67"/>
  <c r="DWZ6" i="67"/>
  <c r="DWY6" i="67"/>
  <c r="DWX6" i="67"/>
  <c r="DWW6" i="67"/>
  <c r="DWV6" i="67"/>
  <c r="DWU6" i="67"/>
  <c r="DWT6" i="67"/>
  <c r="DWS6" i="67"/>
  <c r="DWR6" i="67"/>
  <c r="DWQ6" i="67"/>
  <c r="DWP6" i="67"/>
  <c r="DWO6" i="67"/>
  <c r="DWN6" i="67"/>
  <c r="DWM6" i="67"/>
  <c r="DWL6" i="67"/>
  <c r="DWK6" i="67"/>
  <c r="DWJ6" i="67"/>
  <c r="DWI6" i="67"/>
  <c r="DWH6" i="67"/>
  <c r="DWG6" i="67"/>
  <c r="DWF6" i="67"/>
  <c r="DWE6" i="67"/>
  <c r="DWD6" i="67"/>
  <c r="DWC6" i="67"/>
  <c r="DWB6" i="67"/>
  <c r="DWA6" i="67"/>
  <c r="DVZ6" i="67"/>
  <c r="DVY6" i="67"/>
  <c r="DVX6" i="67"/>
  <c r="DVW6" i="67"/>
  <c r="DVV6" i="67"/>
  <c r="DVU6" i="67"/>
  <c r="DVT6" i="67"/>
  <c r="DVS6" i="67"/>
  <c r="DVR6" i="67"/>
  <c r="DVQ6" i="67"/>
  <c r="DVP6" i="67"/>
  <c r="DVO6" i="67"/>
  <c r="DVN6" i="67"/>
  <c r="DVM6" i="67"/>
  <c r="DVL6" i="67"/>
  <c r="DVK6" i="67"/>
  <c r="DVJ6" i="67"/>
  <c r="DVI6" i="67"/>
  <c r="DVH6" i="67"/>
  <c r="DVG6" i="67"/>
  <c r="DVF6" i="67"/>
  <c r="DVE6" i="67"/>
  <c r="DVD6" i="67"/>
  <c r="DVC6" i="67"/>
  <c r="DVB6" i="67"/>
  <c r="DVA6" i="67"/>
  <c r="DUZ6" i="67"/>
  <c r="DUY6" i="67"/>
  <c r="DUX6" i="67"/>
  <c r="DUW6" i="67"/>
  <c r="DUV6" i="67"/>
  <c r="DUU6" i="67"/>
  <c r="DUT6" i="67"/>
  <c r="DUS6" i="67"/>
  <c r="DUR6" i="67"/>
  <c r="DUQ6" i="67"/>
  <c r="DUP6" i="67"/>
  <c r="DUO6" i="67"/>
  <c r="DUN6" i="67"/>
  <c r="DUM6" i="67"/>
  <c r="DUL6" i="67"/>
  <c r="DUK6" i="67"/>
  <c r="DUJ6" i="67"/>
  <c r="DUI6" i="67"/>
  <c r="DUH6" i="67"/>
  <c r="DUG6" i="67"/>
  <c r="DUF6" i="67"/>
  <c r="DUE6" i="67"/>
  <c r="DUD6" i="67"/>
  <c r="DUC6" i="67"/>
  <c r="DUB6" i="67"/>
  <c r="DUA6" i="67"/>
  <c r="DTZ6" i="67"/>
  <c r="DTY6" i="67"/>
  <c r="DTX6" i="67"/>
  <c r="DTW6" i="67"/>
  <c r="DTV6" i="67"/>
  <c r="DTU6" i="67"/>
  <c r="DTT6" i="67"/>
  <c r="DTS6" i="67"/>
  <c r="DTR6" i="67"/>
  <c r="DTQ6" i="67"/>
  <c r="DTP6" i="67"/>
  <c r="DTO6" i="67"/>
  <c r="DTN6" i="67"/>
  <c r="DTM6" i="67"/>
  <c r="DTL6" i="67"/>
  <c r="DTK6" i="67"/>
  <c r="DTJ6" i="67"/>
  <c r="DTI6" i="67"/>
  <c r="DTH6" i="67"/>
  <c r="DTG6" i="67"/>
  <c r="DTF6" i="67"/>
  <c r="DTE6" i="67"/>
  <c r="DTD6" i="67"/>
  <c r="DTC6" i="67"/>
  <c r="DTB6" i="67"/>
  <c r="DTA6" i="67"/>
  <c r="DSZ6" i="67"/>
  <c r="DSY6" i="67"/>
  <c r="DSX6" i="67"/>
  <c r="DSW6" i="67"/>
  <c r="DSV6" i="67"/>
  <c r="DSU6" i="67"/>
  <c r="DST6" i="67"/>
  <c r="DSS6" i="67"/>
  <c r="DSR6" i="67"/>
  <c r="DSQ6" i="67"/>
  <c r="DSP6" i="67"/>
  <c r="DSO6" i="67"/>
  <c r="DSN6" i="67"/>
  <c r="DSM6" i="67"/>
  <c r="DSL6" i="67"/>
  <c r="DSK6" i="67"/>
  <c r="DSJ6" i="67"/>
  <c r="DSI6" i="67"/>
  <c r="DSH6" i="67"/>
  <c r="DSG6" i="67"/>
  <c r="DSF6" i="67"/>
  <c r="DSE6" i="67"/>
  <c r="DSD6" i="67"/>
  <c r="DSC6" i="67"/>
  <c r="DSB6" i="67"/>
  <c r="DSA6" i="67"/>
  <c r="DRZ6" i="67"/>
  <c r="DRY6" i="67"/>
  <c r="DRX6" i="67"/>
  <c r="DRW6" i="67"/>
  <c r="DRV6" i="67"/>
  <c r="DRU6" i="67"/>
  <c r="DRT6" i="67"/>
  <c r="DRS6" i="67"/>
  <c r="DRR6" i="67"/>
  <c r="DRQ6" i="67"/>
  <c r="DRP6" i="67"/>
  <c r="DRO6" i="67"/>
  <c r="DRN6" i="67"/>
  <c r="DRM6" i="67"/>
  <c r="DRL6" i="67"/>
  <c r="DRK6" i="67"/>
  <c r="DRJ6" i="67"/>
  <c r="DRI6" i="67"/>
  <c r="DRH6" i="67"/>
  <c r="DRG6" i="67"/>
  <c r="DRF6" i="67"/>
  <c r="DRE6" i="67"/>
  <c r="DRD6" i="67"/>
  <c r="DRC6" i="67"/>
  <c r="DRB6" i="67"/>
  <c r="DRA6" i="67"/>
  <c r="DQZ6" i="67"/>
  <c r="DQY6" i="67"/>
  <c r="DQX6" i="67"/>
  <c r="DQW6" i="67"/>
  <c r="DQV6" i="67"/>
  <c r="DQU6" i="67"/>
  <c r="DQT6" i="67"/>
  <c r="DQS6" i="67"/>
  <c r="DQR6" i="67"/>
  <c r="DQQ6" i="67"/>
  <c r="DQP6" i="67"/>
  <c r="DQO6" i="67"/>
  <c r="DQN6" i="67"/>
  <c r="DQM6" i="67"/>
  <c r="DQL6" i="67"/>
  <c r="DQK6" i="67"/>
  <c r="DQJ6" i="67"/>
  <c r="DQI6" i="67"/>
  <c r="DQH6" i="67"/>
  <c r="DQG6" i="67"/>
  <c r="DQF6" i="67"/>
  <c r="DQE6" i="67"/>
  <c r="DQD6" i="67"/>
  <c r="DQC6" i="67"/>
  <c r="DQB6" i="67"/>
  <c r="DQA6" i="67"/>
  <c r="DPZ6" i="67"/>
  <c r="DPY6" i="67"/>
  <c r="DPX6" i="67"/>
  <c r="DPW6" i="67"/>
  <c r="DPV6" i="67"/>
  <c r="DPU6" i="67"/>
  <c r="DPT6" i="67"/>
  <c r="DPS6" i="67"/>
  <c r="DPR6" i="67"/>
  <c r="DPQ6" i="67"/>
  <c r="DPP6" i="67"/>
  <c r="DPO6" i="67"/>
  <c r="DPN6" i="67"/>
  <c r="DPM6" i="67"/>
  <c r="DPL6" i="67"/>
  <c r="DPK6" i="67"/>
  <c r="DPJ6" i="67"/>
  <c r="DPI6" i="67"/>
  <c r="DPH6" i="67"/>
  <c r="DPG6" i="67"/>
  <c r="DPF6" i="67"/>
  <c r="DPE6" i="67"/>
  <c r="DPD6" i="67"/>
  <c r="DPC6" i="67"/>
  <c r="DPB6" i="67"/>
  <c r="DPA6" i="67"/>
  <c r="DOZ6" i="67"/>
  <c r="DOY6" i="67"/>
  <c r="DOX6" i="67"/>
  <c r="DOW6" i="67"/>
  <c r="DOV6" i="67"/>
  <c r="DOU6" i="67"/>
  <c r="DOT6" i="67"/>
  <c r="DOS6" i="67"/>
  <c r="DOR6" i="67"/>
  <c r="DOQ6" i="67"/>
  <c r="DOP6" i="67"/>
  <c r="DOO6" i="67"/>
  <c r="DON6" i="67"/>
  <c r="DOM6" i="67"/>
  <c r="DOL6" i="67"/>
  <c r="DOK6" i="67"/>
  <c r="DOJ6" i="67"/>
  <c r="DOI6" i="67"/>
  <c r="DOH6" i="67"/>
  <c r="DOG6" i="67"/>
  <c r="DOF6" i="67"/>
  <c r="DOE6" i="67"/>
  <c r="DOD6" i="67"/>
  <c r="DOC6" i="67"/>
  <c r="DOB6" i="67"/>
  <c r="DOA6" i="67"/>
  <c r="DNZ6" i="67"/>
  <c r="DNY6" i="67"/>
  <c r="DNX6" i="67"/>
  <c r="DNW6" i="67"/>
  <c r="DNV6" i="67"/>
  <c r="DNU6" i="67"/>
  <c r="DNT6" i="67"/>
  <c r="DNS6" i="67"/>
  <c r="DNR6" i="67"/>
  <c r="DNQ6" i="67"/>
  <c r="DNP6" i="67"/>
  <c r="DNO6" i="67"/>
  <c r="DNN6" i="67"/>
  <c r="DNM6" i="67"/>
  <c r="DNL6" i="67"/>
  <c r="DNK6" i="67"/>
  <c r="DNJ6" i="67"/>
  <c r="DNI6" i="67"/>
  <c r="DNH6" i="67"/>
  <c r="DNG6" i="67"/>
  <c r="DNF6" i="67"/>
  <c r="DNE6" i="67"/>
  <c r="DND6" i="67"/>
  <c r="DNC6" i="67"/>
  <c r="DNB6" i="67"/>
  <c r="DNA6" i="67"/>
  <c r="DMZ6" i="67"/>
  <c r="DMY6" i="67"/>
  <c r="DMX6" i="67"/>
  <c r="DMW6" i="67"/>
  <c r="DMV6" i="67"/>
  <c r="DMU6" i="67"/>
  <c r="DMT6" i="67"/>
  <c r="DMS6" i="67"/>
  <c r="DMR6" i="67"/>
  <c r="DMQ6" i="67"/>
  <c r="DMP6" i="67"/>
  <c r="DMO6" i="67"/>
  <c r="DMN6" i="67"/>
  <c r="DMM6" i="67"/>
  <c r="DML6" i="67"/>
  <c r="DMK6" i="67"/>
  <c r="DMJ6" i="67"/>
  <c r="DMI6" i="67"/>
  <c r="DMH6" i="67"/>
  <c r="DMG6" i="67"/>
  <c r="DMF6" i="67"/>
  <c r="DME6" i="67"/>
  <c r="DMD6" i="67"/>
  <c r="DMC6" i="67"/>
  <c r="DMB6" i="67"/>
  <c r="DMA6" i="67"/>
  <c r="DLZ6" i="67"/>
  <c r="DLY6" i="67"/>
  <c r="DLX6" i="67"/>
  <c r="DLW6" i="67"/>
  <c r="DLV6" i="67"/>
  <c r="DLU6" i="67"/>
  <c r="DLT6" i="67"/>
  <c r="DLS6" i="67"/>
  <c r="DLR6" i="67"/>
  <c r="DLQ6" i="67"/>
  <c r="DLP6" i="67"/>
  <c r="DLO6" i="67"/>
  <c r="DLN6" i="67"/>
  <c r="DLM6" i="67"/>
  <c r="DLL6" i="67"/>
  <c r="DLK6" i="67"/>
  <c r="DLJ6" i="67"/>
  <c r="DLI6" i="67"/>
  <c r="DLH6" i="67"/>
  <c r="DLG6" i="67"/>
  <c r="DLF6" i="67"/>
  <c r="DLE6" i="67"/>
  <c r="DLD6" i="67"/>
  <c r="DLC6" i="67"/>
  <c r="DLB6" i="67"/>
  <c r="DLA6" i="67"/>
  <c r="DKZ6" i="67"/>
  <c r="DKY6" i="67"/>
  <c r="DKX6" i="67"/>
  <c r="DKW6" i="67"/>
  <c r="DKV6" i="67"/>
  <c r="DKU6" i="67"/>
  <c r="DKT6" i="67"/>
  <c r="DKS6" i="67"/>
  <c r="DKR6" i="67"/>
  <c r="DKQ6" i="67"/>
  <c r="DKP6" i="67"/>
  <c r="DKO6" i="67"/>
  <c r="DKN6" i="67"/>
  <c r="DKM6" i="67"/>
  <c r="DKL6" i="67"/>
  <c r="DKK6" i="67"/>
  <c r="DKJ6" i="67"/>
  <c r="DKI6" i="67"/>
  <c r="DKH6" i="67"/>
  <c r="DKG6" i="67"/>
  <c r="DKF6" i="67"/>
  <c r="DKE6" i="67"/>
  <c r="DKD6" i="67"/>
  <c r="DKC6" i="67"/>
  <c r="DKB6" i="67"/>
  <c r="DKA6" i="67"/>
  <c r="DJZ6" i="67"/>
  <c r="DJY6" i="67"/>
  <c r="DJX6" i="67"/>
  <c r="DJW6" i="67"/>
  <c r="DJV6" i="67"/>
  <c r="DJU6" i="67"/>
  <c r="DJT6" i="67"/>
  <c r="DJS6" i="67"/>
  <c r="DJR6" i="67"/>
  <c r="DJQ6" i="67"/>
  <c r="DJP6" i="67"/>
  <c r="DJO6" i="67"/>
  <c r="DJN6" i="67"/>
  <c r="DJM6" i="67"/>
  <c r="DJL6" i="67"/>
  <c r="DJK6" i="67"/>
  <c r="DJJ6" i="67"/>
  <c r="DJI6" i="67"/>
  <c r="DJH6" i="67"/>
  <c r="DJG6" i="67"/>
  <c r="DJF6" i="67"/>
  <c r="DJE6" i="67"/>
  <c r="DJD6" i="67"/>
  <c r="DJC6" i="67"/>
  <c r="DJB6" i="67"/>
  <c r="DJA6" i="67"/>
  <c r="DIZ6" i="67"/>
  <c r="DIY6" i="67"/>
  <c r="DIX6" i="67"/>
  <c r="DIW6" i="67"/>
  <c r="DIV6" i="67"/>
  <c r="DIU6" i="67"/>
  <c r="DIT6" i="67"/>
  <c r="DIS6" i="67"/>
  <c r="DIR6" i="67"/>
  <c r="DIQ6" i="67"/>
  <c r="DIP6" i="67"/>
  <c r="DIO6" i="67"/>
  <c r="DIN6" i="67"/>
  <c r="DIM6" i="67"/>
  <c r="DIL6" i="67"/>
  <c r="DIK6" i="67"/>
  <c r="DIJ6" i="67"/>
  <c r="DII6" i="67"/>
  <c r="DIH6" i="67"/>
  <c r="DIG6" i="67"/>
  <c r="DIF6" i="67"/>
  <c r="DIE6" i="67"/>
  <c r="DID6" i="67"/>
  <c r="DIC6" i="67"/>
  <c r="DIB6" i="67"/>
  <c r="DIA6" i="67"/>
  <c r="DHZ6" i="67"/>
  <c r="DHY6" i="67"/>
  <c r="DHX6" i="67"/>
  <c r="DHW6" i="67"/>
  <c r="DHV6" i="67"/>
  <c r="DHU6" i="67"/>
  <c r="DHT6" i="67"/>
  <c r="DHS6" i="67"/>
  <c r="DHR6" i="67"/>
  <c r="DHQ6" i="67"/>
  <c r="DHP6" i="67"/>
  <c r="DHO6" i="67"/>
  <c r="DHN6" i="67"/>
  <c r="DHM6" i="67"/>
  <c r="DHL6" i="67"/>
  <c r="DHK6" i="67"/>
  <c r="DHJ6" i="67"/>
  <c r="DHI6" i="67"/>
  <c r="DHH6" i="67"/>
  <c r="DHG6" i="67"/>
  <c r="DHF6" i="67"/>
  <c r="DHE6" i="67"/>
  <c r="DHD6" i="67"/>
  <c r="DHC6" i="67"/>
  <c r="DHB6" i="67"/>
  <c r="DHA6" i="67"/>
  <c r="DGZ6" i="67"/>
  <c r="DGY6" i="67"/>
  <c r="DGX6" i="67"/>
  <c r="DGW6" i="67"/>
  <c r="DGV6" i="67"/>
  <c r="DGU6" i="67"/>
  <c r="DGT6" i="67"/>
  <c r="DGS6" i="67"/>
  <c r="DGR6" i="67"/>
  <c r="DGQ6" i="67"/>
  <c r="DGP6" i="67"/>
  <c r="DGO6" i="67"/>
  <c r="DGN6" i="67"/>
  <c r="DGM6" i="67"/>
  <c r="DGL6" i="67"/>
  <c r="DGK6" i="67"/>
  <c r="DGJ6" i="67"/>
  <c r="DGI6" i="67"/>
  <c r="DGH6" i="67"/>
  <c r="DGG6" i="67"/>
  <c r="DGF6" i="67"/>
  <c r="DGE6" i="67"/>
  <c r="DGD6" i="67"/>
  <c r="DGC6" i="67"/>
  <c r="DGB6" i="67"/>
  <c r="DGA6" i="67"/>
  <c r="DFZ6" i="67"/>
  <c r="DFY6" i="67"/>
  <c r="DFX6" i="67"/>
  <c r="DFW6" i="67"/>
  <c r="DFV6" i="67"/>
  <c r="DFU6" i="67"/>
  <c r="DFT6" i="67"/>
  <c r="DFS6" i="67"/>
  <c r="DFR6" i="67"/>
  <c r="DFQ6" i="67"/>
  <c r="DFP6" i="67"/>
  <c r="DFO6" i="67"/>
  <c r="DFN6" i="67"/>
  <c r="DFM6" i="67"/>
  <c r="DFL6" i="67"/>
  <c r="DFK6" i="67"/>
  <c r="DFJ6" i="67"/>
  <c r="DFI6" i="67"/>
  <c r="DFH6" i="67"/>
  <c r="DFG6" i="67"/>
  <c r="DFF6" i="67"/>
  <c r="DFE6" i="67"/>
  <c r="DFD6" i="67"/>
  <c r="DFC6" i="67"/>
  <c r="DFB6" i="67"/>
  <c r="DFA6" i="67"/>
  <c r="DEZ6" i="67"/>
  <c r="DEY6" i="67"/>
  <c r="DEX6" i="67"/>
  <c r="DEW6" i="67"/>
  <c r="DEV6" i="67"/>
  <c r="DEU6" i="67"/>
  <c r="DET6" i="67"/>
  <c r="DES6" i="67"/>
  <c r="DER6" i="67"/>
  <c r="DEQ6" i="67"/>
  <c r="DEP6" i="67"/>
  <c r="DEO6" i="67"/>
  <c r="DEN6" i="67"/>
  <c r="DEM6" i="67"/>
  <c r="DEL6" i="67"/>
  <c r="DEK6" i="67"/>
  <c r="DEJ6" i="67"/>
  <c r="DEI6" i="67"/>
  <c r="DEH6" i="67"/>
  <c r="DEG6" i="67"/>
  <c r="DEF6" i="67"/>
  <c r="DEE6" i="67"/>
  <c r="DED6" i="67"/>
  <c r="DEC6" i="67"/>
  <c r="DEB6" i="67"/>
  <c r="DEA6" i="67"/>
  <c r="DDZ6" i="67"/>
  <c r="DDY6" i="67"/>
  <c r="DDX6" i="67"/>
  <c r="DDW6" i="67"/>
  <c r="DDV6" i="67"/>
  <c r="DDU6" i="67"/>
  <c r="DDT6" i="67"/>
  <c r="DDS6" i="67"/>
  <c r="DDR6" i="67"/>
  <c r="DDQ6" i="67"/>
  <c r="DDP6" i="67"/>
  <c r="DDO6" i="67"/>
  <c r="DDN6" i="67"/>
  <c r="DDM6" i="67"/>
  <c r="DDL6" i="67"/>
  <c r="DDK6" i="67"/>
  <c r="DDJ6" i="67"/>
  <c r="DDI6" i="67"/>
  <c r="DDH6" i="67"/>
  <c r="DDG6" i="67"/>
  <c r="DDF6" i="67"/>
  <c r="DDE6" i="67"/>
  <c r="DDD6" i="67"/>
  <c r="DDC6" i="67"/>
  <c r="DDB6" i="67"/>
  <c r="DDA6" i="67"/>
  <c r="DCZ6" i="67"/>
  <c r="DCY6" i="67"/>
  <c r="DCX6" i="67"/>
  <c r="DCW6" i="67"/>
  <c r="DCV6" i="67"/>
  <c r="DCU6" i="67"/>
  <c r="DCT6" i="67"/>
  <c r="DCS6" i="67"/>
  <c r="DCR6" i="67"/>
  <c r="DCQ6" i="67"/>
  <c r="DCP6" i="67"/>
  <c r="DCO6" i="67"/>
  <c r="DCN6" i="67"/>
  <c r="DCM6" i="67"/>
  <c r="DCL6" i="67"/>
  <c r="DCK6" i="67"/>
  <c r="DCJ6" i="67"/>
  <c r="DCI6" i="67"/>
  <c r="DCH6" i="67"/>
  <c r="DCG6" i="67"/>
  <c r="DCF6" i="67"/>
  <c r="DCE6" i="67"/>
  <c r="DCD6" i="67"/>
  <c r="DCC6" i="67"/>
  <c r="DCB6" i="67"/>
  <c r="DCA6" i="67"/>
  <c r="DBZ6" i="67"/>
  <c r="DBY6" i="67"/>
  <c r="DBX6" i="67"/>
  <c r="DBW6" i="67"/>
  <c r="DBV6" i="67"/>
  <c r="DBU6" i="67"/>
  <c r="DBT6" i="67"/>
  <c r="DBS6" i="67"/>
  <c r="DBR6" i="67"/>
  <c r="DBQ6" i="67"/>
  <c r="DBP6" i="67"/>
  <c r="DBO6" i="67"/>
  <c r="DBN6" i="67"/>
  <c r="DBM6" i="67"/>
  <c r="DBL6" i="67"/>
  <c r="DBK6" i="67"/>
  <c r="DBJ6" i="67"/>
  <c r="DBI6" i="67"/>
  <c r="DBH6" i="67"/>
  <c r="DBG6" i="67"/>
  <c r="DBF6" i="67"/>
  <c r="DBE6" i="67"/>
  <c r="DBD6" i="67"/>
  <c r="DBC6" i="67"/>
  <c r="DBB6" i="67"/>
  <c r="DBA6" i="67"/>
  <c r="DAZ6" i="67"/>
  <c r="DAY6" i="67"/>
  <c r="DAX6" i="67"/>
  <c r="DAW6" i="67"/>
  <c r="DAV6" i="67"/>
  <c r="DAU6" i="67"/>
  <c r="DAT6" i="67"/>
  <c r="DAS6" i="67"/>
  <c r="DAR6" i="67"/>
  <c r="DAQ6" i="67"/>
  <c r="DAP6" i="67"/>
  <c r="DAO6" i="67"/>
  <c r="DAN6" i="67"/>
  <c r="DAM6" i="67"/>
  <c r="DAL6" i="67"/>
  <c r="DAK6" i="67"/>
  <c r="DAJ6" i="67"/>
  <c r="DAI6" i="67"/>
  <c r="DAH6" i="67"/>
  <c r="DAG6" i="67"/>
  <c r="DAF6" i="67"/>
  <c r="DAE6" i="67"/>
  <c r="DAD6" i="67"/>
  <c r="DAC6" i="67"/>
  <c r="DAB6" i="67"/>
  <c r="DAA6" i="67"/>
  <c r="CZZ6" i="67"/>
  <c r="CZY6" i="67"/>
  <c r="CZX6" i="67"/>
  <c r="CZW6" i="67"/>
  <c r="CZV6" i="67"/>
  <c r="CZU6" i="67"/>
  <c r="CZT6" i="67"/>
  <c r="CZS6" i="67"/>
  <c r="CZR6" i="67"/>
  <c r="CZQ6" i="67"/>
  <c r="CZP6" i="67"/>
  <c r="CZO6" i="67"/>
  <c r="CZN6" i="67"/>
  <c r="CZM6" i="67"/>
  <c r="CZL6" i="67"/>
  <c r="CZK6" i="67"/>
  <c r="CZJ6" i="67"/>
  <c r="CZI6" i="67"/>
  <c r="CZH6" i="67"/>
  <c r="CZG6" i="67"/>
  <c r="CZF6" i="67"/>
  <c r="CZE6" i="67"/>
  <c r="CZD6" i="67"/>
  <c r="CZC6" i="67"/>
  <c r="CZB6" i="67"/>
  <c r="CZA6" i="67"/>
  <c r="CYZ6" i="67"/>
  <c r="CYY6" i="67"/>
  <c r="CYX6" i="67"/>
  <c r="CYW6" i="67"/>
  <c r="CYV6" i="67"/>
  <c r="CYU6" i="67"/>
  <c r="CYT6" i="67"/>
  <c r="CYS6" i="67"/>
  <c r="CYR6" i="67"/>
  <c r="CYQ6" i="67"/>
  <c r="CYP6" i="67"/>
  <c r="CYO6" i="67"/>
  <c r="CYN6" i="67"/>
  <c r="CYM6" i="67"/>
  <c r="CYL6" i="67"/>
  <c r="CYK6" i="67"/>
  <c r="CYJ6" i="67"/>
  <c r="CYI6" i="67"/>
  <c r="CYH6" i="67"/>
  <c r="CYG6" i="67"/>
  <c r="CYF6" i="67"/>
  <c r="CYE6" i="67"/>
  <c r="CYD6" i="67"/>
  <c r="CYC6" i="67"/>
  <c r="CYB6" i="67"/>
  <c r="CYA6" i="67"/>
  <c r="CXZ6" i="67"/>
  <c r="CXY6" i="67"/>
  <c r="CXX6" i="67"/>
  <c r="CXW6" i="67"/>
  <c r="CXV6" i="67"/>
  <c r="CXU6" i="67"/>
  <c r="CXT6" i="67"/>
  <c r="CXS6" i="67"/>
  <c r="CXR6" i="67"/>
  <c r="CXQ6" i="67"/>
  <c r="CXP6" i="67"/>
  <c r="CXO6" i="67"/>
  <c r="CXN6" i="67"/>
  <c r="CXM6" i="67"/>
  <c r="CXL6" i="67"/>
  <c r="CXK6" i="67"/>
  <c r="CXJ6" i="67"/>
  <c r="CXI6" i="67"/>
  <c r="CXH6" i="67"/>
  <c r="CXG6" i="67"/>
  <c r="CXF6" i="67"/>
  <c r="CXE6" i="67"/>
  <c r="CXD6" i="67"/>
  <c r="CXC6" i="67"/>
  <c r="CXB6" i="67"/>
  <c r="CXA6" i="67"/>
  <c r="CWZ6" i="67"/>
  <c r="CWY6" i="67"/>
  <c r="CWX6" i="67"/>
  <c r="CWW6" i="67"/>
  <c r="CWV6" i="67"/>
  <c r="CWU6" i="67"/>
  <c r="CWT6" i="67"/>
  <c r="CWS6" i="67"/>
  <c r="CWR6" i="67"/>
  <c r="CWQ6" i="67"/>
  <c r="CWP6" i="67"/>
  <c r="CWO6" i="67"/>
  <c r="CWN6" i="67"/>
  <c r="CWM6" i="67"/>
  <c r="CWL6" i="67"/>
  <c r="CWK6" i="67"/>
  <c r="CWJ6" i="67"/>
  <c r="CWI6" i="67"/>
  <c r="CWH6" i="67"/>
  <c r="CWG6" i="67"/>
  <c r="CWF6" i="67"/>
  <c r="CWE6" i="67"/>
  <c r="CWD6" i="67"/>
  <c r="CWC6" i="67"/>
  <c r="CWB6" i="67"/>
  <c r="CWA6" i="67"/>
  <c r="CVZ6" i="67"/>
  <c r="CVY6" i="67"/>
  <c r="CVX6" i="67"/>
  <c r="CVW6" i="67"/>
  <c r="CVV6" i="67"/>
  <c r="CVU6" i="67"/>
  <c r="CVT6" i="67"/>
  <c r="CVS6" i="67"/>
  <c r="CVR6" i="67"/>
  <c r="CVQ6" i="67"/>
  <c r="CVP6" i="67"/>
  <c r="CVO6" i="67"/>
  <c r="CVN6" i="67"/>
  <c r="CVM6" i="67"/>
  <c r="CVL6" i="67"/>
  <c r="CVK6" i="67"/>
  <c r="CVJ6" i="67"/>
  <c r="CVI6" i="67"/>
  <c r="CVH6" i="67"/>
  <c r="CVG6" i="67"/>
  <c r="CVF6" i="67"/>
  <c r="CVE6" i="67"/>
  <c r="CVD6" i="67"/>
  <c r="CVC6" i="67"/>
  <c r="CVB6" i="67"/>
  <c r="CVA6" i="67"/>
  <c r="CUZ6" i="67"/>
  <c r="CUY6" i="67"/>
  <c r="CUX6" i="67"/>
  <c r="CUW6" i="67"/>
  <c r="CUV6" i="67"/>
  <c r="CUU6" i="67"/>
  <c r="CUT6" i="67"/>
  <c r="CUS6" i="67"/>
  <c r="CUR6" i="67"/>
  <c r="CUQ6" i="67"/>
  <c r="CUP6" i="67"/>
  <c r="CUO6" i="67"/>
  <c r="CUN6" i="67"/>
  <c r="CUM6" i="67"/>
  <c r="CUL6" i="67"/>
  <c r="CUK6" i="67"/>
  <c r="CUJ6" i="67"/>
  <c r="CUI6" i="67"/>
  <c r="CUH6" i="67"/>
  <c r="CUG6" i="67"/>
  <c r="CUF6" i="67"/>
  <c r="CUE6" i="67"/>
  <c r="CUD6" i="67"/>
  <c r="CUC6" i="67"/>
  <c r="CUB6" i="67"/>
  <c r="CUA6" i="67"/>
  <c r="CTZ6" i="67"/>
  <c r="CTY6" i="67"/>
  <c r="CTX6" i="67"/>
  <c r="CTW6" i="67"/>
  <c r="CTV6" i="67"/>
  <c r="CTU6" i="67"/>
  <c r="CTT6" i="67"/>
  <c r="CTS6" i="67"/>
  <c r="CTR6" i="67"/>
  <c r="CTQ6" i="67"/>
  <c r="CTP6" i="67"/>
  <c r="CTO6" i="67"/>
  <c r="CTN6" i="67"/>
  <c r="CTM6" i="67"/>
  <c r="CTL6" i="67"/>
  <c r="CTK6" i="67"/>
  <c r="CTJ6" i="67"/>
  <c r="CTI6" i="67"/>
  <c r="CTH6" i="67"/>
  <c r="CTG6" i="67"/>
  <c r="CTF6" i="67"/>
  <c r="CTE6" i="67"/>
  <c r="CTD6" i="67"/>
  <c r="CTC6" i="67"/>
  <c r="CTB6" i="67"/>
  <c r="CTA6" i="67"/>
  <c r="CSZ6" i="67"/>
  <c r="CSY6" i="67"/>
  <c r="CSX6" i="67"/>
  <c r="CSW6" i="67"/>
  <c r="CSV6" i="67"/>
  <c r="CSU6" i="67"/>
  <c r="CST6" i="67"/>
  <c r="CSS6" i="67"/>
  <c r="CSR6" i="67"/>
  <c r="CSQ6" i="67"/>
  <c r="CSP6" i="67"/>
  <c r="CSO6" i="67"/>
  <c r="CSN6" i="67"/>
  <c r="CSM6" i="67"/>
  <c r="CSL6" i="67"/>
  <c r="CSK6" i="67"/>
  <c r="CSJ6" i="67"/>
  <c r="CSI6" i="67"/>
  <c r="CSH6" i="67"/>
  <c r="CSG6" i="67"/>
  <c r="CSF6" i="67"/>
  <c r="CSE6" i="67"/>
  <c r="CSD6" i="67"/>
  <c r="CSC6" i="67"/>
  <c r="CSB6" i="67"/>
  <c r="CSA6" i="67"/>
  <c r="CRZ6" i="67"/>
  <c r="CRY6" i="67"/>
  <c r="CRX6" i="67"/>
  <c r="CRW6" i="67"/>
  <c r="CRV6" i="67"/>
  <c r="CRU6" i="67"/>
  <c r="CRT6" i="67"/>
  <c r="CRS6" i="67"/>
  <c r="CRR6" i="67"/>
  <c r="CRQ6" i="67"/>
  <c r="CRP6" i="67"/>
  <c r="CRO6" i="67"/>
  <c r="CRN6" i="67"/>
  <c r="CRM6" i="67"/>
  <c r="CRL6" i="67"/>
  <c r="CRK6" i="67"/>
  <c r="CRJ6" i="67"/>
  <c r="CRI6" i="67"/>
  <c r="CRH6" i="67"/>
  <c r="CRG6" i="67"/>
  <c r="CRF6" i="67"/>
  <c r="CRE6" i="67"/>
  <c r="CRD6" i="67"/>
  <c r="CRC6" i="67"/>
  <c r="CRB6" i="67"/>
  <c r="CRA6" i="67"/>
  <c r="CQZ6" i="67"/>
  <c r="CQY6" i="67"/>
  <c r="CQX6" i="67"/>
  <c r="CQW6" i="67"/>
  <c r="CQV6" i="67"/>
  <c r="CQU6" i="67"/>
  <c r="CQT6" i="67"/>
  <c r="CQS6" i="67"/>
  <c r="CQR6" i="67"/>
  <c r="CQQ6" i="67"/>
  <c r="CQP6" i="67"/>
  <c r="CQO6" i="67"/>
  <c r="CQN6" i="67"/>
  <c r="CQM6" i="67"/>
  <c r="CQL6" i="67"/>
  <c r="CQK6" i="67"/>
  <c r="CQJ6" i="67"/>
  <c r="CQI6" i="67"/>
  <c r="CQH6" i="67"/>
  <c r="CQG6" i="67"/>
  <c r="CQF6" i="67"/>
  <c r="CQE6" i="67"/>
  <c r="CQD6" i="67"/>
  <c r="CQC6" i="67"/>
  <c r="CQB6" i="67"/>
  <c r="CQA6" i="67"/>
  <c r="CPZ6" i="67"/>
  <c r="CPY6" i="67"/>
  <c r="CPX6" i="67"/>
  <c r="CPW6" i="67"/>
  <c r="CPV6" i="67"/>
  <c r="CPU6" i="67"/>
  <c r="CPT6" i="67"/>
  <c r="CPS6" i="67"/>
  <c r="CPR6" i="67"/>
  <c r="CPQ6" i="67"/>
  <c r="CPP6" i="67"/>
  <c r="CPO6" i="67"/>
  <c r="CPN6" i="67"/>
  <c r="CPM6" i="67"/>
  <c r="CPL6" i="67"/>
  <c r="CPK6" i="67"/>
  <c r="CPJ6" i="67"/>
  <c r="CPI6" i="67"/>
  <c r="CPH6" i="67"/>
  <c r="CPG6" i="67"/>
  <c r="CPF6" i="67"/>
  <c r="CPE6" i="67"/>
  <c r="CPD6" i="67"/>
  <c r="CPC6" i="67"/>
  <c r="CPB6" i="67"/>
  <c r="CPA6" i="67"/>
  <c r="COZ6" i="67"/>
  <c r="COY6" i="67"/>
  <c r="COX6" i="67"/>
  <c r="COW6" i="67"/>
  <c r="COV6" i="67"/>
  <c r="COU6" i="67"/>
  <c r="COT6" i="67"/>
  <c r="COS6" i="67"/>
  <c r="COR6" i="67"/>
  <c r="COQ6" i="67"/>
  <c r="COP6" i="67"/>
  <c r="COO6" i="67"/>
  <c r="CON6" i="67"/>
  <c r="COM6" i="67"/>
  <c r="COL6" i="67"/>
  <c r="COK6" i="67"/>
  <c r="COJ6" i="67"/>
  <c r="COI6" i="67"/>
  <c r="COH6" i="67"/>
  <c r="COG6" i="67"/>
  <c r="COF6" i="67"/>
  <c r="COE6" i="67"/>
  <c r="COD6" i="67"/>
  <c r="COC6" i="67"/>
  <c r="COB6" i="67"/>
  <c r="COA6" i="67"/>
  <c r="CNZ6" i="67"/>
  <c r="CNY6" i="67"/>
  <c r="CNX6" i="67"/>
  <c r="CNW6" i="67"/>
  <c r="CNV6" i="67"/>
  <c r="CNU6" i="67"/>
  <c r="CNT6" i="67"/>
  <c r="CNS6" i="67"/>
  <c r="CNR6" i="67"/>
  <c r="CNQ6" i="67"/>
  <c r="CNP6" i="67"/>
  <c r="CNO6" i="67"/>
  <c r="CNN6" i="67"/>
  <c r="CNM6" i="67"/>
  <c r="CNL6" i="67"/>
  <c r="CNK6" i="67"/>
  <c r="CNJ6" i="67"/>
  <c r="CNI6" i="67"/>
  <c r="CNH6" i="67"/>
  <c r="CNG6" i="67"/>
  <c r="CNF6" i="67"/>
  <c r="CNE6" i="67"/>
  <c r="CND6" i="67"/>
  <c r="CNC6" i="67"/>
  <c r="CNB6" i="67"/>
  <c r="CNA6" i="67"/>
  <c r="CMZ6" i="67"/>
  <c r="CMY6" i="67"/>
  <c r="CMX6" i="67"/>
  <c r="CMW6" i="67"/>
  <c r="CMV6" i="67"/>
  <c r="CMU6" i="67"/>
  <c r="CMT6" i="67"/>
  <c r="CMS6" i="67"/>
  <c r="CMR6" i="67"/>
  <c r="CMQ6" i="67"/>
  <c r="CMP6" i="67"/>
  <c r="CMO6" i="67"/>
  <c r="CMN6" i="67"/>
  <c r="CMM6" i="67"/>
  <c r="CML6" i="67"/>
  <c r="CMK6" i="67"/>
  <c r="CMJ6" i="67"/>
  <c r="CMI6" i="67"/>
  <c r="CMH6" i="67"/>
  <c r="CMG6" i="67"/>
  <c r="CMF6" i="67"/>
  <c r="CME6" i="67"/>
  <c r="CMD6" i="67"/>
  <c r="CMC6" i="67"/>
  <c r="CMB6" i="67"/>
  <c r="CMA6" i="67"/>
  <c r="CLZ6" i="67"/>
  <c r="CLY6" i="67"/>
  <c r="CLX6" i="67"/>
  <c r="CLW6" i="67"/>
  <c r="CLV6" i="67"/>
  <c r="CLU6" i="67"/>
  <c r="CLT6" i="67"/>
  <c r="CLS6" i="67"/>
  <c r="CLR6" i="67"/>
  <c r="CLQ6" i="67"/>
  <c r="CLP6" i="67"/>
  <c r="CLO6" i="67"/>
  <c r="CLN6" i="67"/>
  <c r="CLM6" i="67"/>
  <c r="CLL6" i="67"/>
  <c r="CLK6" i="67"/>
  <c r="CLJ6" i="67"/>
  <c r="CLI6" i="67"/>
  <c r="CLH6" i="67"/>
  <c r="CLG6" i="67"/>
  <c r="CLF6" i="67"/>
  <c r="CLE6" i="67"/>
  <c r="CLD6" i="67"/>
  <c r="CLC6" i="67"/>
  <c r="CLB6" i="67"/>
  <c r="CLA6" i="67"/>
  <c r="CKZ6" i="67"/>
  <c r="CKY6" i="67"/>
  <c r="CKX6" i="67"/>
  <c r="CKW6" i="67"/>
  <c r="CKV6" i="67"/>
  <c r="CKU6" i="67"/>
  <c r="CKT6" i="67"/>
  <c r="CKS6" i="67"/>
  <c r="CKR6" i="67"/>
  <c r="CKQ6" i="67"/>
  <c r="CKP6" i="67"/>
  <c r="CKO6" i="67"/>
  <c r="CKN6" i="67"/>
  <c r="CKM6" i="67"/>
  <c r="CKL6" i="67"/>
  <c r="CKK6" i="67"/>
  <c r="CKJ6" i="67"/>
  <c r="CKI6" i="67"/>
  <c r="CKH6" i="67"/>
  <c r="CKG6" i="67"/>
  <c r="CKF6" i="67"/>
  <c r="CKE6" i="67"/>
  <c r="CKD6" i="67"/>
  <c r="CKC6" i="67"/>
  <c r="CKB6" i="67"/>
  <c r="CKA6" i="67"/>
  <c r="CJZ6" i="67"/>
  <c r="CJY6" i="67"/>
  <c r="CJX6" i="67"/>
  <c r="CJW6" i="67"/>
  <c r="CJV6" i="67"/>
  <c r="CJU6" i="67"/>
  <c r="CJT6" i="67"/>
  <c r="CJS6" i="67"/>
  <c r="CJR6" i="67"/>
  <c r="CJQ6" i="67"/>
  <c r="CJP6" i="67"/>
  <c r="CJO6" i="67"/>
  <c r="CJN6" i="67"/>
  <c r="CJM6" i="67"/>
  <c r="CJL6" i="67"/>
  <c r="CJK6" i="67"/>
  <c r="CJJ6" i="67"/>
  <c r="CJI6" i="67"/>
  <c r="CJH6" i="67"/>
  <c r="CJG6" i="67"/>
  <c r="CJF6" i="67"/>
  <c r="CJE6" i="67"/>
  <c r="CJD6" i="67"/>
  <c r="CJC6" i="67"/>
  <c r="CJB6" i="67"/>
  <c r="CJA6" i="67"/>
  <c r="CIZ6" i="67"/>
  <c r="CIY6" i="67"/>
  <c r="CIX6" i="67"/>
  <c r="CIW6" i="67"/>
  <c r="CIV6" i="67"/>
  <c r="CIU6" i="67"/>
  <c r="CIT6" i="67"/>
  <c r="CIS6" i="67"/>
  <c r="CIR6" i="67"/>
  <c r="CIQ6" i="67"/>
  <c r="CIP6" i="67"/>
  <c r="CIO6" i="67"/>
  <c r="CIN6" i="67"/>
  <c r="CIM6" i="67"/>
  <c r="CIL6" i="67"/>
  <c r="CIK6" i="67"/>
  <c r="CIJ6" i="67"/>
  <c r="CII6" i="67"/>
  <c r="CIH6" i="67"/>
  <c r="CIG6" i="67"/>
  <c r="CIF6" i="67"/>
  <c r="CIE6" i="67"/>
  <c r="CID6" i="67"/>
  <c r="CIC6" i="67"/>
  <c r="CIB6" i="67"/>
  <c r="CIA6" i="67"/>
  <c r="CHZ6" i="67"/>
  <c r="CHY6" i="67"/>
  <c r="CHX6" i="67"/>
  <c r="CHW6" i="67"/>
  <c r="CHV6" i="67"/>
  <c r="CHU6" i="67"/>
  <c r="CHT6" i="67"/>
  <c r="CHS6" i="67"/>
  <c r="CHR6" i="67"/>
  <c r="CHQ6" i="67"/>
  <c r="CHP6" i="67"/>
  <c r="CHO6" i="67"/>
  <c r="CHN6" i="67"/>
  <c r="CHM6" i="67"/>
  <c r="CHL6" i="67"/>
  <c r="CHK6" i="67"/>
  <c r="CHJ6" i="67"/>
  <c r="CHI6" i="67"/>
  <c r="CHH6" i="67"/>
  <c r="CHG6" i="67"/>
  <c r="CHF6" i="67"/>
  <c r="CHE6" i="67"/>
  <c r="CHD6" i="67"/>
  <c r="CHC6" i="67"/>
  <c r="CHB6" i="67"/>
  <c r="CHA6" i="67"/>
  <c r="CGZ6" i="67"/>
  <c r="CGY6" i="67"/>
  <c r="CGX6" i="67"/>
  <c r="CGW6" i="67"/>
  <c r="CGV6" i="67"/>
  <c r="CGU6" i="67"/>
  <c r="CGT6" i="67"/>
  <c r="CGS6" i="67"/>
  <c r="CGR6" i="67"/>
  <c r="CGQ6" i="67"/>
  <c r="CGP6" i="67"/>
  <c r="CGO6" i="67"/>
  <c r="CGN6" i="67"/>
  <c r="CGM6" i="67"/>
  <c r="CGL6" i="67"/>
  <c r="CGK6" i="67"/>
  <c r="CGJ6" i="67"/>
  <c r="CGI6" i="67"/>
  <c r="CGH6" i="67"/>
  <c r="CGG6" i="67"/>
  <c r="CGF6" i="67"/>
  <c r="CGE6" i="67"/>
  <c r="CGD6" i="67"/>
  <c r="CGC6" i="67"/>
  <c r="CGB6" i="67"/>
  <c r="CGA6" i="67"/>
  <c r="CFZ6" i="67"/>
  <c r="CFY6" i="67"/>
  <c r="CFX6" i="67"/>
  <c r="CFW6" i="67"/>
  <c r="CFV6" i="67"/>
  <c r="CFU6" i="67"/>
  <c r="CFT6" i="67"/>
  <c r="CFS6" i="67"/>
  <c r="CFR6" i="67"/>
  <c r="CFQ6" i="67"/>
  <c r="CFP6" i="67"/>
  <c r="CFO6" i="67"/>
  <c r="CFN6" i="67"/>
  <c r="CFM6" i="67"/>
  <c r="CFL6" i="67"/>
  <c r="CFK6" i="67"/>
  <c r="CFJ6" i="67"/>
  <c r="CFI6" i="67"/>
  <c r="CFH6" i="67"/>
  <c r="CFG6" i="67"/>
  <c r="CFF6" i="67"/>
  <c r="CFE6" i="67"/>
  <c r="CFD6" i="67"/>
  <c r="CFC6" i="67"/>
  <c r="CFB6" i="67"/>
  <c r="CFA6" i="67"/>
  <c r="CEZ6" i="67"/>
  <c r="CEY6" i="67"/>
  <c r="CEX6" i="67"/>
  <c r="CEW6" i="67"/>
  <c r="CEV6" i="67"/>
  <c r="CEU6" i="67"/>
  <c r="CET6" i="67"/>
  <c r="CES6" i="67"/>
  <c r="CER6" i="67"/>
  <c r="CEQ6" i="67"/>
  <c r="CEP6" i="67"/>
  <c r="CEO6" i="67"/>
  <c r="CEN6" i="67"/>
  <c r="CEM6" i="67"/>
  <c r="CEL6" i="67"/>
  <c r="CEK6" i="67"/>
  <c r="CEJ6" i="67"/>
  <c r="CEI6" i="67"/>
  <c r="CEH6" i="67"/>
  <c r="CEG6" i="67"/>
  <c r="CEF6" i="67"/>
  <c r="CEE6" i="67"/>
  <c r="CED6" i="67"/>
  <c r="CEC6" i="67"/>
  <c r="CEB6" i="67"/>
  <c r="CEA6" i="67"/>
  <c r="CDZ6" i="67"/>
  <c r="CDY6" i="67"/>
  <c r="CDX6" i="67"/>
  <c r="CDW6" i="67"/>
  <c r="CDV6" i="67"/>
  <c r="CDU6" i="67"/>
  <c r="CDT6" i="67"/>
  <c r="CDS6" i="67"/>
  <c r="CDR6" i="67"/>
  <c r="CDQ6" i="67"/>
  <c r="CDP6" i="67"/>
  <c r="CDO6" i="67"/>
  <c r="CDN6" i="67"/>
  <c r="CDM6" i="67"/>
  <c r="CDL6" i="67"/>
  <c r="CDK6" i="67"/>
  <c r="CDJ6" i="67"/>
  <c r="CDI6" i="67"/>
  <c r="CDH6" i="67"/>
  <c r="CDG6" i="67"/>
  <c r="CDF6" i="67"/>
  <c r="CDE6" i="67"/>
  <c r="CDD6" i="67"/>
  <c r="CDC6" i="67"/>
  <c r="CDB6" i="67"/>
  <c r="CDA6" i="67"/>
  <c r="CCZ6" i="67"/>
  <c r="CCY6" i="67"/>
  <c r="CCX6" i="67"/>
  <c r="CCW6" i="67"/>
  <c r="CCV6" i="67"/>
  <c r="CCU6" i="67"/>
  <c r="CCT6" i="67"/>
  <c r="CCS6" i="67"/>
  <c r="CCR6" i="67"/>
  <c r="CCQ6" i="67"/>
  <c r="CCP6" i="67"/>
  <c r="CCO6" i="67"/>
  <c r="CCN6" i="67"/>
  <c r="CCM6" i="67"/>
  <c r="CCL6" i="67"/>
  <c r="CCK6" i="67"/>
  <c r="CCJ6" i="67"/>
  <c r="CCI6" i="67"/>
  <c r="CCH6" i="67"/>
  <c r="CCG6" i="67"/>
  <c r="CCF6" i="67"/>
  <c r="CCE6" i="67"/>
  <c r="CCD6" i="67"/>
  <c r="CCC6" i="67"/>
  <c r="CCB6" i="67"/>
  <c r="CCA6" i="67"/>
  <c r="CBZ6" i="67"/>
  <c r="CBY6" i="67"/>
  <c r="CBX6" i="67"/>
  <c r="CBW6" i="67"/>
  <c r="CBV6" i="67"/>
  <c r="CBU6" i="67"/>
  <c r="CBT6" i="67"/>
  <c r="CBS6" i="67"/>
  <c r="CBR6" i="67"/>
  <c r="CBQ6" i="67"/>
  <c r="CBP6" i="67"/>
  <c r="CBO6" i="67"/>
  <c r="CBN6" i="67"/>
  <c r="CBM6" i="67"/>
  <c r="CBL6" i="67"/>
  <c r="CBK6" i="67"/>
  <c r="CBJ6" i="67"/>
  <c r="CBI6" i="67"/>
  <c r="CBH6" i="67"/>
  <c r="CBG6" i="67"/>
  <c r="CBF6" i="67"/>
  <c r="CBE6" i="67"/>
  <c r="CBD6" i="67"/>
  <c r="CBC6" i="67"/>
  <c r="CBB6" i="67"/>
  <c r="CBA6" i="67"/>
  <c r="CAZ6" i="67"/>
  <c r="CAY6" i="67"/>
  <c r="CAX6" i="67"/>
  <c r="CAW6" i="67"/>
  <c r="CAV6" i="67"/>
  <c r="CAU6" i="67"/>
  <c r="CAT6" i="67"/>
  <c r="CAS6" i="67"/>
  <c r="CAR6" i="67"/>
  <c r="CAQ6" i="67"/>
  <c r="CAP6" i="67"/>
  <c r="CAO6" i="67"/>
  <c r="CAN6" i="67"/>
  <c r="CAM6" i="67"/>
  <c r="CAL6" i="67"/>
  <c r="CAK6" i="67"/>
  <c r="CAJ6" i="67"/>
  <c r="CAI6" i="67"/>
  <c r="CAH6" i="67"/>
  <c r="CAG6" i="67"/>
  <c r="CAF6" i="67"/>
  <c r="CAE6" i="67"/>
  <c r="CAD6" i="67"/>
  <c r="CAC6" i="67"/>
  <c r="CAB6" i="67"/>
  <c r="CAA6" i="67"/>
  <c r="BZZ6" i="67"/>
  <c r="BZY6" i="67"/>
  <c r="BZX6" i="67"/>
  <c r="BZW6" i="67"/>
  <c r="BZV6" i="67"/>
  <c r="BZU6" i="67"/>
  <c r="BZT6" i="67"/>
  <c r="BZS6" i="67"/>
  <c r="BZR6" i="67"/>
  <c r="BZQ6" i="67"/>
  <c r="BZP6" i="67"/>
  <c r="BZO6" i="67"/>
  <c r="BZN6" i="67"/>
  <c r="BZM6" i="67"/>
  <c r="BZL6" i="67"/>
  <c r="BZK6" i="67"/>
  <c r="BZJ6" i="67"/>
  <c r="BZI6" i="67"/>
  <c r="BZH6" i="67"/>
  <c r="BZG6" i="67"/>
  <c r="BZF6" i="67"/>
  <c r="BZE6" i="67"/>
  <c r="BZD6" i="67"/>
  <c r="BZC6" i="67"/>
  <c r="BZB6" i="67"/>
  <c r="BZA6" i="67"/>
  <c r="BYZ6" i="67"/>
  <c r="BYY6" i="67"/>
  <c r="BYX6" i="67"/>
  <c r="BYW6" i="67"/>
  <c r="BYV6" i="67"/>
  <c r="BYU6" i="67"/>
  <c r="BYT6" i="67"/>
  <c r="BYS6" i="67"/>
  <c r="BYR6" i="67"/>
  <c r="BYQ6" i="67"/>
  <c r="BYP6" i="67"/>
  <c r="BYO6" i="67"/>
  <c r="BYN6" i="67"/>
  <c r="BYM6" i="67"/>
  <c r="BYL6" i="67"/>
  <c r="BYK6" i="67"/>
  <c r="BYJ6" i="67"/>
  <c r="BYI6" i="67"/>
  <c r="BYH6" i="67"/>
  <c r="BYG6" i="67"/>
  <c r="BYF6" i="67"/>
  <c r="BYE6" i="67"/>
  <c r="BYD6" i="67"/>
  <c r="BYC6" i="67"/>
  <c r="BYB6" i="67"/>
  <c r="BYA6" i="67"/>
  <c r="BXZ6" i="67"/>
  <c r="BXY6" i="67"/>
  <c r="BXX6" i="67"/>
  <c r="BXW6" i="67"/>
  <c r="BXV6" i="67"/>
  <c r="BXU6" i="67"/>
  <c r="BXT6" i="67"/>
  <c r="BXS6" i="67"/>
  <c r="BXR6" i="67"/>
  <c r="BXQ6" i="67"/>
  <c r="BXP6" i="67"/>
  <c r="BXO6" i="67"/>
  <c r="BXN6" i="67"/>
  <c r="BXM6" i="67"/>
  <c r="BXL6" i="67"/>
  <c r="BXK6" i="67"/>
  <c r="BXJ6" i="67"/>
  <c r="BXI6" i="67"/>
  <c r="BXH6" i="67"/>
  <c r="BXG6" i="67"/>
  <c r="BXF6" i="67"/>
  <c r="BXE6" i="67"/>
  <c r="BXD6" i="67"/>
  <c r="BXC6" i="67"/>
  <c r="BXB6" i="67"/>
  <c r="BXA6" i="67"/>
  <c r="BWZ6" i="67"/>
  <c r="BWY6" i="67"/>
  <c r="BWX6" i="67"/>
  <c r="BWW6" i="67"/>
  <c r="BWV6" i="67"/>
  <c r="BWU6" i="67"/>
  <c r="BWT6" i="67"/>
  <c r="BWS6" i="67"/>
  <c r="BWR6" i="67"/>
  <c r="BWQ6" i="67"/>
  <c r="BWP6" i="67"/>
  <c r="BWO6" i="67"/>
  <c r="BWN6" i="67"/>
  <c r="BWM6" i="67"/>
  <c r="BWL6" i="67"/>
  <c r="BWK6" i="67"/>
  <c r="BWJ6" i="67"/>
  <c r="BWI6" i="67"/>
  <c r="BWH6" i="67"/>
  <c r="BWG6" i="67"/>
  <c r="BWF6" i="67"/>
  <c r="BWE6" i="67"/>
  <c r="BWD6" i="67"/>
  <c r="BWC6" i="67"/>
  <c r="BWB6" i="67"/>
  <c r="BWA6" i="67"/>
  <c r="BVZ6" i="67"/>
  <c r="BVY6" i="67"/>
  <c r="BVX6" i="67"/>
  <c r="BVW6" i="67"/>
  <c r="BVV6" i="67"/>
  <c r="BVU6" i="67"/>
  <c r="BVT6" i="67"/>
  <c r="BVS6" i="67"/>
  <c r="BVR6" i="67"/>
  <c r="BVQ6" i="67"/>
  <c r="BVP6" i="67"/>
  <c r="BVO6" i="67"/>
  <c r="BVN6" i="67"/>
  <c r="BVM6" i="67"/>
  <c r="BVL6" i="67"/>
  <c r="BVK6" i="67"/>
  <c r="BVJ6" i="67"/>
  <c r="BVI6" i="67"/>
  <c r="BVH6" i="67"/>
  <c r="BVG6" i="67"/>
  <c r="BVF6" i="67"/>
  <c r="BVE6" i="67"/>
  <c r="BVD6" i="67"/>
  <c r="BVC6" i="67"/>
  <c r="BVB6" i="67"/>
  <c r="BVA6" i="67"/>
  <c r="BUZ6" i="67"/>
  <c r="BUY6" i="67"/>
  <c r="BUX6" i="67"/>
  <c r="BUW6" i="67"/>
  <c r="BUV6" i="67"/>
  <c r="BUU6" i="67"/>
  <c r="BUT6" i="67"/>
  <c r="BUS6" i="67"/>
  <c r="BUR6" i="67"/>
  <c r="BUQ6" i="67"/>
  <c r="BUP6" i="67"/>
  <c r="BUO6" i="67"/>
  <c r="BUN6" i="67"/>
  <c r="BUM6" i="67"/>
  <c r="BUL6" i="67"/>
  <c r="BUK6" i="67"/>
  <c r="BUJ6" i="67"/>
  <c r="BUI6" i="67"/>
  <c r="BUH6" i="67"/>
  <c r="BUG6" i="67"/>
  <c r="BUF6" i="67"/>
  <c r="BUE6" i="67"/>
  <c r="BUD6" i="67"/>
  <c r="BUC6" i="67"/>
  <c r="BUB6" i="67"/>
  <c r="BUA6" i="67"/>
  <c r="BTZ6" i="67"/>
  <c r="BTY6" i="67"/>
  <c r="BTX6" i="67"/>
  <c r="BTW6" i="67"/>
  <c r="BTV6" i="67"/>
  <c r="BTU6" i="67"/>
  <c r="BTT6" i="67"/>
  <c r="BTS6" i="67"/>
  <c r="BTR6" i="67"/>
  <c r="BTQ6" i="67"/>
  <c r="BTP6" i="67"/>
  <c r="BTO6" i="67"/>
  <c r="BTN6" i="67"/>
  <c r="BTM6" i="67"/>
  <c r="BTL6" i="67"/>
  <c r="BTK6" i="67"/>
  <c r="BTJ6" i="67"/>
  <c r="BTI6" i="67"/>
  <c r="BTH6" i="67"/>
  <c r="BTG6" i="67"/>
  <c r="BTF6" i="67"/>
  <c r="BTE6" i="67"/>
  <c r="BTD6" i="67"/>
  <c r="BTC6" i="67"/>
  <c r="BTB6" i="67"/>
  <c r="BTA6" i="67"/>
  <c r="BSZ6" i="67"/>
  <c r="BSY6" i="67"/>
  <c r="BSX6" i="67"/>
  <c r="BSW6" i="67"/>
  <c r="BSV6" i="67"/>
  <c r="BSU6" i="67"/>
  <c r="BST6" i="67"/>
  <c r="BSS6" i="67"/>
  <c r="BSR6" i="67"/>
  <c r="BSQ6" i="67"/>
  <c r="BSP6" i="67"/>
  <c r="BSO6" i="67"/>
  <c r="BSN6" i="67"/>
  <c r="BSM6" i="67"/>
  <c r="BSL6" i="67"/>
  <c r="BSK6" i="67"/>
  <c r="BSJ6" i="67"/>
  <c r="BSI6" i="67"/>
  <c r="BSH6" i="67"/>
  <c r="BSG6" i="67"/>
  <c r="BSF6" i="67"/>
  <c r="BSE6" i="67"/>
  <c r="BSD6" i="67"/>
  <c r="BSC6" i="67"/>
  <c r="BSB6" i="67"/>
  <c r="BSA6" i="67"/>
  <c r="BRZ6" i="67"/>
  <c r="BRY6" i="67"/>
  <c r="BRX6" i="67"/>
  <c r="BRW6" i="67"/>
  <c r="BRV6" i="67"/>
  <c r="BRU6" i="67"/>
  <c r="BRT6" i="67"/>
  <c r="BRS6" i="67"/>
  <c r="BRR6" i="67"/>
  <c r="BRQ6" i="67"/>
  <c r="BRP6" i="67"/>
  <c r="BRO6" i="67"/>
  <c r="BRN6" i="67"/>
  <c r="BRM6" i="67"/>
  <c r="BRL6" i="67"/>
  <c r="BRK6" i="67"/>
  <c r="BRJ6" i="67"/>
  <c r="BRI6" i="67"/>
  <c r="BRH6" i="67"/>
  <c r="BRG6" i="67"/>
  <c r="BRF6" i="67"/>
  <c r="BRE6" i="67"/>
  <c r="BRD6" i="67"/>
  <c r="BRC6" i="67"/>
  <c r="BRB6" i="67"/>
  <c r="BRA6" i="67"/>
  <c r="BQZ6" i="67"/>
  <c r="BQY6" i="67"/>
  <c r="BQX6" i="67"/>
  <c r="BQW6" i="67"/>
  <c r="BQV6" i="67"/>
  <c r="BQU6" i="67"/>
  <c r="BQT6" i="67"/>
  <c r="BQS6" i="67"/>
  <c r="BQR6" i="67"/>
  <c r="BQQ6" i="67"/>
  <c r="BQP6" i="67"/>
  <c r="BQO6" i="67"/>
  <c r="BQN6" i="67"/>
  <c r="BQM6" i="67"/>
  <c r="BQL6" i="67"/>
  <c r="BQK6" i="67"/>
  <c r="BQJ6" i="67"/>
  <c r="BQI6" i="67"/>
  <c r="BQH6" i="67"/>
  <c r="BQG6" i="67"/>
  <c r="BQF6" i="67"/>
  <c r="BQE6" i="67"/>
  <c r="BQD6" i="67"/>
  <c r="BQC6" i="67"/>
  <c r="BQB6" i="67"/>
  <c r="BQA6" i="67"/>
  <c r="BPZ6" i="67"/>
  <c r="BPY6" i="67"/>
  <c r="BPX6" i="67"/>
  <c r="BPW6" i="67"/>
  <c r="BPV6" i="67"/>
  <c r="BPU6" i="67"/>
  <c r="BPT6" i="67"/>
  <c r="BPS6" i="67"/>
  <c r="BPR6" i="67"/>
  <c r="BPQ6" i="67"/>
  <c r="BPP6" i="67"/>
  <c r="BPO6" i="67"/>
  <c r="BPN6" i="67"/>
  <c r="BPM6" i="67"/>
  <c r="BPL6" i="67"/>
  <c r="BPK6" i="67"/>
  <c r="BPJ6" i="67"/>
  <c r="BPI6" i="67"/>
  <c r="BPH6" i="67"/>
  <c r="BPG6" i="67"/>
  <c r="BPF6" i="67"/>
  <c r="BPE6" i="67"/>
  <c r="BPD6" i="67"/>
  <c r="BPC6" i="67"/>
  <c r="BPB6" i="67"/>
  <c r="BPA6" i="67"/>
  <c r="BOZ6" i="67"/>
  <c r="BOY6" i="67"/>
  <c r="BOX6" i="67"/>
  <c r="BOW6" i="67"/>
  <c r="BOV6" i="67"/>
  <c r="BOU6" i="67"/>
  <c r="BOT6" i="67"/>
  <c r="BOS6" i="67"/>
  <c r="BOR6" i="67"/>
  <c r="BOQ6" i="67"/>
  <c r="BOP6" i="67"/>
  <c r="BOO6" i="67"/>
  <c r="BON6" i="67"/>
  <c r="BOM6" i="67"/>
  <c r="BOL6" i="67"/>
  <c r="BOK6" i="67"/>
  <c r="BOJ6" i="67"/>
  <c r="BOI6" i="67"/>
  <c r="BOH6" i="67"/>
  <c r="BOG6" i="67"/>
  <c r="BOF6" i="67"/>
  <c r="BOE6" i="67"/>
  <c r="BOD6" i="67"/>
  <c r="BOC6" i="67"/>
  <c r="BOB6" i="67"/>
  <c r="BOA6" i="67"/>
  <c r="BNZ6" i="67"/>
  <c r="BNY6" i="67"/>
  <c r="BNX6" i="67"/>
  <c r="BNW6" i="67"/>
  <c r="BNV6" i="67"/>
  <c r="BNU6" i="67"/>
  <c r="BNT6" i="67"/>
  <c r="BNS6" i="67"/>
  <c r="BNR6" i="67"/>
  <c r="BNQ6" i="67"/>
  <c r="BNP6" i="67"/>
  <c r="BNO6" i="67"/>
  <c r="BNN6" i="67"/>
  <c r="BNM6" i="67"/>
  <c r="BNL6" i="67"/>
  <c r="BNK6" i="67"/>
  <c r="BNJ6" i="67"/>
  <c r="BNI6" i="67"/>
  <c r="BNH6" i="67"/>
  <c r="BNG6" i="67"/>
  <c r="BNF6" i="67"/>
  <c r="BNE6" i="67"/>
  <c r="BND6" i="67"/>
  <c r="BNC6" i="67"/>
  <c r="BNB6" i="67"/>
  <c r="BNA6" i="67"/>
  <c r="BMZ6" i="67"/>
  <c r="BMY6" i="67"/>
  <c r="BMX6" i="67"/>
  <c r="BMW6" i="67"/>
  <c r="BMV6" i="67"/>
  <c r="BMU6" i="67"/>
  <c r="BMT6" i="67"/>
  <c r="BMS6" i="67"/>
  <c r="BMR6" i="67"/>
  <c r="BMQ6" i="67"/>
  <c r="BMP6" i="67"/>
  <c r="BMO6" i="67"/>
  <c r="BMN6" i="67"/>
  <c r="BMM6" i="67"/>
  <c r="BML6" i="67"/>
  <c r="BMK6" i="67"/>
  <c r="BMJ6" i="67"/>
  <c r="BMI6" i="67"/>
  <c r="BMH6" i="67"/>
  <c r="BMG6" i="67"/>
  <c r="BMF6" i="67"/>
  <c r="BME6" i="67"/>
  <c r="BMD6" i="67"/>
  <c r="BMC6" i="67"/>
  <c r="BMB6" i="67"/>
  <c r="BMA6" i="67"/>
  <c r="BLZ6" i="67"/>
  <c r="BLY6" i="67"/>
  <c r="BLX6" i="67"/>
  <c r="BLW6" i="67"/>
  <c r="BLV6" i="67"/>
  <c r="BLU6" i="67"/>
  <c r="BLT6" i="67"/>
  <c r="BLS6" i="67"/>
  <c r="BLR6" i="67"/>
  <c r="BLQ6" i="67"/>
  <c r="BLP6" i="67"/>
  <c r="BLO6" i="67"/>
  <c r="BLN6" i="67"/>
  <c r="BLM6" i="67"/>
  <c r="BLL6" i="67"/>
  <c r="BLK6" i="67"/>
  <c r="BLJ6" i="67"/>
  <c r="BLI6" i="67"/>
  <c r="BLH6" i="67"/>
  <c r="BLG6" i="67"/>
  <c r="BLF6" i="67"/>
  <c r="BLE6" i="67"/>
  <c r="BLD6" i="67"/>
  <c r="BLC6" i="67"/>
  <c r="BLB6" i="67"/>
  <c r="BLA6" i="67"/>
  <c r="BKZ6" i="67"/>
  <c r="BKY6" i="67"/>
  <c r="BKX6" i="67"/>
  <c r="BKW6" i="67"/>
  <c r="BKV6" i="67"/>
  <c r="BKU6" i="67"/>
  <c r="BKT6" i="67"/>
  <c r="BKS6" i="67"/>
  <c r="BKR6" i="67"/>
  <c r="BKQ6" i="67"/>
  <c r="BKP6" i="67"/>
  <c r="BKO6" i="67"/>
  <c r="BKN6" i="67"/>
  <c r="BKM6" i="67"/>
  <c r="BKL6" i="67"/>
  <c r="BKK6" i="67"/>
  <c r="BKJ6" i="67"/>
  <c r="BKI6" i="67"/>
  <c r="BKH6" i="67"/>
  <c r="BKG6" i="67"/>
  <c r="BKF6" i="67"/>
  <c r="BKE6" i="67"/>
  <c r="BKD6" i="67"/>
  <c r="BKC6" i="67"/>
  <c r="BKB6" i="67"/>
  <c r="BKA6" i="67"/>
  <c r="BJZ6" i="67"/>
  <c r="BJY6" i="67"/>
  <c r="BJX6" i="67"/>
  <c r="BJW6" i="67"/>
  <c r="BJV6" i="67"/>
  <c r="BJU6" i="67"/>
  <c r="BJT6" i="67"/>
  <c r="BJS6" i="67"/>
  <c r="BJR6" i="67"/>
  <c r="BJQ6" i="67"/>
  <c r="BJP6" i="67"/>
  <c r="BJO6" i="67"/>
  <c r="BJN6" i="67"/>
  <c r="BJM6" i="67"/>
  <c r="BJL6" i="67"/>
  <c r="BJK6" i="67"/>
  <c r="BJJ6" i="67"/>
  <c r="BJI6" i="67"/>
  <c r="BJH6" i="67"/>
  <c r="BJG6" i="67"/>
  <c r="BJF6" i="67"/>
  <c r="BJE6" i="67"/>
  <c r="BJD6" i="67"/>
  <c r="BJC6" i="67"/>
  <c r="BJB6" i="67"/>
  <c r="BJA6" i="67"/>
  <c r="BIZ6" i="67"/>
  <c r="BIY6" i="67"/>
  <c r="BIX6" i="67"/>
  <c r="BIW6" i="67"/>
  <c r="BIV6" i="67"/>
  <c r="BIU6" i="67"/>
  <c r="BIT6" i="67"/>
  <c r="BIS6" i="67"/>
  <c r="BIR6" i="67"/>
  <c r="BIQ6" i="67"/>
  <c r="BIP6" i="67"/>
  <c r="BIO6" i="67"/>
  <c r="BIN6" i="67"/>
  <c r="BIM6" i="67"/>
  <c r="BIL6" i="67"/>
  <c r="BIK6" i="67"/>
  <c r="BIJ6" i="67"/>
  <c r="BII6" i="67"/>
  <c r="BIH6" i="67"/>
  <c r="BIG6" i="67"/>
  <c r="BIF6" i="67"/>
  <c r="BIE6" i="67"/>
  <c r="BID6" i="67"/>
  <c r="BIC6" i="67"/>
  <c r="BIB6" i="67"/>
  <c r="BIA6" i="67"/>
  <c r="BHZ6" i="67"/>
  <c r="BHY6" i="67"/>
  <c r="BHX6" i="67"/>
  <c r="BHW6" i="67"/>
  <c r="BHV6" i="67"/>
  <c r="BHU6" i="67"/>
  <c r="BHT6" i="67"/>
  <c r="BHS6" i="67"/>
  <c r="BHR6" i="67"/>
  <c r="BHQ6" i="67"/>
  <c r="BHP6" i="67"/>
  <c r="BHO6" i="67"/>
  <c r="BHN6" i="67"/>
  <c r="BHM6" i="67"/>
  <c r="BHL6" i="67"/>
  <c r="BHK6" i="67"/>
  <c r="BHJ6" i="67"/>
  <c r="BHI6" i="67"/>
  <c r="BHH6" i="67"/>
  <c r="BHG6" i="67"/>
  <c r="BHF6" i="67"/>
  <c r="BHE6" i="67"/>
  <c r="BHD6" i="67"/>
  <c r="BHC6" i="67"/>
  <c r="BHB6" i="67"/>
  <c r="BHA6" i="67"/>
  <c r="BGZ6" i="67"/>
  <c r="BGY6" i="67"/>
  <c r="BGX6" i="67"/>
  <c r="BGW6" i="67"/>
  <c r="BGV6" i="67"/>
  <c r="BGU6" i="67"/>
  <c r="BGT6" i="67"/>
  <c r="BGS6" i="67"/>
  <c r="BGR6" i="67"/>
  <c r="BGQ6" i="67"/>
  <c r="BGP6" i="67"/>
  <c r="BGO6" i="67"/>
  <c r="BGN6" i="67"/>
  <c r="BGM6" i="67"/>
  <c r="BGL6" i="67"/>
  <c r="BGK6" i="67"/>
  <c r="BGJ6" i="67"/>
  <c r="BGI6" i="67"/>
  <c r="BGH6" i="67"/>
  <c r="BGG6" i="67"/>
  <c r="BGF6" i="67"/>
  <c r="BGE6" i="67"/>
  <c r="BGD6" i="67"/>
  <c r="BGC6" i="67"/>
  <c r="BGB6" i="67"/>
  <c r="BGA6" i="67"/>
  <c r="BFZ6" i="67"/>
  <c r="BFY6" i="67"/>
  <c r="BFX6" i="67"/>
  <c r="BFW6" i="67"/>
  <c r="BFV6" i="67"/>
  <c r="BFU6" i="67"/>
  <c r="BFT6" i="67"/>
  <c r="BFS6" i="67"/>
  <c r="BFR6" i="67"/>
  <c r="BFQ6" i="67"/>
  <c r="BFP6" i="67"/>
  <c r="BFO6" i="67"/>
  <c r="BFN6" i="67"/>
  <c r="BFM6" i="67"/>
  <c r="BFL6" i="67"/>
  <c r="BFK6" i="67"/>
  <c r="BFJ6" i="67"/>
  <c r="BFI6" i="67"/>
  <c r="BFH6" i="67"/>
  <c r="BFG6" i="67"/>
  <c r="BFF6" i="67"/>
  <c r="BFE6" i="67"/>
  <c r="BFD6" i="67"/>
  <c r="BFC6" i="67"/>
  <c r="BFB6" i="67"/>
  <c r="BFA6" i="67"/>
  <c r="BEZ6" i="67"/>
  <c r="BEY6" i="67"/>
  <c r="BEX6" i="67"/>
  <c r="BEW6" i="67"/>
  <c r="BEV6" i="67"/>
  <c r="BEU6" i="67"/>
  <c r="BET6" i="67"/>
  <c r="BES6" i="67"/>
  <c r="BER6" i="67"/>
  <c r="BEQ6" i="67"/>
  <c r="BEP6" i="67"/>
  <c r="BEO6" i="67"/>
  <c r="BEN6" i="67"/>
  <c r="BEM6" i="67"/>
  <c r="BEL6" i="67"/>
  <c r="BEK6" i="67"/>
  <c r="BEJ6" i="67"/>
  <c r="BEI6" i="67"/>
  <c r="BEH6" i="67"/>
  <c r="BEG6" i="67"/>
  <c r="BEF6" i="67"/>
  <c r="BEE6" i="67"/>
  <c r="BED6" i="67"/>
  <c r="BEC6" i="67"/>
  <c r="BEB6" i="67"/>
  <c r="BEA6" i="67"/>
  <c r="BDZ6" i="67"/>
  <c r="BDY6" i="67"/>
  <c r="BDX6" i="67"/>
  <c r="BDW6" i="67"/>
  <c r="BDV6" i="67"/>
  <c r="BDU6" i="67"/>
  <c r="BDT6" i="67"/>
  <c r="BDS6" i="67"/>
  <c r="BDR6" i="67"/>
  <c r="BDQ6" i="67"/>
  <c r="BDP6" i="67"/>
  <c r="BDO6" i="67"/>
  <c r="BDN6" i="67"/>
  <c r="BDM6" i="67"/>
  <c r="BDL6" i="67"/>
  <c r="BDK6" i="67"/>
  <c r="BDJ6" i="67"/>
  <c r="BDI6" i="67"/>
  <c r="BDH6" i="67"/>
  <c r="BDG6" i="67"/>
  <c r="BDF6" i="67"/>
  <c r="BDE6" i="67"/>
  <c r="BDD6" i="67"/>
  <c r="BDC6" i="67"/>
  <c r="BDB6" i="67"/>
  <c r="BDA6" i="67"/>
  <c r="BCZ6" i="67"/>
  <c r="BCY6" i="67"/>
  <c r="BCX6" i="67"/>
  <c r="BCW6" i="67"/>
  <c r="BCV6" i="67"/>
  <c r="BCU6" i="67"/>
  <c r="BCT6" i="67"/>
  <c r="BCS6" i="67"/>
  <c r="BCR6" i="67"/>
  <c r="BCQ6" i="67"/>
  <c r="BCP6" i="67"/>
  <c r="BCO6" i="67"/>
  <c r="BCN6" i="67"/>
  <c r="BCM6" i="67"/>
  <c r="BCL6" i="67"/>
  <c r="BCK6" i="67"/>
  <c r="BCJ6" i="67"/>
  <c r="BCI6" i="67"/>
  <c r="BCH6" i="67"/>
  <c r="BCG6" i="67"/>
  <c r="BCF6" i="67"/>
  <c r="BCE6" i="67"/>
  <c r="BCD6" i="67"/>
  <c r="BCC6" i="67"/>
  <c r="BCB6" i="67"/>
  <c r="BCA6" i="67"/>
  <c r="BBZ6" i="67"/>
  <c r="BBY6" i="67"/>
  <c r="BBX6" i="67"/>
  <c r="BBW6" i="67"/>
  <c r="BBV6" i="67"/>
  <c r="BBU6" i="67"/>
  <c r="BBT6" i="67"/>
  <c r="BBS6" i="67"/>
  <c r="BBR6" i="67"/>
  <c r="BBQ6" i="67"/>
  <c r="BBP6" i="67"/>
  <c r="BBO6" i="67"/>
  <c r="BBN6" i="67"/>
  <c r="BBM6" i="67"/>
  <c r="BBL6" i="67"/>
  <c r="BBK6" i="67"/>
  <c r="BBJ6" i="67"/>
  <c r="BBI6" i="67"/>
  <c r="BBH6" i="67"/>
  <c r="BBG6" i="67"/>
  <c r="BBF6" i="67"/>
  <c r="BBE6" i="67"/>
  <c r="BBD6" i="67"/>
  <c r="BBC6" i="67"/>
  <c r="BBB6" i="67"/>
  <c r="BBA6" i="67"/>
  <c r="BAZ6" i="67"/>
  <c r="BAY6" i="67"/>
  <c r="BAX6" i="67"/>
  <c r="BAW6" i="67"/>
  <c r="BAV6" i="67"/>
  <c r="BAU6" i="67"/>
  <c r="BAT6" i="67"/>
  <c r="BAS6" i="67"/>
  <c r="BAR6" i="67"/>
  <c r="BAQ6" i="67"/>
  <c r="BAP6" i="67"/>
  <c r="BAO6" i="67"/>
  <c r="BAN6" i="67"/>
  <c r="BAM6" i="67"/>
  <c r="BAL6" i="67"/>
  <c r="BAK6" i="67"/>
  <c r="BAJ6" i="67"/>
  <c r="BAI6" i="67"/>
  <c r="BAH6" i="67"/>
  <c r="BAG6" i="67"/>
  <c r="BAF6" i="67"/>
  <c r="BAE6" i="67"/>
  <c r="BAD6" i="67"/>
  <c r="BAC6" i="67"/>
  <c r="BAB6" i="67"/>
  <c r="BAA6" i="67"/>
  <c r="AZZ6" i="67"/>
  <c r="AZY6" i="67"/>
  <c r="AZX6" i="67"/>
  <c r="AZW6" i="67"/>
  <c r="AZV6" i="67"/>
  <c r="AZU6" i="67"/>
  <c r="AZT6" i="67"/>
  <c r="AZS6" i="67"/>
  <c r="AZR6" i="67"/>
  <c r="AZQ6" i="67"/>
  <c r="AZP6" i="67"/>
  <c r="AZO6" i="67"/>
  <c r="AZN6" i="67"/>
  <c r="AZM6" i="67"/>
  <c r="AZL6" i="67"/>
  <c r="AZK6" i="67"/>
  <c r="AZJ6" i="67"/>
  <c r="AZI6" i="67"/>
  <c r="AZH6" i="67"/>
  <c r="AZG6" i="67"/>
  <c r="AZF6" i="67"/>
  <c r="AZE6" i="67"/>
  <c r="AZD6" i="67"/>
  <c r="AZC6" i="67"/>
  <c r="AZB6" i="67"/>
  <c r="AZA6" i="67"/>
  <c r="AYZ6" i="67"/>
  <c r="AYY6" i="67"/>
  <c r="AYX6" i="67"/>
  <c r="AYW6" i="67"/>
  <c r="AYV6" i="67"/>
  <c r="AYU6" i="67"/>
  <c r="AYT6" i="67"/>
  <c r="AYS6" i="67"/>
  <c r="AYR6" i="67"/>
  <c r="AYQ6" i="67"/>
  <c r="AYP6" i="67"/>
  <c r="AYO6" i="67"/>
  <c r="AYN6" i="67"/>
  <c r="AYM6" i="67"/>
  <c r="AYL6" i="67"/>
  <c r="AYK6" i="67"/>
  <c r="AYJ6" i="67"/>
  <c r="AYI6" i="67"/>
  <c r="AYH6" i="67"/>
  <c r="AYG6" i="67"/>
  <c r="AYF6" i="67"/>
  <c r="AYE6" i="67"/>
  <c r="AYD6" i="67"/>
  <c r="AYC6" i="67"/>
  <c r="AYB6" i="67"/>
  <c r="AYA6" i="67"/>
  <c r="AXZ6" i="67"/>
  <c r="AXY6" i="67"/>
  <c r="AXX6" i="67"/>
  <c r="AXW6" i="67"/>
  <c r="AXV6" i="67"/>
  <c r="AXU6" i="67"/>
  <c r="AXT6" i="67"/>
  <c r="AXS6" i="67"/>
  <c r="AXR6" i="67"/>
  <c r="AXQ6" i="67"/>
  <c r="AXP6" i="67"/>
  <c r="AXO6" i="67"/>
  <c r="AXN6" i="67"/>
  <c r="AXM6" i="67"/>
  <c r="AXL6" i="67"/>
  <c r="AXK6" i="67"/>
  <c r="AXJ6" i="67"/>
  <c r="AXI6" i="67"/>
  <c r="AXH6" i="67"/>
  <c r="AXG6" i="67"/>
  <c r="AXF6" i="67"/>
  <c r="AXE6" i="67"/>
  <c r="AXD6" i="67"/>
  <c r="AXC6" i="67"/>
  <c r="AXB6" i="67"/>
  <c r="AXA6" i="67"/>
  <c r="AWZ6" i="67"/>
  <c r="AWY6" i="67"/>
  <c r="AWX6" i="67"/>
  <c r="AWW6" i="67"/>
  <c r="AWV6" i="67"/>
  <c r="AWU6" i="67"/>
  <c r="AWT6" i="67"/>
  <c r="AWS6" i="67"/>
  <c r="AWR6" i="67"/>
  <c r="AWQ6" i="67"/>
  <c r="AWP6" i="67"/>
  <c r="AWO6" i="67"/>
  <c r="AWN6" i="67"/>
  <c r="AWM6" i="67"/>
  <c r="AWL6" i="67"/>
  <c r="AWK6" i="67"/>
  <c r="AWJ6" i="67"/>
  <c r="AWI6" i="67"/>
  <c r="AWH6" i="67"/>
  <c r="AWG6" i="67"/>
  <c r="AWF6" i="67"/>
  <c r="AWE6" i="67"/>
  <c r="AWD6" i="67"/>
  <c r="AWC6" i="67"/>
  <c r="AWB6" i="67"/>
  <c r="AWA6" i="67"/>
  <c r="AVZ6" i="67"/>
  <c r="AVY6" i="67"/>
  <c r="AVX6" i="67"/>
  <c r="AVW6" i="67"/>
  <c r="AVV6" i="67"/>
  <c r="AVU6" i="67"/>
  <c r="AVT6" i="67"/>
  <c r="AVS6" i="67"/>
  <c r="AVR6" i="67"/>
  <c r="AVQ6" i="67"/>
  <c r="AVP6" i="67"/>
  <c r="AVO6" i="67"/>
  <c r="AVN6" i="67"/>
  <c r="AVM6" i="67"/>
  <c r="AVL6" i="67"/>
  <c r="AVK6" i="67"/>
  <c r="AVJ6" i="67"/>
  <c r="AVI6" i="67"/>
  <c r="AVH6" i="67"/>
  <c r="AVG6" i="67"/>
  <c r="AVF6" i="67"/>
  <c r="AVE6" i="67"/>
  <c r="AVD6" i="67"/>
  <c r="AVC6" i="67"/>
  <c r="AVB6" i="67"/>
  <c r="AVA6" i="67"/>
  <c r="AUZ6" i="67"/>
  <c r="AUY6" i="67"/>
  <c r="AUX6" i="67"/>
  <c r="AUW6" i="67"/>
  <c r="AUV6" i="67"/>
  <c r="AUU6" i="67"/>
  <c r="AUT6" i="67"/>
  <c r="AUS6" i="67"/>
  <c r="AUR6" i="67"/>
  <c r="AUQ6" i="67"/>
  <c r="AUP6" i="67"/>
  <c r="AUO6" i="67"/>
  <c r="AUN6" i="67"/>
  <c r="AUM6" i="67"/>
  <c r="AUL6" i="67"/>
  <c r="AUK6" i="67"/>
  <c r="AUJ6" i="67"/>
  <c r="AUI6" i="67"/>
  <c r="AUH6" i="67"/>
  <c r="AUG6" i="67"/>
  <c r="AUF6" i="67"/>
  <c r="AUE6" i="67"/>
  <c r="AUD6" i="67"/>
  <c r="AUC6" i="67"/>
  <c r="AUB6" i="67"/>
  <c r="AUA6" i="67"/>
  <c r="ATZ6" i="67"/>
  <c r="ATY6" i="67"/>
  <c r="ATX6" i="67"/>
  <c r="ATW6" i="67"/>
  <c r="ATV6" i="67"/>
  <c r="ATU6" i="67"/>
  <c r="ATT6" i="67"/>
  <c r="ATS6" i="67"/>
  <c r="ATR6" i="67"/>
  <c r="ATQ6" i="67"/>
  <c r="ATP6" i="67"/>
  <c r="ATO6" i="67"/>
  <c r="ATN6" i="67"/>
  <c r="ATM6" i="67"/>
  <c r="ATL6" i="67"/>
  <c r="ATK6" i="67"/>
  <c r="ATJ6" i="67"/>
  <c r="ATI6" i="67"/>
  <c r="ATH6" i="67"/>
  <c r="ATG6" i="67"/>
  <c r="ATF6" i="67"/>
  <c r="ATE6" i="67"/>
  <c r="ATD6" i="67"/>
  <c r="ATC6" i="67"/>
  <c r="ATB6" i="67"/>
  <c r="ATA6" i="67"/>
  <c r="ASZ6" i="67"/>
  <c r="ASY6" i="67"/>
  <c r="ASX6" i="67"/>
  <c r="ASW6" i="67"/>
  <c r="ASV6" i="67"/>
  <c r="ASU6" i="67"/>
  <c r="AST6" i="67"/>
  <c r="ASS6" i="67"/>
  <c r="ASR6" i="67"/>
  <c r="ASQ6" i="67"/>
  <c r="ASP6" i="67"/>
  <c r="ASO6" i="67"/>
  <c r="ASN6" i="67"/>
  <c r="ASM6" i="67"/>
  <c r="ASL6" i="67"/>
  <c r="ASK6" i="67"/>
  <c r="ASJ6" i="67"/>
  <c r="ASI6" i="67"/>
  <c r="ASH6" i="67"/>
  <c r="ASG6" i="67"/>
  <c r="ASF6" i="67"/>
  <c r="ASE6" i="67"/>
  <c r="ASD6" i="67"/>
  <c r="ASC6" i="67"/>
  <c r="ASB6" i="67"/>
  <c r="ASA6" i="67"/>
  <c r="ARZ6" i="67"/>
  <c r="ARY6" i="67"/>
  <c r="ARX6" i="67"/>
  <c r="ARW6" i="67"/>
  <c r="ARV6" i="67"/>
  <c r="ARU6" i="67"/>
  <c r="ART6" i="67"/>
  <c r="ARS6" i="67"/>
  <c r="ARR6" i="67"/>
  <c r="ARQ6" i="67"/>
  <c r="ARP6" i="67"/>
  <c r="ARO6" i="67"/>
  <c r="ARN6" i="67"/>
  <c r="ARM6" i="67"/>
  <c r="ARL6" i="67"/>
  <c r="ARK6" i="67"/>
  <c r="ARJ6" i="67"/>
  <c r="ARI6" i="67"/>
  <c r="ARH6" i="67"/>
  <c r="ARG6" i="67"/>
  <c r="ARF6" i="67"/>
  <c r="ARE6" i="67"/>
  <c r="ARD6" i="67"/>
  <c r="ARC6" i="67"/>
  <c r="ARB6" i="67"/>
  <c r="ARA6" i="67"/>
  <c r="AQZ6" i="67"/>
  <c r="AQY6" i="67"/>
  <c r="AQX6" i="67"/>
  <c r="AQW6" i="67"/>
  <c r="AQV6" i="67"/>
  <c r="AQU6" i="67"/>
  <c r="AQT6" i="67"/>
  <c r="AQS6" i="67"/>
  <c r="AQR6" i="67"/>
  <c r="AQQ6" i="67"/>
  <c r="AQP6" i="67"/>
  <c r="AQO6" i="67"/>
  <c r="AQN6" i="67"/>
  <c r="AQM6" i="67"/>
  <c r="AQL6" i="67"/>
  <c r="AQK6" i="67"/>
  <c r="AQJ6" i="67"/>
  <c r="AQI6" i="67"/>
  <c r="AQH6" i="67"/>
  <c r="AQG6" i="67"/>
  <c r="AQF6" i="67"/>
  <c r="AQE6" i="67"/>
  <c r="AQD6" i="67"/>
  <c r="AQC6" i="67"/>
  <c r="AQB6" i="67"/>
  <c r="AQA6" i="67"/>
  <c r="APZ6" i="67"/>
  <c r="APY6" i="67"/>
  <c r="APX6" i="67"/>
  <c r="APW6" i="67"/>
  <c r="APV6" i="67"/>
  <c r="APU6" i="67"/>
  <c r="APT6" i="67"/>
  <c r="APS6" i="67"/>
  <c r="APR6" i="67"/>
  <c r="APQ6" i="67"/>
  <c r="APP6" i="67"/>
  <c r="APO6" i="67"/>
  <c r="APN6" i="67"/>
  <c r="APM6" i="67"/>
  <c r="APL6" i="67"/>
  <c r="APK6" i="67"/>
  <c r="APJ6" i="67"/>
  <c r="API6" i="67"/>
  <c r="APH6" i="67"/>
  <c r="APG6" i="67"/>
  <c r="APF6" i="67"/>
  <c r="APE6" i="67"/>
  <c r="APD6" i="67"/>
  <c r="APC6" i="67"/>
  <c r="APB6" i="67"/>
  <c r="APA6" i="67"/>
  <c r="AOZ6" i="67"/>
  <c r="AOY6" i="67"/>
  <c r="AOX6" i="67"/>
  <c r="AOW6" i="67"/>
  <c r="AOV6" i="67"/>
  <c r="AOU6" i="67"/>
  <c r="AOT6" i="67"/>
  <c r="AOS6" i="67"/>
  <c r="AOR6" i="67"/>
  <c r="AOQ6" i="67"/>
  <c r="AOP6" i="67"/>
  <c r="AOO6" i="67"/>
  <c r="AON6" i="67"/>
  <c r="AOM6" i="67"/>
  <c r="AOL6" i="67"/>
  <c r="AOK6" i="67"/>
  <c r="AOJ6" i="67"/>
  <c r="AOI6" i="67"/>
  <c r="AOH6" i="67"/>
  <c r="AOG6" i="67"/>
  <c r="AOF6" i="67"/>
  <c r="AOE6" i="67"/>
  <c r="AOD6" i="67"/>
  <c r="AOC6" i="67"/>
  <c r="AOB6" i="67"/>
  <c r="AOA6" i="67"/>
  <c r="ANZ6" i="67"/>
  <c r="ANY6" i="67"/>
  <c r="ANX6" i="67"/>
  <c r="ANW6" i="67"/>
  <c r="ANV6" i="67"/>
  <c r="ANU6" i="67"/>
  <c r="ANT6" i="67"/>
  <c r="ANS6" i="67"/>
  <c r="ANR6" i="67"/>
  <c r="ANQ6" i="67"/>
  <c r="ANP6" i="67"/>
  <c r="ANO6" i="67"/>
  <c r="ANN6" i="67"/>
  <c r="ANM6" i="67"/>
  <c r="ANL6" i="67"/>
  <c r="ANK6" i="67"/>
  <c r="ANJ6" i="67"/>
  <c r="ANI6" i="67"/>
  <c r="ANH6" i="67"/>
  <c r="ANG6" i="67"/>
  <c r="ANF6" i="67"/>
  <c r="ANE6" i="67"/>
  <c r="AND6" i="67"/>
  <c r="ANC6" i="67"/>
  <c r="ANB6" i="67"/>
  <c r="ANA6" i="67"/>
  <c r="AMZ6" i="67"/>
  <c r="AMY6" i="67"/>
  <c r="AMX6" i="67"/>
  <c r="AMW6" i="67"/>
  <c r="AMV6" i="67"/>
  <c r="AMU6" i="67"/>
  <c r="AMT6" i="67"/>
  <c r="AMS6" i="67"/>
  <c r="AMR6" i="67"/>
  <c r="AMQ6" i="67"/>
  <c r="AMP6" i="67"/>
  <c r="AMO6" i="67"/>
  <c r="AMN6" i="67"/>
  <c r="AMM6" i="67"/>
  <c r="AML6" i="67"/>
  <c r="AMK6" i="67"/>
  <c r="AMJ6" i="67"/>
  <c r="AMI6" i="67"/>
  <c r="AMH6" i="67"/>
  <c r="AMG6" i="67"/>
  <c r="AMF6" i="67"/>
  <c r="AME6" i="67"/>
  <c r="AMD6" i="67"/>
  <c r="AMC6" i="67"/>
  <c r="AMB6" i="67"/>
  <c r="AMA6" i="67"/>
  <c r="ALZ6" i="67"/>
  <c r="ALY6" i="67"/>
  <c r="ALX6" i="67"/>
  <c r="ALW6" i="67"/>
  <c r="ALV6" i="67"/>
  <c r="ALU6" i="67"/>
  <c r="ALT6" i="67"/>
  <c r="ALS6" i="67"/>
  <c r="ALR6" i="67"/>
  <c r="ALQ6" i="67"/>
  <c r="ALP6" i="67"/>
  <c r="ALO6" i="67"/>
  <c r="ALN6" i="67"/>
  <c r="ALM6" i="67"/>
  <c r="ALL6" i="67"/>
  <c r="ALK6" i="67"/>
  <c r="ALJ6" i="67"/>
  <c r="ALI6" i="67"/>
  <c r="ALH6" i="67"/>
  <c r="ALG6" i="67"/>
  <c r="ALF6" i="67"/>
  <c r="ALE6" i="67"/>
  <c r="ALD6" i="67"/>
  <c r="ALC6" i="67"/>
  <c r="ALB6" i="67"/>
  <c r="ALA6" i="67"/>
  <c r="AKZ6" i="67"/>
  <c r="AKY6" i="67"/>
  <c r="AKX6" i="67"/>
  <c r="AKW6" i="67"/>
  <c r="AKV6" i="67"/>
  <c r="AKU6" i="67"/>
  <c r="AKT6" i="67"/>
  <c r="AKS6" i="67"/>
  <c r="AKR6" i="67"/>
  <c r="AKQ6" i="67"/>
  <c r="AKP6" i="67"/>
  <c r="AKO6" i="67"/>
  <c r="AKN6" i="67"/>
  <c r="AKM6" i="67"/>
  <c r="AKL6" i="67"/>
  <c r="AKK6" i="67"/>
  <c r="AKJ6" i="67"/>
  <c r="AKI6" i="67"/>
  <c r="AKH6" i="67"/>
  <c r="AKG6" i="67"/>
  <c r="AKF6" i="67"/>
  <c r="AKE6" i="67"/>
  <c r="AKD6" i="67"/>
  <c r="AKC6" i="67"/>
  <c r="AKB6" i="67"/>
  <c r="AKA6" i="67"/>
  <c r="AJZ6" i="67"/>
  <c r="AJY6" i="67"/>
  <c r="AJX6" i="67"/>
  <c r="AJW6" i="67"/>
  <c r="AJV6" i="67"/>
  <c r="AJU6" i="67"/>
  <c r="AJT6" i="67"/>
  <c r="AJS6" i="67"/>
  <c r="AJR6" i="67"/>
  <c r="AJQ6" i="67"/>
  <c r="AJP6" i="67"/>
  <c r="AJO6" i="67"/>
  <c r="AJN6" i="67"/>
  <c r="AJM6" i="67"/>
  <c r="AJL6" i="67"/>
  <c r="AJK6" i="67"/>
  <c r="AJJ6" i="67"/>
  <c r="AJI6" i="67"/>
  <c r="AJH6" i="67"/>
  <c r="AJG6" i="67"/>
  <c r="AJF6" i="67"/>
  <c r="AJE6" i="67"/>
  <c r="AJD6" i="67"/>
  <c r="AJC6" i="67"/>
  <c r="AJB6" i="67"/>
  <c r="AJA6" i="67"/>
  <c r="AIZ6" i="67"/>
  <c r="AIY6" i="67"/>
  <c r="AIX6" i="67"/>
  <c r="AIW6" i="67"/>
  <c r="AIV6" i="67"/>
  <c r="AIU6" i="67"/>
  <c r="AIT6" i="67"/>
  <c r="AIS6" i="67"/>
  <c r="AIR6" i="67"/>
  <c r="AIQ6" i="67"/>
  <c r="AIP6" i="67"/>
  <c r="AIO6" i="67"/>
  <c r="AIN6" i="67"/>
  <c r="AIM6" i="67"/>
  <c r="AIL6" i="67"/>
  <c r="AIK6" i="67"/>
  <c r="AIJ6" i="67"/>
  <c r="AII6" i="67"/>
  <c r="AIH6" i="67"/>
  <c r="AIG6" i="67"/>
  <c r="AIF6" i="67"/>
  <c r="AIE6" i="67"/>
  <c r="AID6" i="67"/>
  <c r="AIC6" i="67"/>
  <c r="AIB6" i="67"/>
  <c r="AIA6" i="67"/>
  <c r="AHZ6" i="67"/>
  <c r="AHY6" i="67"/>
  <c r="AHX6" i="67"/>
  <c r="AHW6" i="67"/>
  <c r="AHV6" i="67"/>
  <c r="AHU6" i="67"/>
  <c r="AHT6" i="67"/>
  <c r="AHS6" i="67"/>
  <c r="AHR6" i="67"/>
  <c r="AHQ6" i="67"/>
  <c r="AHP6" i="67"/>
  <c r="AHO6" i="67"/>
  <c r="AHN6" i="67"/>
  <c r="AHM6" i="67"/>
  <c r="AHL6" i="67"/>
  <c r="AHK6" i="67"/>
  <c r="AHJ6" i="67"/>
  <c r="AHI6" i="67"/>
  <c r="AHH6" i="67"/>
  <c r="AHG6" i="67"/>
  <c r="AHF6" i="67"/>
  <c r="AHE6" i="67"/>
  <c r="AHD6" i="67"/>
  <c r="AHC6" i="67"/>
  <c r="AHB6" i="67"/>
  <c r="AHA6" i="67"/>
  <c r="AGZ6" i="67"/>
  <c r="AGY6" i="67"/>
  <c r="AGX6" i="67"/>
  <c r="AGW6" i="67"/>
  <c r="AGV6" i="67"/>
  <c r="AGU6" i="67"/>
  <c r="AGT6" i="67"/>
  <c r="AGS6" i="67"/>
  <c r="AGR6" i="67"/>
  <c r="AGQ6" i="67"/>
  <c r="AGP6" i="67"/>
  <c r="AGO6" i="67"/>
  <c r="AGN6" i="67"/>
  <c r="AGM6" i="67"/>
  <c r="AGL6" i="67"/>
  <c r="AGK6" i="67"/>
  <c r="AGJ6" i="67"/>
  <c r="AGI6" i="67"/>
  <c r="AGH6" i="67"/>
  <c r="AGG6" i="67"/>
  <c r="AGF6" i="67"/>
  <c r="AGE6" i="67"/>
  <c r="AGD6" i="67"/>
  <c r="AGC6" i="67"/>
  <c r="AGB6" i="67"/>
  <c r="AGA6" i="67"/>
  <c r="AFZ6" i="67"/>
  <c r="AFY6" i="67"/>
  <c r="AFX6" i="67"/>
  <c r="AFW6" i="67"/>
  <c r="AFV6" i="67"/>
  <c r="AFU6" i="67"/>
  <c r="AFT6" i="67"/>
  <c r="AFS6" i="67"/>
  <c r="AFR6" i="67"/>
  <c r="AFQ6" i="67"/>
  <c r="AFP6" i="67"/>
  <c r="AFO6" i="67"/>
  <c r="AFN6" i="67"/>
  <c r="AFM6" i="67"/>
  <c r="AFL6" i="67"/>
  <c r="AFK6" i="67"/>
  <c r="AFJ6" i="67"/>
  <c r="AFI6" i="67"/>
  <c r="AFH6" i="67"/>
  <c r="AFG6" i="67"/>
  <c r="AFF6" i="67"/>
  <c r="AFE6" i="67"/>
  <c r="AFD6" i="67"/>
  <c r="AFC6" i="67"/>
  <c r="AFB6" i="67"/>
  <c r="AFA6" i="67"/>
  <c r="AEZ6" i="67"/>
  <c r="AEY6" i="67"/>
  <c r="AEX6" i="67"/>
  <c r="AEW6" i="67"/>
  <c r="AEV6" i="67"/>
  <c r="AEU6" i="67"/>
  <c r="AET6" i="67"/>
  <c r="AES6" i="67"/>
  <c r="AER6" i="67"/>
  <c r="AEQ6" i="67"/>
  <c r="AEP6" i="67"/>
  <c r="AEO6" i="67"/>
  <c r="AEN6" i="67"/>
  <c r="AEM6" i="67"/>
  <c r="AEL6" i="67"/>
  <c r="AEK6" i="67"/>
  <c r="AEJ6" i="67"/>
  <c r="AEI6" i="67"/>
  <c r="AEH6" i="67"/>
  <c r="AEG6" i="67"/>
  <c r="AEF6" i="67"/>
  <c r="AEE6" i="67"/>
  <c r="AED6" i="67"/>
  <c r="AEC6" i="67"/>
  <c r="AEB6" i="67"/>
  <c r="AEA6" i="67"/>
  <c r="ADZ6" i="67"/>
  <c r="ADY6" i="67"/>
  <c r="ADX6" i="67"/>
  <c r="ADW6" i="67"/>
  <c r="ADV6" i="67"/>
  <c r="ADU6" i="67"/>
  <c r="ADT6" i="67"/>
  <c r="ADS6" i="67"/>
  <c r="ADR6" i="67"/>
  <c r="ADQ6" i="67"/>
  <c r="ADP6" i="67"/>
  <c r="ADO6" i="67"/>
  <c r="ADN6" i="67"/>
  <c r="ADM6" i="67"/>
  <c r="ADL6" i="67"/>
  <c r="ADK6" i="67"/>
  <c r="ADJ6" i="67"/>
  <c r="ADI6" i="67"/>
  <c r="ADH6" i="67"/>
  <c r="ADG6" i="67"/>
  <c r="ADF6" i="67"/>
  <c r="ADE6" i="67"/>
  <c r="ADD6" i="67"/>
  <c r="ADC6" i="67"/>
  <c r="ADB6" i="67"/>
  <c r="ADA6" i="67"/>
  <c r="ACZ6" i="67"/>
  <c r="ACY6" i="67"/>
  <c r="ACX6" i="67"/>
  <c r="ACW6" i="67"/>
  <c r="ACV6" i="67"/>
  <c r="ACU6" i="67"/>
  <c r="ACT6" i="67"/>
  <c r="ACS6" i="67"/>
  <c r="ACR6" i="67"/>
  <c r="ACQ6" i="67"/>
  <c r="ACP6" i="67"/>
  <c r="ACO6" i="67"/>
  <c r="ACN6" i="67"/>
  <c r="ACM6" i="67"/>
  <c r="ACL6" i="67"/>
  <c r="ACK6" i="67"/>
  <c r="ACJ6" i="67"/>
  <c r="ACI6" i="67"/>
  <c r="ACH6" i="67"/>
  <c r="ACG6" i="67"/>
  <c r="ACF6" i="67"/>
  <c r="ACE6" i="67"/>
  <c r="ACD6" i="67"/>
  <c r="ACC6" i="67"/>
  <c r="ACB6" i="67"/>
  <c r="ACA6" i="67"/>
  <c r="ABZ6" i="67"/>
  <c r="ABY6" i="67"/>
  <c r="ABX6" i="67"/>
  <c r="ABW6" i="67"/>
  <c r="ABV6" i="67"/>
  <c r="ABU6" i="67"/>
  <c r="ABT6" i="67"/>
  <c r="ABS6" i="67"/>
  <c r="ABR6" i="67"/>
  <c r="ABQ6" i="67"/>
  <c r="ABP6" i="67"/>
  <c r="ABO6" i="67"/>
  <c r="ABN6" i="67"/>
  <c r="ABM6" i="67"/>
  <c r="ABL6" i="67"/>
  <c r="ABK6" i="67"/>
  <c r="ABJ6" i="67"/>
  <c r="ABI6" i="67"/>
  <c r="ABH6" i="67"/>
  <c r="ABG6" i="67"/>
  <c r="ABF6" i="67"/>
  <c r="ABE6" i="67"/>
  <c r="ABD6" i="67"/>
  <c r="ABC6" i="67"/>
  <c r="ABB6" i="67"/>
  <c r="ABA6" i="67"/>
  <c r="AAZ6" i="67"/>
  <c r="AAY6" i="67"/>
  <c r="AAX6" i="67"/>
  <c r="AAW6" i="67"/>
  <c r="AAV6" i="67"/>
  <c r="AAU6" i="67"/>
  <c r="AAT6" i="67"/>
  <c r="AAS6" i="67"/>
  <c r="AAR6" i="67"/>
  <c r="AAQ6" i="67"/>
  <c r="AAP6" i="67"/>
  <c r="AAO6" i="67"/>
  <c r="AAN6" i="67"/>
  <c r="AAM6" i="67"/>
  <c r="AAL6" i="67"/>
  <c r="AAK6" i="67"/>
  <c r="AAJ6" i="67"/>
  <c r="AAI6" i="67"/>
  <c r="AAH6" i="67"/>
  <c r="AAG6" i="67"/>
  <c r="AAF6" i="67"/>
  <c r="AAE6" i="67"/>
  <c r="AAD6" i="67"/>
  <c r="AAC6" i="67"/>
  <c r="AAB6" i="67"/>
  <c r="AAA6" i="67"/>
  <c r="ZZ6" i="67"/>
  <c r="ZY6" i="67"/>
  <c r="ZX6" i="67"/>
  <c r="ZW6" i="67"/>
  <c r="ZV6" i="67"/>
  <c r="ZU6" i="67"/>
  <c r="ZT6" i="67"/>
  <c r="ZS6" i="67"/>
  <c r="ZR6" i="67"/>
  <c r="ZQ6" i="67"/>
  <c r="ZP6" i="67"/>
  <c r="ZO6" i="67"/>
  <c r="ZN6" i="67"/>
  <c r="ZM6" i="67"/>
  <c r="ZL6" i="67"/>
  <c r="ZK6" i="67"/>
  <c r="ZJ6" i="67"/>
  <c r="ZI6" i="67"/>
  <c r="ZH6" i="67"/>
  <c r="ZG6" i="67"/>
  <c r="ZF6" i="67"/>
  <c r="ZE6" i="67"/>
  <c r="ZD6" i="67"/>
  <c r="ZC6" i="67"/>
  <c r="ZB6" i="67"/>
  <c r="ZA6" i="67"/>
  <c r="YZ6" i="67"/>
  <c r="YY6" i="67"/>
  <c r="YX6" i="67"/>
  <c r="YW6" i="67"/>
  <c r="YV6" i="67"/>
  <c r="YU6" i="67"/>
  <c r="YT6" i="67"/>
  <c r="YS6" i="67"/>
  <c r="YR6" i="67"/>
  <c r="YQ6" i="67"/>
  <c r="YP6" i="67"/>
  <c r="YO6" i="67"/>
  <c r="YN6" i="67"/>
  <c r="YM6" i="67"/>
  <c r="YL6" i="67"/>
  <c r="YK6" i="67"/>
  <c r="YJ6" i="67"/>
  <c r="YI6" i="67"/>
  <c r="YH6" i="67"/>
  <c r="YG6" i="67"/>
  <c r="YF6" i="67"/>
  <c r="YE6" i="67"/>
  <c r="YD6" i="67"/>
  <c r="YC6" i="67"/>
  <c r="YB6" i="67"/>
  <c r="YA6" i="67"/>
  <c r="XZ6" i="67"/>
  <c r="XY6" i="67"/>
  <c r="XX6" i="67"/>
  <c r="XW6" i="67"/>
  <c r="XV6" i="67"/>
  <c r="XU6" i="67"/>
  <c r="XT6" i="67"/>
  <c r="XS6" i="67"/>
  <c r="XR6" i="67"/>
  <c r="XQ6" i="67"/>
  <c r="XP6" i="67"/>
  <c r="XO6" i="67"/>
  <c r="XN6" i="67"/>
  <c r="XM6" i="67"/>
  <c r="XL6" i="67"/>
  <c r="XK6" i="67"/>
  <c r="XJ6" i="67"/>
  <c r="XI6" i="67"/>
  <c r="XH6" i="67"/>
  <c r="XG6" i="67"/>
  <c r="XF6" i="67"/>
  <c r="XE6" i="67"/>
  <c r="XD6" i="67"/>
  <c r="XC6" i="67"/>
  <c r="XB6" i="67"/>
  <c r="XA6" i="67"/>
  <c r="WZ6" i="67"/>
  <c r="WY6" i="67"/>
  <c r="WX6" i="67"/>
  <c r="WW6" i="67"/>
  <c r="WV6" i="67"/>
  <c r="WU6" i="67"/>
  <c r="WT6" i="67"/>
  <c r="WS6" i="67"/>
  <c r="WR6" i="67"/>
  <c r="WQ6" i="67"/>
  <c r="WP6" i="67"/>
  <c r="WO6" i="67"/>
  <c r="WN6" i="67"/>
  <c r="WM6" i="67"/>
  <c r="WL6" i="67"/>
  <c r="WK6" i="67"/>
  <c r="WJ6" i="67"/>
  <c r="WI6" i="67"/>
  <c r="WH6" i="67"/>
  <c r="WG6" i="67"/>
  <c r="WF6" i="67"/>
  <c r="WE6" i="67"/>
  <c r="WD6" i="67"/>
  <c r="WC6" i="67"/>
  <c r="WB6" i="67"/>
  <c r="WA6" i="67"/>
  <c r="VZ6" i="67"/>
  <c r="VY6" i="67"/>
  <c r="VX6" i="67"/>
  <c r="VW6" i="67"/>
  <c r="VV6" i="67"/>
  <c r="VU6" i="67"/>
  <c r="VT6" i="67"/>
  <c r="VS6" i="67"/>
  <c r="VR6" i="67"/>
  <c r="VQ6" i="67"/>
  <c r="VP6" i="67"/>
  <c r="VO6" i="67"/>
  <c r="VN6" i="67"/>
  <c r="VM6" i="67"/>
  <c r="VL6" i="67"/>
  <c r="VK6" i="67"/>
  <c r="VJ6" i="67"/>
  <c r="VI6" i="67"/>
  <c r="VH6" i="67"/>
  <c r="VG6" i="67"/>
  <c r="VF6" i="67"/>
  <c r="VE6" i="67"/>
  <c r="VD6" i="67"/>
  <c r="VC6" i="67"/>
  <c r="VB6" i="67"/>
  <c r="VA6" i="67"/>
  <c r="UZ6" i="67"/>
  <c r="UY6" i="67"/>
  <c r="UX6" i="67"/>
  <c r="UW6" i="67"/>
  <c r="UV6" i="67"/>
  <c r="UU6" i="67"/>
  <c r="UT6" i="67"/>
  <c r="US6" i="67"/>
  <c r="UR6" i="67"/>
  <c r="UQ6" i="67"/>
  <c r="UP6" i="67"/>
  <c r="UO6" i="67"/>
  <c r="UN6" i="67"/>
  <c r="UM6" i="67"/>
  <c r="UL6" i="67"/>
  <c r="UK6" i="67"/>
  <c r="UJ6" i="67"/>
  <c r="UI6" i="67"/>
  <c r="UH6" i="67"/>
  <c r="UG6" i="67"/>
  <c r="UF6" i="67"/>
  <c r="UE6" i="67"/>
  <c r="UD6" i="67"/>
  <c r="UC6" i="67"/>
  <c r="UB6" i="67"/>
  <c r="UA6" i="67"/>
  <c r="TZ6" i="67"/>
  <c r="TY6" i="67"/>
  <c r="TX6" i="67"/>
  <c r="TW6" i="67"/>
  <c r="TV6" i="67"/>
  <c r="TU6" i="67"/>
  <c r="TT6" i="67"/>
  <c r="TS6" i="67"/>
  <c r="TR6" i="67"/>
  <c r="TQ6" i="67"/>
  <c r="TP6" i="67"/>
  <c r="TO6" i="67"/>
  <c r="TN6" i="67"/>
  <c r="TM6" i="67"/>
  <c r="TL6" i="67"/>
  <c r="TK6" i="67"/>
  <c r="TJ6" i="67"/>
  <c r="TI6" i="67"/>
  <c r="TH6" i="67"/>
  <c r="TG6" i="67"/>
  <c r="TF6" i="67"/>
  <c r="TE6" i="67"/>
  <c r="TD6" i="67"/>
  <c r="TC6" i="67"/>
  <c r="TB6" i="67"/>
  <c r="TA6" i="67"/>
  <c r="SZ6" i="67"/>
  <c r="SY6" i="67"/>
  <c r="SX6" i="67"/>
  <c r="SW6" i="67"/>
  <c r="SV6" i="67"/>
  <c r="SU6" i="67"/>
  <c r="ST6" i="67"/>
  <c r="SS6" i="67"/>
  <c r="SR6" i="67"/>
  <c r="SQ6" i="67"/>
  <c r="SP6" i="67"/>
  <c r="SO6" i="67"/>
  <c r="SN6" i="67"/>
  <c r="SM6" i="67"/>
  <c r="SL6" i="67"/>
  <c r="SK6" i="67"/>
  <c r="SJ6" i="67"/>
  <c r="SI6" i="67"/>
  <c r="SH6" i="67"/>
  <c r="SG6" i="67"/>
  <c r="SF6" i="67"/>
  <c r="SE6" i="67"/>
  <c r="SD6" i="67"/>
  <c r="SC6" i="67"/>
  <c r="SB6" i="67"/>
  <c r="SA6" i="67"/>
  <c r="RZ6" i="67"/>
  <c r="RY6" i="67"/>
  <c r="RX6" i="67"/>
  <c r="RW6" i="67"/>
  <c r="RV6" i="67"/>
  <c r="RU6" i="67"/>
  <c r="RT6" i="67"/>
  <c r="RS6" i="67"/>
  <c r="RR6" i="67"/>
  <c r="RQ6" i="67"/>
  <c r="RP6" i="67"/>
  <c r="RO6" i="67"/>
  <c r="RN6" i="67"/>
  <c r="RM6" i="67"/>
  <c r="RL6" i="67"/>
  <c r="RK6" i="67"/>
  <c r="RJ6" i="67"/>
  <c r="RI6" i="67"/>
  <c r="RH6" i="67"/>
  <c r="RG6" i="67"/>
  <c r="RF6" i="67"/>
  <c r="RE6" i="67"/>
  <c r="RD6" i="67"/>
  <c r="RC6" i="67"/>
  <c r="RB6" i="67"/>
  <c r="RA6" i="67"/>
  <c r="QZ6" i="67"/>
  <c r="QY6" i="67"/>
  <c r="QX6" i="67"/>
  <c r="QW6" i="67"/>
  <c r="QV6" i="67"/>
  <c r="QU6" i="67"/>
  <c r="QT6" i="67"/>
  <c r="QS6" i="67"/>
  <c r="QR6" i="67"/>
  <c r="QQ6" i="67"/>
  <c r="QP6" i="67"/>
  <c r="QO6" i="67"/>
  <c r="QN6" i="67"/>
  <c r="QM6" i="67"/>
  <c r="QL6" i="67"/>
  <c r="QK6" i="67"/>
  <c r="QJ6" i="67"/>
  <c r="QI6" i="67"/>
  <c r="QH6" i="67"/>
  <c r="QG6" i="67"/>
  <c r="QF6" i="67"/>
  <c r="QE6" i="67"/>
  <c r="QD6" i="67"/>
  <c r="QC6" i="67"/>
  <c r="QB6" i="67"/>
  <c r="QA6" i="67"/>
  <c r="PZ6" i="67"/>
  <c r="PY6" i="67"/>
  <c r="PX6" i="67"/>
  <c r="PW6" i="67"/>
  <c r="PV6" i="67"/>
  <c r="PU6" i="67"/>
  <c r="PT6" i="67"/>
  <c r="PS6" i="67"/>
  <c r="PR6" i="67"/>
  <c r="PQ6" i="67"/>
  <c r="PP6" i="67"/>
  <c r="PO6" i="67"/>
  <c r="PN6" i="67"/>
  <c r="PM6" i="67"/>
  <c r="PL6" i="67"/>
  <c r="PK6" i="67"/>
  <c r="PJ6" i="67"/>
  <c r="PI6" i="67"/>
  <c r="PH6" i="67"/>
  <c r="PG6" i="67"/>
  <c r="PF6" i="67"/>
  <c r="PE6" i="67"/>
  <c r="PD6" i="67"/>
  <c r="PC6" i="67"/>
  <c r="PB6" i="67"/>
  <c r="PA6" i="67"/>
  <c r="OZ6" i="67"/>
  <c r="OY6" i="67"/>
  <c r="OX6" i="67"/>
  <c r="OW6" i="67"/>
  <c r="OV6" i="67"/>
  <c r="OU6" i="67"/>
  <c r="OT6" i="67"/>
  <c r="OS6" i="67"/>
  <c r="OR6" i="67"/>
  <c r="OQ6" i="67"/>
  <c r="OP6" i="67"/>
  <c r="OO6" i="67"/>
  <c r="ON6" i="67"/>
  <c r="OM6" i="67"/>
  <c r="OL6" i="67"/>
  <c r="OK6" i="67"/>
  <c r="OJ6" i="67"/>
  <c r="OI6" i="67"/>
  <c r="OH6" i="67"/>
  <c r="OG6" i="67"/>
  <c r="OF6" i="67"/>
  <c r="OE6" i="67"/>
  <c r="OD6" i="67"/>
  <c r="OC6" i="67"/>
  <c r="OB6" i="67"/>
  <c r="OA6" i="67"/>
  <c r="NZ6" i="67"/>
  <c r="NY6" i="67"/>
  <c r="NX6" i="67"/>
  <c r="NW6" i="67"/>
  <c r="NV6" i="67"/>
  <c r="NU6" i="67"/>
  <c r="NT6" i="67"/>
  <c r="NS6" i="67"/>
  <c r="NR6" i="67"/>
  <c r="NQ6" i="67"/>
  <c r="NP6" i="67"/>
  <c r="NO6" i="67"/>
  <c r="NN6" i="67"/>
  <c r="NM6" i="67"/>
  <c r="NL6" i="67"/>
  <c r="NK6" i="67"/>
  <c r="NJ6" i="67"/>
  <c r="NI6" i="67"/>
  <c r="NH6" i="67"/>
  <c r="NG6" i="67"/>
  <c r="NF6" i="67"/>
  <c r="NE6" i="67"/>
  <c r="ND6" i="67"/>
  <c r="NC6" i="67"/>
  <c r="NB6" i="67"/>
  <c r="NA6" i="67"/>
  <c r="MZ6" i="67"/>
  <c r="MY6" i="67"/>
  <c r="MX6" i="67"/>
  <c r="MW6" i="67"/>
  <c r="MV6" i="67"/>
  <c r="MU6" i="67"/>
  <c r="MT6" i="67"/>
  <c r="MS6" i="67"/>
  <c r="MR6" i="67"/>
  <c r="MQ6" i="67"/>
  <c r="MP6" i="67"/>
  <c r="MO6" i="67"/>
  <c r="MN6" i="67"/>
  <c r="MM6" i="67"/>
  <c r="ML6" i="67"/>
  <c r="MK6" i="67"/>
  <c r="MJ6" i="67"/>
  <c r="MI6" i="67"/>
  <c r="MH6" i="67"/>
  <c r="MG6" i="67"/>
  <c r="MF6" i="67"/>
  <c r="ME6" i="67"/>
  <c r="MD6" i="67"/>
  <c r="MC6" i="67"/>
  <c r="MB6" i="67"/>
  <c r="MA6" i="67"/>
  <c r="LZ6" i="67"/>
  <c r="LY6" i="67"/>
  <c r="LX6" i="67"/>
  <c r="LW6" i="67"/>
  <c r="LV6" i="67"/>
  <c r="LU6" i="67"/>
  <c r="LT6" i="67"/>
  <c r="LS6" i="67"/>
  <c r="LR6" i="67"/>
  <c r="LQ6" i="67"/>
  <c r="LP6" i="67"/>
  <c r="LO6" i="67"/>
  <c r="LN6" i="67"/>
  <c r="LM6" i="67"/>
  <c r="LL6" i="67"/>
  <c r="LK6" i="67"/>
  <c r="LJ6" i="67"/>
  <c r="LI6" i="67"/>
  <c r="LH6" i="67"/>
  <c r="LG6" i="67"/>
  <c r="LF6" i="67"/>
  <c r="LE6" i="67"/>
  <c r="LD6" i="67"/>
  <c r="LC6" i="67"/>
  <c r="LB6" i="67"/>
  <c r="LA6" i="67"/>
  <c r="KZ6" i="67"/>
  <c r="KY6" i="67"/>
  <c r="KX6" i="67"/>
  <c r="KW6" i="67"/>
  <c r="KV6" i="67"/>
  <c r="KU6" i="67"/>
  <c r="KT6" i="67"/>
  <c r="KS6" i="67"/>
  <c r="KR6" i="67"/>
  <c r="KQ6" i="67"/>
  <c r="KP6" i="67"/>
  <c r="KO6" i="67"/>
  <c r="KN6" i="67"/>
  <c r="KM6" i="67"/>
  <c r="KL6" i="67"/>
  <c r="KK6" i="67"/>
  <c r="KJ6" i="67"/>
  <c r="KI6" i="67"/>
  <c r="KH6" i="67"/>
  <c r="KG6" i="67"/>
  <c r="KF6" i="67"/>
  <c r="KE6" i="67"/>
  <c r="KD6" i="67"/>
  <c r="KC6" i="67"/>
  <c r="KB6" i="67"/>
  <c r="KA6" i="67"/>
  <c r="JZ6" i="67"/>
  <c r="JY6" i="67"/>
  <c r="JX6" i="67"/>
  <c r="JW6" i="67"/>
  <c r="JV6" i="67"/>
  <c r="JU6" i="67"/>
  <c r="JT6" i="67"/>
  <c r="JS6" i="67"/>
  <c r="JR6" i="67"/>
  <c r="JQ6" i="67"/>
  <c r="JP6" i="67"/>
  <c r="JO6" i="67"/>
  <c r="JN6" i="67"/>
  <c r="JM6" i="67"/>
  <c r="JL6" i="67"/>
  <c r="JK6" i="67"/>
  <c r="JJ6" i="67"/>
  <c r="JI6" i="67"/>
  <c r="JH6" i="67"/>
  <c r="JG6" i="67"/>
  <c r="JF6" i="67"/>
  <c r="JE6" i="67"/>
  <c r="JD6" i="67"/>
  <c r="JC6" i="67"/>
  <c r="JB6" i="67"/>
  <c r="JA6" i="67"/>
  <c r="IZ6" i="67"/>
  <c r="IY6" i="67"/>
  <c r="IX6" i="67"/>
  <c r="IW6" i="67"/>
  <c r="IV6" i="67"/>
  <c r="IU6" i="67"/>
  <c r="IT6" i="67"/>
  <c r="IS6" i="67"/>
  <c r="IR6" i="67"/>
  <c r="IQ6" i="67"/>
  <c r="IP6" i="67"/>
  <c r="IO6" i="67"/>
  <c r="IN6" i="67"/>
  <c r="IM6" i="67"/>
  <c r="IL6" i="67"/>
  <c r="IK6" i="67"/>
  <c r="IJ6" i="67"/>
  <c r="II6" i="67"/>
  <c r="IH6" i="67"/>
  <c r="IG6" i="67"/>
  <c r="IF6" i="67"/>
  <c r="IE6" i="67"/>
  <c r="ID6" i="67"/>
  <c r="IC6" i="67"/>
  <c r="IB6" i="67"/>
  <c r="IA6" i="67"/>
  <c r="HZ6" i="67"/>
  <c r="HY6" i="67"/>
  <c r="HX6" i="67"/>
  <c r="HW6" i="67"/>
  <c r="HV6" i="67"/>
  <c r="HU6" i="67"/>
  <c r="HT6" i="67"/>
  <c r="HS6" i="67"/>
  <c r="HR6" i="67"/>
  <c r="HQ6" i="67"/>
  <c r="HP6" i="67"/>
  <c r="HO6" i="67"/>
  <c r="HN6" i="67"/>
  <c r="HM6" i="67"/>
  <c r="HL6" i="67"/>
  <c r="HK6" i="67"/>
  <c r="HJ6" i="67"/>
  <c r="HI6" i="67"/>
  <c r="HH6" i="67"/>
  <c r="HG6" i="67"/>
  <c r="HF6" i="67"/>
  <c r="HE6" i="67"/>
  <c r="HD6" i="67"/>
  <c r="HC6" i="67"/>
  <c r="HB6" i="67"/>
  <c r="HA6" i="67"/>
  <c r="GZ6" i="67"/>
  <c r="GY6" i="67"/>
  <c r="GX6" i="67"/>
  <c r="GW6" i="67"/>
  <c r="GV6" i="67"/>
  <c r="GU6" i="67"/>
  <c r="GT6" i="67"/>
  <c r="GS6" i="67"/>
  <c r="GR6" i="67"/>
  <c r="GQ6" i="67"/>
  <c r="GP6" i="67"/>
  <c r="GO6" i="67"/>
  <c r="GN6" i="67"/>
  <c r="GM6" i="67"/>
  <c r="GL6" i="67"/>
  <c r="GK6" i="67"/>
  <c r="GJ6" i="67"/>
  <c r="GI6" i="67"/>
  <c r="GH6" i="67"/>
  <c r="GG6" i="67"/>
  <c r="GF6" i="67"/>
  <c r="GE6" i="67"/>
  <c r="GD6" i="67"/>
  <c r="GC6" i="67"/>
  <c r="GB6" i="67"/>
  <c r="GA6" i="67"/>
  <c r="FZ6" i="67"/>
  <c r="FY6" i="67"/>
  <c r="FX6" i="67"/>
  <c r="FW6" i="67"/>
  <c r="FV6" i="67"/>
  <c r="FU6" i="67"/>
  <c r="FT6" i="67"/>
  <c r="FS6" i="67"/>
  <c r="FR6" i="67"/>
  <c r="FQ6" i="67"/>
  <c r="FP6" i="67"/>
  <c r="FO6" i="67"/>
  <c r="FN6" i="67"/>
  <c r="FM6" i="67"/>
  <c r="FL6" i="67"/>
  <c r="FK6" i="67"/>
  <c r="FJ6" i="67"/>
  <c r="FI6" i="67"/>
  <c r="FH6" i="67"/>
  <c r="FG6" i="67"/>
  <c r="FF6" i="67"/>
  <c r="FE6" i="67"/>
  <c r="FD6" i="67"/>
  <c r="FC6" i="67"/>
  <c r="FB6" i="67"/>
  <c r="FA6" i="67"/>
  <c r="EZ6" i="67"/>
  <c r="EY6" i="67"/>
  <c r="EX6" i="67"/>
  <c r="EW6" i="67"/>
  <c r="EV6" i="67"/>
  <c r="EU6" i="67"/>
  <c r="ET6" i="67"/>
  <c r="ES6" i="67"/>
  <c r="ER6" i="67"/>
  <c r="EQ6" i="67"/>
  <c r="EP6" i="67"/>
  <c r="EO6" i="67"/>
  <c r="EN6" i="67"/>
  <c r="EM6" i="67"/>
  <c r="EL6" i="67"/>
  <c r="EK6" i="67"/>
  <c r="EJ6" i="67"/>
  <c r="EI6" i="67"/>
  <c r="EH6" i="67"/>
  <c r="EG6" i="67"/>
  <c r="EF6" i="67"/>
  <c r="EE6" i="67"/>
  <c r="ED6" i="67"/>
  <c r="EC6" i="67"/>
  <c r="EB6" i="67"/>
  <c r="EA6" i="67"/>
  <c r="DZ6" i="67"/>
  <c r="DY6" i="67"/>
  <c r="DX6" i="67"/>
  <c r="DW6" i="67"/>
  <c r="DV6" i="67"/>
  <c r="DU6" i="67"/>
  <c r="DT6" i="67"/>
  <c r="DS6" i="67"/>
  <c r="DR6" i="67"/>
  <c r="DQ6" i="67"/>
  <c r="DP6" i="67"/>
  <c r="DO6" i="67"/>
  <c r="DN6" i="67"/>
  <c r="DM6" i="67"/>
  <c r="DL6" i="67"/>
  <c r="DK6" i="67"/>
  <c r="DJ6" i="67"/>
  <c r="DI6" i="67"/>
  <c r="DH6" i="67"/>
  <c r="DG6" i="67"/>
  <c r="DF6" i="67"/>
  <c r="DE6" i="67"/>
  <c r="DD6" i="67"/>
  <c r="DC6" i="67"/>
  <c r="DB6" i="67"/>
  <c r="DA6" i="67"/>
  <c r="CZ6" i="67"/>
  <c r="CY6" i="67"/>
  <c r="CX6" i="67"/>
  <c r="CW6" i="67"/>
  <c r="CV6" i="67"/>
  <c r="CU6" i="67"/>
  <c r="CT6" i="67"/>
  <c r="CS6" i="67"/>
  <c r="CR6" i="67"/>
  <c r="CQ6" i="67"/>
  <c r="CP6" i="67"/>
  <c r="CO6" i="67"/>
  <c r="CN6" i="67"/>
  <c r="CM6" i="67"/>
  <c r="CL6" i="67"/>
  <c r="CK6" i="67"/>
  <c r="CJ6" i="67"/>
  <c r="CI6" i="67"/>
  <c r="CH6" i="67"/>
  <c r="CG6" i="67"/>
  <c r="CF6" i="67"/>
  <c r="CE6" i="67"/>
  <c r="CD6" i="67"/>
  <c r="CC6" i="67"/>
  <c r="CB6" i="67"/>
  <c r="CA6" i="67"/>
  <c r="BZ6" i="67"/>
  <c r="BY6" i="67"/>
  <c r="BX6" i="67"/>
  <c r="BW6" i="67"/>
  <c r="BV6" i="67"/>
  <c r="BU6" i="67"/>
  <c r="BT6" i="67"/>
  <c r="BS6" i="67"/>
  <c r="BR6" i="67"/>
  <c r="BQ6" i="67"/>
  <c r="BP6" i="67"/>
  <c r="BO6" i="67"/>
  <c r="BN6" i="67"/>
  <c r="BM6" i="67"/>
  <c r="BL6" i="67"/>
  <c r="BK6" i="67"/>
  <c r="BJ6" i="67"/>
  <c r="BI6" i="67"/>
  <c r="BH6" i="67"/>
  <c r="BG6" i="67"/>
  <c r="BF6" i="67"/>
  <c r="BE6" i="67"/>
  <c r="BD6" i="67"/>
  <c r="BC6" i="67"/>
  <c r="BB6" i="67"/>
  <c r="BA6" i="67"/>
  <c r="AZ6" i="67"/>
  <c r="AY6" i="67"/>
  <c r="AX6" i="67"/>
  <c r="AW6" i="67"/>
  <c r="AV6" i="67"/>
  <c r="AU6" i="67"/>
  <c r="AT6" i="67"/>
  <c r="AS6" i="67"/>
  <c r="AR6" i="67"/>
  <c r="AQ6" i="67"/>
  <c r="AP6" i="67"/>
  <c r="AO6" i="67"/>
  <c r="AN6" i="67"/>
  <c r="AM6" i="67"/>
  <c r="AL6" i="67"/>
  <c r="AK6" i="67"/>
  <c r="AJ6" i="67"/>
  <c r="AI6" i="67"/>
  <c r="AH6" i="67"/>
  <c r="AG6" i="67"/>
  <c r="AF6" i="67"/>
  <c r="AE6" i="67"/>
  <c r="AD6" i="67"/>
  <c r="AC6" i="67"/>
  <c r="AB6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D6" i="67"/>
  <c r="C6" i="67"/>
  <c r="B6" i="67"/>
  <c r="A6" i="67"/>
  <c r="B270" i="90"/>
  <c r="E10" i="98"/>
  <c r="E17" i="98" s="1"/>
  <c r="F10" i="98"/>
  <c r="F17" i="98" s="1"/>
  <c r="H10" i="98"/>
  <c r="H17" i="98" s="1"/>
  <c r="G10" i="98"/>
  <c r="G17" i="98" s="1"/>
  <c r="F12" i="94"/>
  <c r="E72" i="90"/>
  <c r="E91" i="90"/>
  <c r="E97" i="90"/>
  <c r="E101" i="90"/>
  <c r="E144" i="90"/>
  <c r="E184" i="90"/>
  <c r="E225" i="90"/>
  <c r="E235" i="90"/>
  <c r="E241" i="90"/>
  <c r="E250" i="90"/>
  <c r="E259" i="90"/>
  <c r="K94" i="92"/>
  <c r="K12" i="92" s="1"/>
  <c r="L94" i="92"/>
  <c r="L12" i="92" s="1"/>
  <c r="L13" i="92" s="1"/>
  <c r="M94" i="92"/>
  <c r="M12" i="92" s="1"/>
  <c r="M13" i="92" s="1"/>
  <c r="N7" i="126" s="1"/>
  <c r="E68" i="92"/>
  <c r="E97" i="92"/>
  <c r="E103" i="92"/>
  <c r="E107" i="92"/>
  <c r="E123" i="92"/>
  <c r="E137" i="92"/>
  <c r="E153" i="92"/>
  <c r="E161" i="92"/>
  <c r="E167" i="92"/>
  <c r="E176" i="92"/>
  <c r="E184" i="92"/>
  <c r="B3" i="92"/>
  <c r="B195" i="92"/>
  <c r="B192" i="92"/>
  <c r="B191" i="92"/>
  <c r="B190" i="92"/>
  <c r="N186" i="92"/>
  <c r="N196" i="92" s="1"/>
  <c r="M186" i="92"/>
  <c r="M196" i="92" s="1"/>
  <c r="L186" i="92"/>
  <c r="L196" i="92" s="1"/>
  <c r="K186" i="92"/>
  <c r="K196" i="92" s="1"/>
  <c r="N184" i="92"/>
  <c r="M184" i="92"/>
  <c r="L184" i="92"/>
  <c r="K184" i="92"/>
  <c r="J184" i="92"/>
  <c r="I184" i="92"/>
  <c r="H184" i="92"/>
  <c r="G184" i="92"/>
  <c r="F184" i="92"/>
  <c r="D184" i="92"/>
  <c r="C184" i="92"/>
  <c r="N181" i="92"/>
  <c r="M181" i="92"/>
  <c r="L181" i="92"/>
  <c r="K181" i="92"/>
  <c r="K46" i="92" s="1"/>
  <c r="N176" i="92"/>
  <c r="M176" i="92"/>
  <c r="L176" i="92"/>
  <c r="K176" i="92"/>
  <c r="J176" i="92"/>
  <c r="I176" i="92"/>
  <c r="H176" i="92"/>
  <c r="G176" i="92"/>
  <c r="F176" i="92"/>
  <c r="D176" i="92"/>
  <c r="C176" i="92"/>
  <c r="N173" i="92"/>
  <c r="N193" i="92" s="1"/>
  <c r="M173" i="92"/>
  <c r="L173" i="92"/>
  <c r="L193" i="92" s="1"/>
  <c r="K173" i="92"/>
  <c r="K193" i="92" s="1"/>
  <c r="N167" i="92"/>
  <c r="M167" i="92"/>
  <c r="L167" i="92"/>
  <c r="K167" i="92"/>
  <c r="J167" i="92"/>
  <c r="I167" i="92"/>
  <c r="H167" i="92"/>
  <c r="G167" i="92"/>
  <c r="F167" i="92"/>
  <c r="D167" i="92"/>
  <c r="C167" i="92"/>
  <c r="N165" i="92"/>
  <c r="N192" i="92" s="1"/>
  <c r="M165" i="92"/>
  <c r="M192" i="92" s="1"/>
  <c r="L165" i="92"/>
  <c r="L192" i="92" s="1"/>
  <c r="K165" i="92"/>
  <c r="K192" i="92" s="1"/>
  <c r="N161" i="92"/>
  <c r="M161" i="92"/>
  <c r="L161" i="92"/>
  <c r="K161" i="92"/>
  <c r="J161" i="92"/>
  <c r="I161" i="92"/>
  <c r="H161" i="92"/>
  <c r="G161" i="92"/>
  <c r="F161" i="92"/>
  <c r="D161" i="92"/>
  <c r="C161" i="92"/>
  <c r="N159" i="92"/>
  <c r="M159" i="92"/>
  <c r="L159" i="92"/>
  <c r="L26" i="92" s="1"/>
  <c r="L27" i="92" s="1"/>
  <c r="K159" i="92"/>
  <c r="K26" i="92" s="1"/>
  <c r="K27" i="92" s="1"/>
  <c r="K31" i="92" s="1"/>
  <c r="N153" i="92"/>
  <c r="M153" i="92"/>
  <c r="L153" i="92"/>
  <c r="K153" i="92"/>
  <c r="J153" i="92"/>
  <c r="I153" i="92"/>
  <c r="H153" i="92"/>
  <c r="G153" i="92"/>
  <c r="F153" i="92"/>
  <c r="D153" i="92"/>
  <c r="C153" i="92"/>
  <c r="N141" i="92"/>
  <c r="M141" i="92"/>
  <c r="L141" i="92"/>
  <c r="K141" i="92"/>
  <c r="N138" i="92"/>
  <c r="N18" i="92" s="1"/>
  <c r="M138" i="92"/>
  <c r="M18" i="92" s="1"/>
  <c r="L138" i="92"/>
  <c r="L18" i="92" s="1"/>
  <c r="K138" i="92"/>
  <c r="K18" i="92" s="1"/>
  <c r="N137" i="92"/>
  <c r="M137" i="92"/>
  <c r="L137" i="92"/>
  <c r="K137" i="92"/>
  <c r="J137" i="92"/>
  <c r="I137" i="92"/>
  <c r="H137" i="92"/>
  <c r="G137" i="92"/>
  <c r="F137" i="92"/>
  <c r="D137" i="92"/>
  <c r="C137" i="92"/>
  <c r="N123" i="92"/>
  <c r="M123" i="92"/>
  <c r="L123" i="92"/>
  <c r="K123" i="92"/>
  <c r="J123" i="92"/>
  <c r="I123" i="92"/>
  <c r="H123" i="92"/>
  <c r="G123" i="92"/>
  <c r="F123" i="92"/>
  <c r="D123" i="92"/>
  <c r="C123" i="92"/>
  <c r="N116" i="92"/>
  <c r="N119" i="92" s="1"/>
  <c r="N121" i="92" s="1"/>
  <c r="N188" i="92" s="1"/>
  <c r="M116" i="92"/>
  <c r="M119" i="92" s="1"/>
  <c r="M121" i="92" s="1"/>
  <c r="M188" i="92" s="1"/>
  <c r="L116" i="92"/>
  <c r="L119" i="92" s="1"/>
  <c r="L121" i="92" s="1"/>
  <c r="L188" i="92" s="1"/>
  <c r="K116" i="92"/>
  <c r="K119" i="92" s="1"/>
  <c r="K121" i="92" s="1"/>
  <c r="K188" i="92" s="1"/>
  <c r="N107" i="92"/>
  <c r="M107" i="92"/>
  <c r="L107" i="92"/>
  <c r="K107" i="92"/>
  <c r="J107" i="92"/>
  <c r="I107" i="92"/>
  <c r="H107" i="92"/>
  <c r="G107" i="92"/>
  <c r="F107" i="92"/>
  <c r="D107" i="92"/>
  <c r="C107" i="92"/>
  <c r="N103" i="92"/>
  <c r="M103" i="92"/>
  <c r="L103" i="92"/>
  <c r="K103" i="92"/>
  <c r="J103" i="92"/>
  <c r="I103" i="92"/>
  <c r="H103" i="92"/>
  <c r="G103" i="92"/>
  <c r="F103" i="92"/>
  <c r="D103" i="92"/>
  <c r="C103" i="92"/>
  <c r="N101" i="92"/>
  <c r="M101" i="92"/>
  <c r="L101" i="92"/>
  <c r="K101" i="92"/>
  <c r="N97" i="92"/>
  <c r="M97" i="92"/>
  <c r="L97" i="92"/>
  <c r="K97" i="92"/>
  <c r="J97" i="92"/>
  <c r="I97" i="92"/>
  <c r="H97" i="92"/>
  <c r="G97" i="92"/>
  <c r="F97" i="92"/>
  <c r="D97" i="92"/>
  <c r="C97" i="92"/>
  <c r="N68" i="92"/>
  <c r="M68" i="92"/>
  <c r="L68" i="92"/>
  <c r="K68" i="92"/>
  <c r="J68" i="92"/>
  <c r="I68" i="92"/>
  <c r="H68" i="92"/>
  <c r="G68" i="92"/>
  <c r="F68" i="92"/>
  <c r="D68" i="92"/>
  <c r="C68" i="92"/>
  <c r="K233" i="90"/>
  <c r="L233" i="90"/>
  <c r="M233" i="90"/>
  <c r="N233" i="90"/>
  <c r="B267" i="90"/>
  <c r="B266" i="90"/>
  <c r="B265" i="90"/>
  <c r="N261" i="90"/>
  <c r="N271" i="90" s="1"/>
  <c r="M261" i="90"/>
  <c r="M271" i="90" s="1"/>
  <c r="L261" i="90"/>
  <c r="L271" i="90" s="1"/>
  <c r="K261" i="90"/>
  <c r="K271" i="90" s="1"/>
  <c r="N259" i="90"/>
  <c r="M259" i="90"/>
  <c r="L259" i="90"/>
  <c r="K259" i="90"/>
  <c r="J259" i="90"/>
  <c r="I259" i="90"/>
  <c r="H259" i="90"/>
  <c r="G259" i="90"/>
  <c r="F259" i="90"/>
  <c r="D259" i="90"/>
  <c r="C259" i="90"/>
  <c r="N270" i="90"/>
  <c r="M256" i="90"/>
  <c r="M270" i="90" s="1"/>
  <c r="L270" i="90"/>
  <c r="K256" i="90"/>
  <c r="K270" i="90" s="1"/>
  <c r="N250" i="90"/>
  <c r="M250" i="90"/>
  <c r="L250" i="90"/>
  <c r="K250" i="90"/>
  <c r="J250" i="90"/>
  <c r="I250" i="90"/>
  <c r="H250" i="90"/>
  <c r="G250" i="90"/>
  <c r="F250" i="90"/>
  <c r="D250" i="90"/>
  <c r="C250" i="90"/>
  <c r="N247" i="90"/>
  <c r="M247" i="90"/>
  <c r="L247" i="90"/>
  <c r="K247" i="90"/>
  <c r="K44" i="90" s="1"/>
  <c r="L43" i="126" s="1"/>
  <c r="N241" i="90"/>
  <c r="M241" i="90"/>
  <c r="L241" i="90"/>
  <c r="K241" i="90"/>
  <c r="J241" i="90"/>
  <c r="I241" i="90"/>
  <c r="H241" i="90"/>
  <c r="G241" i="90"/>
  <c r="F241" i="90"/>
  <c r="D241" i="90"/>
  <c r="C241" i="90"/>
  <c r="N239" i="90"/>
  <c r="M239" i="90"/>
  <c r="L239" i="90"/>
  <c r="K239" i="90"/>
  <c r="N235" i="90"/>
  <c r="M235" i="90"/>
  <c r="L235" i="90"/>
  <c r="K235" i="90"/>
  <c r="J235" i="90"/>
  <c r="I235" i="90"/>
  <c r="H235" i="90"/>
  <c r="G235" i="90"/>
  <c r="F235" i="90"/>
  <c r="D235" i="90"/>
  <c r="C235" i="90"/>
  <c r="N225" i="90"/>
  <c r="M225" i="90"/>
  <c r="L225" i="90"/>
  <c r="K225" i="90"/>
  <c r="J225" i="90"/>
  <c r="I225" i="90"/>
  <c r="H225" i="90"/>
  <c r="G225" i="90"/>
  <c r="F225" i="90"/>
  <c r="D225" i="90"/>
  <c r="C225" i="90"/>
  <c r="L223" i="90"/>
  <c r="K223" i="90"/>
  <c r="N184" i="90"/>
  <c r="M184" i="90"/>
  <c r="L184" i="90"/>
  <c r="K184" i="90"/>
  <c r="J184" i="90"/>
  <c r="I184" i="90"/>
  <c r="H184" i="90"/>
  <c r="G184" i="90"/>
  <c r="F184" i="90"/>
  <c r="D184" i="90"/>
  <c r="C184" i="90"/>
  <c r="N264" i="90"/>
  <c r="M264" i="90"/>
  <c r="L264" i="90"/>
  <c r="K182" i="90"/>
  <c r="N144" i="90"/>
  <c r="M144" i="90"/>
  <c r="L144" i="90"/>
  <c r="K144" i="90"/>
  <c r="J144" i="90"/>
  <c r="I144" i="90"/>
  <c r="G144" i="90"/>
  <c r="F144" i="90"/>
  <c r="D144" i="90"/>
  <c r="C144" i="90"/>
  <c r="N101" i="90"/>
  <c r="M101" i="90"/>
  <c r="L101" i="90"/>
  <c r="K101" i="90"/>
  <c r="J101" i="90"/>
  <c r="I101" i="90"/>
  <c r="H101" i="90"/>
  <c r="G101" i="90"/>
  <c r="F101" i="90"/>
  <c r="D101" i="90"/>
  <c r="C101" i="90"/>
  <c r="N97" i="90"/>
  <c r="M97" i="90"/>
  <c r="L97" i="90"/>
  <c r="K97" i="90"/>
  <c r="J97" i="90"/>
  <c r="I97" i="90"/>
  <c r="H97" i="90"/>
  <c r="G97" i="90"/>
  <c r="F97" i="90"/>
  <c r="D97" i="90"/>
  <c r="C97" i="90"/>
  <c r="N95" i="90"/>
  <c r="N35" i="90" s="1"/>
  <c r="O29" i="126" s="1"/>
  <c r="M95" i="90"/>
  <c r="L95" i="90"/>
  <c r="K95" i="90"/>
  <c r="K35" i="90" s="1"/>
  <c r="L29" i="104" s="1"/>
  <c r="N91" i="90"/>
  <c r="M91" i="90"/>
  <c r="L91" i="90"/>
  <c r="K91" i="90"/>
  <c r="J91" i="90"/>
  <c r="I91" i="90"/>
  <c r="H91" i="90"/>
  <c r="G91" i="90"/>
  <c r="F91" i="90"/>
  <c r="D91" i="90"/>
  <c r="C91" i="90"/>
  <c r="N72" i="90"/>
  <c r="M72" i="90"/>
  <c r="L72" i="90"/>
  <c r="K72" i="90"/>
  <c r="J72" i="90"/>
  <c r="I72" i="90"/>
  <c r="H72" i="90"/>
  <c r="G72" i="90"/>
  <c r="F72" i="90"/>
  <c r="D72" i="90"/>
  <c r="C72" i="90"/>
  <c r="C401" i="88"/>
  <c r="D99" i="88"/>
  <c r="D90" i="88"/>
  <c r="D87" i="88"/>
  <c r="D85" i="88"/>
  <c r="D83" i="88"/>
  <c r="D82" i="88"/>
  <c r="D81" i="88"/>
  <c r="D77" i="88"/>
  <c r="D75" i="88"/>
  <c r="E44" i="11"/>
  <c r="E320" i="11"/>
  <c r="E27" i="11" s="1"/>
  <c r="E314" i="11"/>
  <c r="E26" i="11" s="1"/>
  <c r="E306" i="11"/>
  <c r="E24" i="11" s="1"/>
  <c r="E280" i="11"/>
  <c r="E23" i="11" s="1"/>
  <c r="E266" i="11"/>
  <c r="E21" i="11" s="1"/>
  <c r="E172" i="11"/>
  <c r="E199" i="11" s="1"/>
  <c r="E19" i="11" s="1"/>
  <c r="E241" i="11"/>
  <c r="E235" i="11"/>
  <c r="E95" i="11"/>
  <c r="E99" i="11" s="1"/>
  <c r="E15" i="11" s="1"/>
  <c r="E334" i="11"/>
  <c r="E333" i="11"/>
  <c r="C271" i="11"/>
  <c r="C280" i="11" s="1"/>
  <c r="C23" i="11" s="1"/>
  <c r="E87" i="11"/>
  <c r="E81" i="11"/>
  <c r="E10" i="11" s="1"/>
  <c r="E326" i="11"/>
  <c r="E327" i="11" s="1"/>
  <c r="E28" i="11" s="1"/>
  <c r="E111" i="11"/>
  <c r="E165" i="11" s="1"/>
  <c r="E167" i="11" s="1"/>
  <c r="E43" i="11"/>
  <c r="D50" i="11"/>
  <c r="D85" i="11"/>
  <c r="D87" i="11" s="1"/>
  <c r="D52" i="11"/>
  <c r="D56" i="11"/>
  <c r="D57" i="11"/>
  <c r="D58" i="11"/>
  <c r="D59" i="11"/>
  <c r="D66" i="11"/>
  <c r="D73" i="11"/>
  <c r="D76" i="11"/>
  <c r="F16" i="86"/>
  <c r="F13" i="87"/>
  <c r="F15" i="87" s="1"/>
  <c r="H17" i="87"/>
  <c r="G13" i="87"/>
  <c r="G15" i="87" s="1"/>
  <c r="H12" i="87"/>
  <c r="H11" i="87"/>
  <c r="H10" i="87"/>
  <c r="I9" i="87"/>
  <c r="I7" i="87"/>
  <c r="H4" i="87"/>
  <c r="I26" i="86"/>
  <c r="H21" i="86"/>
  <c r="H20" i="86"/>
  <c r="G16" i="86"/>
  <c r="H15" i="86"/>
  <c r="H14" i="86"/>
  <c r="H12" i="86"/>
  <c r="H11" i="86"/>
  <c r="H10" i="86"/>
  <c r="H9" i="86"/>
  <c r="H8" i="86"/>
  <c r="H7" i="86"/>
  <c r="H6" i="86"/>
  <c r="G4" i="86"/>
  <c r="F4" i="86"/>
  <c r="H3" i="86"/>
  <c r="H2" i="86"/>
  <c r="D166" i="11"/>
  <c r="D283" i="11"/>
  <c r="D236" i="11"/>
  <c r="D288" i="11"/>
  <c r="D320" i="11"/>
  <c r="D27" i="11" s="1"/>
  <c r="D314" i="11"/>
  <c r="D26" i="11" s="1"/>
  <c r="D266" i="11"/>
  <c r="D21" i="11" s="1"/>
  <c r="D334" i="11"/>
  <c r="D333" i="11"/>
  <c r="D285" i="11"/>
  <c r="D326" i="11"/>
  <c r="D327" i="11" s="1"/>
  <c r="D28" i="11" s="1"/>
  <c r="D305" i="11"/>
  <c r="D204" i="11"/>
  <c r="D273" i="11"/>
  <c r="D280" i="11" s="1"/>
  <c r="D23" i="11" s="1"/>
  <c r="D173" i="11"/>
  <c r="D192" i="11"/>
  <c r="D111" i="11"/>
  <c r="D165" i="11" s="1"/>
  <c r="D293" i="11"/>
  <c r="D235" i="11"/>
  <c r="D243" i="11"/>
  <c r="D289" i="11"/>
  <c r="D295" i="11"/>
  <c r="D297" i="11"/>
  <c r="D284" i="11"/>
  <c r="D332" i="11"/>
  <c r="E11" i="11"/>
  <c r="D290" i="11"/>
  <c r="D292" i="11"/>
  <c r="D99" i="11"/>
  <c r="D15" i="11" s="1"/>
  <c r="C87" i="11"/>
  <c r="C11" i="94"/>
  <c r="D43" i="11"/>
  <c r="D9" i="11" s="1"/>
  <c r="C327" i="11"/>
  <c r="C28" i="11" s="1"/>
  <c r="C334" i="11"/>
  <c r="C99" i="11"/>
  <c r="C15" i="11" s="1"/>
  <c r="C81" i="11"/>
  <c r="C10" i="11" s="1"/>
  <c r="C336" i="11"/>
  <c r="C314" i="11"/>
  <c r="C26" i="11" s="1"/>
  <c r="C320" i="11"/>
  <c r="C27" i="11" s="1"/>
  <c r="C241" i="11"/>
  <c r="C186" i="11"/>
  <c r="C197" i="11"/>
  <c r="C162" i="11"/>
  <c r="C256" i="11"/>
  <c r="C204" i="11"/>
  <c r="C148" i="11"/>
  <c r="C283" i="11"/>
  <c r="C306" i="11" s="1"/>
  <c r="C24" i="11" s="1"/>
  <c r="C332" i="11"/>
  <c r="C266" i="11"/>
  <c r="C21" i="11" s="1"/>
  <c r="C11" i="11"/>
  <c r="C9" i="11"/>
  <c r="K23" i="83"/>
  <c r="G101" i="50"/>
  <c r="J103" i="50"/>
  <c r="F10" i="50"/>
  <c r="E10" i="50"/>
  <c r="G10" i="50"/>
  <c r="H10" i="50"/>
  <c r="C20" i="78"/>
  <c r="B20" i="78"/>
  <c r="I84" i="50"/>
  <c r="I83" i="50"/>
  <c r="I90" i="50"/>
  <c r="I92" i="50"/>
  <c r="W96" i="50"/>
  <c r="W95" i="50"/>
  <c r="W94" i="50"/>
  <c r="W93" i="50"/>
  <c r="W91" i="50"/>
  <c r="V87" i="50"/>
  <c r="V86" i="50"/>
  <c r="V85" i="50"/>
  <c r="V80" i="50"/>
  <c r="U73" i="50"/>
  <c r="W72" i="50"/>
  <c r="T63" i="50"/>
  <c r="V61" i="50"/>
  <c r="T62" i="50"/>
  <c r="V82" i="50"/>
  <c r="V81" i="50"/>
  <c r="I96" i="50"/>
  <c r="I94" i="50"/>
  <c r="I93" i="50"/>
  <c r="H97" i="50"/>
  <c r="I95" i="50"/>
  <c r="I91" i="50"/>
  <c r="T68" i="50"/>
  <c r="T64" i="50"/>
  <c r="T65" i="50"/>
  <c r="T66" i="50"/>
  <c r="S60" i="50"/>
  <c r="T59" i="50"/>
  <c r="T58" i="50"/>
  <c r="U79" i="50"/>
  <c r="U74" i="50"/>
  <c r="U75" i="50"/>
  <c r="U76" i="50"/>
  <c r="U77" i="50"/>
  <c r="U78" i="50"/>
  <c r="U70" i="50"/>
  <c r="U71" i="50"/>
  <c r="U69" i="50"/>
  <c r="U67" i="50"/>
  <c r="H89" i="50"/>
  <c r="H88" i="50"/>
  <c r="I81" i="50"/>
  <c r="I80" i="50"/>
  <c r="I78" i="50"/>
  <c r="I77" i="50"/>
  <c r="I76" i="50"/>
  <c r="I75" i="50"/>
  <c r="I74" i="50"/>
  <c r="I72" i="50"/>
  <c r="I71" i="50"/>
  <c r="I70" i="50"/>
  <c r="I69" i="50"/>
  <c r="I68" i="50"/>
  <c r="I67" i="50"/>
  <c r="I66" i="50"/>
  <c r="I65" i="50"/>
  <c r="I64" i="50"/>
  <c r="I63" i="50"/>
  <c r="I62" i="50"/>
  <c r="I60" i="50"/>
  <c r="I59" i="50"/>
  <c r="I58" i="50"/>
  <c r="S57" i="50"/>
  <c r="I57" i="50"/>
  <c r="S56" i="50"/>
  <c r="I56" i="50"/>
  <c r="S55" i="50"/>
  <c r="I55" i="50"/>
  <c r="S54" i="50"/>
  <c r="F54" i="50"/>
  <c r="F101" i="50" s="1"/>
  <c r="R53" i="50"/>
  <c r="R52" i="50"/>
  <c r="I52" i="50"/>
  <c r="R51" i="50"/>
  <c r="I51" i="50"/>
  <c r="R50" i="50"/>
  <c r="I50" i="50"/>
  <c r="R49" i="50"/>
  <c r="I49" i="50"/>
  <c r="Q48" i="50"/>
  <c r="I48" i="50"/>
  <c r="Q47" i="50"/>
  <c r="I47" i="50"/>
  <c r="P46" i="50"/>
  <c r="I46" i="50"/>
  <c r="Q45" i="50"/>
  <c r="I45" i="50"/>
  <c r="P44" i="50"/>
  <c r="I44" i="50"/>
  <c r="P43" i="50"/>
  <c r="I43" i="50"/>
  <c r="P42" i="50"/>
  <c r="I42" i="50"/>
  <c r="Q41" i="50"/>
  <c r="I41" i="50"/>
  <c r="P40" i="50"/>
  <c r="I40" i="50"/>
  <c r="P39" i="50"/>
  <c r="I39" i="50"/>
  <c r="O38" i="50"/>
  <c r="I38" i="50"/>
  <c r="O37" i="50"/>
  <c r="I37" i="50"/>
  <c r="P36" i="50"/>
  <c r="I36" i="50"/>
  <c r="P35" i="50"/>
  <c r="I35" i="50"/>
  <c r="O34" i="50"/>
  <c r="I34" i="50"/>
  <c r="N33" i="50"/>
  <c r="I33" i="50"/>
  <c r="O32" i="50"/>
  <c r="I32" i="50"/>
  <c r="O31" i="50"/>
  <c r="I31" i="50"/>
  <c r="O30" i="50"/>
  <c r="I30" i="50"/>
  <c r="N29" i="50"/>
  <c r="I29" i="50"/>
  <c r="N28" i="50"/>
  <c r="I28" i="50"/>
  <c r="N27" i="50"/>
  <c r="I27" i="50"/>
  <c r="N26" i="50"/>
  <c r="I26" i="50"/>
  <c r="N25" i="50"/>
  <c r="I25" i="50"/>
  <c r="N24" i="50"/>
  <c r="I24" i="50"/>
  <c r="N23" i="50"/>
  <c r="I23" i="50"/>
  <c r="N22" i="50"/>
  <c r="I22" i="50"/>
  <c r="N21" i="50"/>
  <c r="I21" i="50"/>
  <c r="M20" i="50"/>
  <c r="I20" i="50"/>
  <c r="M19" i="50"/>
  <c r="I19" i="50"/>
  <c r="M18" i="50"/>
  <c r="I18" i="50"/>
  <c r="E17" i="50"/>
  <c r="L17" i="50" s="1"/>
  <c r="M16" i="50"/>
  <c r="I16" i="50"/>
  <c r="M15" i="50"/>
  <c r="I15" i="50"/>
  <c r="M14" i="50"/>
  <c r="I14" i="50"/>
  <c r="M13" i="50"/>
  <c r="I13" i="50"/>
  <c r="E12" i="50"/>
  <c r="L12" i="50" s="1"/>
  <c r="E11" i="50"/>
  <c r="P9" i="50"/>
  <c r="L8" i="50"/>
  <c r="I8" i="50"/>
  <c r="L7" i="50"/>
  <c r="I7" i="50"/>
  <c r="L6" i="50"/>
  <c r="I6" i="50"/>
  <c r="M19" i="38"/>
  <c r="L44" i="38"/>
  <c r="K44" i="38"/>
  <c r="J44" i="38"/>
  <c r="H44" i="38"/>
  <c r="G44" i="38"/>
  <c r="D44" i="38"/>
  <c r="C44" i="38"/>
  <c r="O43" i="38"/>
  <c r="O42" i="38"/>
  <c r="O41" i="38"/>
  <c r="O40" i="38"/>
  <c r="F39" i="38"/>
  <c r="O39" i="38" s="1"/>
  <c r="N38" i="38"/>
  <c r="O38" i="38" s="1"/>
  <c r="N34" i="38"/>
  <c r="M37" i="38"/>
  <c r="O37" i="38" s="1"/>
  <c r="I36" i="38"/>
  <c r="O36" i="38" s="1"/>
  <c r="I35" i="38"/>
  <c r="O35" i="38" s="1"/>
  <c r="M34" i="38"/>
  <c r="I34" i="38"/>
  <c r="O33" i="38"/>
  <c r="O32" i="38"/>
  <c r="O31" i="38"/>
  <c r="E30" i="38"/>
  <c r="O30" i="38" s="1"/>
  <c r="O22" i="38"/>
  <c r="K19" i="38"/>
  <c r="I19" i="38"/>
  <c r="H19" i="38"/>
  <c r="G19" i="38"/>
  <c r="E19" i="38"/>
  <c r="D19" i="38"/>
  <c r="C19" i="38"/>
  <c r="N18" i="38"/>
  <c r="O18" i="38" s="1"/>
  <c r="N17" i="38"/>
  <c r="O17" i="38" s="1"/>
  <c r="N16" i="38"/>
  <c r="L16" i="38"/>
  <c r="L12" i="38"/>
  <c r="J16" i="38"/>
  <c r="J19" i="38" s="1"/>
  <c r="O15" i="38"/>
  <c r="O14" i="38"/>
  <c r="O13" i="38"/>
  <c r="O11" i="38"/>
  <c r="O10" i="38"/>
  <c r="O9" i="38"/>
  <c r="N8" i="38"/>
  <c r="O8" i="38" s="1"/>
  <c r="O7" i="38"/>
  <c r="O6" i="38"/>
  <c r="F5" i="38"/>
  <c r="O5" i="38" s="1"/>
  <c r="O4" i="38"/>
  <c r="N1" i="38"/>
  <c r="K20" i="38"/>
  <c r="L20" i="38"/>
  <c r="J20" i="38"/>
  <c r="H20" i="38"/>
  <c r="I20" i="38"/>
  <c r="D20" i="38"/>
  <c r="E20" i="38"/>
  <c r="F20" i="38"/>
  <c r="C20" i="38"/>
  <c r="G20" i="38"/>
  <c r="M1" i="38"/>
  <c r="I195" i="92" l="1"/>
  <c r="O9" i="92"/>
  <c r="F44" i="106"/>
  <c r="C186" i="105"/>
  <c r="E45" i="104"/>
  <c r="D45" i="104"/>
  <c r="G44" i="95"/>
  <c r="P9" i="105"/>
  <c r="G44" i="106"/>
  <c r="G105" i="92"/>
  <c r="G109" i="92" s="1"/>
  <c r="D105" i="92"/>
  <c r="D109" i="92" s="1"/>
  <c r="H151" i="92"/>
  <c r="H190" i="92" s="1"/>
  <c r="I105" i="92"/>
  <c r="I109" i="92" s="1"/>
  <c r="F187" i="105"/>
  <c r="C135" i="92"/>
  <c r="C189" i="92" s="1"/>
  <c r="C130" i="105"/>
  <c r="C184" i="105" s="1"/>
  <c r="H195" i="92"/>
  <c r="H187" i="105"/>
  <c r="D130" i="105"/>
  <c r="D184" i="105" s="1"/>
  <c r="E337" i="11"/>
  <c r="E29" i="11" s="1"/>
  <c r="E30" i="11" s="1"/>
  <c r="I19" i="98"/>
  <c r="C146" i="105"/>
  <c r="C185" i="105" s="1"/>
  <c r="L187" i="105"/>
  <c r="E187" i="105"/>
  <c r="E105" i="92"/>
  <c r="E109" i="92" s="1"/>
  <c r="E266" i="91"/>
  <c r="D151" i="92"/>
  <c r="D190" i="92" s="1"/>
  <c r="D167" i="11"/>
  <c r="D18" i="11" s="1"/>
  <c r="C268" i="90"/>
  <c r="E9" i="11"/>
  <c r="E16" i="11" s="1"/>
  <c r="H267" i="90"/>
  <c r="F264" i="91"/>
  <c r="E102" i="105"/>
  <c r="E106" i="105" s="1"/>
  <c r="S13" i="97"/>
  <c r="T13" i="97" s="1"/>
  <c r="H13" i="97" s="1"/>
  <c r="E146" i="105"/>
  <c r="E185" i="105" s="1"/>
  <c r="G186" i="105"/>
  <c r="N187" i="105"/>
  <c r="H101" i="50"/>
  <c r="H103" i="50" s="1"/>
  <c r="D127" i="88"/>
  <c r="D32" i="88" s="1"/>
  <c r="D32" i="93" s="1"/>
  <c r="S17" i="97"/>
  <c r="T17" i="97" s="1"/>
  <c r="H17" i="97" s="1"/>
  <c r="D199" i="11"/>
  <c r="D19" i="11" s="1"/>
  <c r="C165" i="11"/>
  <c r="C167" i="11" s="1"/>
  <c r="C18" i="11" s="1"/>
  <c r="G103" i="50"/>
  <c r="S26" i="97"/>
  <c r="T26" i="97" s="1"/>
  <c r="H26" i="97" s="1"/>
  <c r="H264" i="91"/>
  <c r="O132" i="105"/>
  <c r="M187" i="105"/>
  <c r="I44" i="38"/>
  <c r="O120" i="105"/>
  <c r="O179" i="105"/>
  <c r="C84" i="116"/>
  <c r="E151" i="92"/>
  <c r="E190" i="92" s="1"/>
  <c r="I20" i="98"/>
  <c r="O162" i="105"/>
  <c r="O102" i="105"/>
  <c r="O106" i="105" s="1"/>
  <c r="C25" i="11"/>
  <c r="O171" i="105"/>
  <c r="E267" i="90"/>
  <c r="D102" i="105"/>
  <c r="D106" i="105" s="1"/>
  <c r="O108" i="105"/>
  <c r="P101" i="50"/>
  <c r="O16" i="38"/>
  <c r="I17" i="50"/>
  <c r="W101" i="50"/>
  <c r="N27" i="97"/>
  <c r="S22" i="97"/>
  <c r="M22" i="97" s="1"/>
  <c r="G22" i="97" s="1"/>
  <c r="G195" i="92"/>
  <c r="F103" i="50"/>
  <c r="D306" i="11"/>
  <c r="D24" i="11" s="1"/>
  <c r="D25" i="11" s="1"/>
  <c r="S5" i="97"/>
  <c r="T5" i="97" s="1"/>
  <c r="H5" i="97" s="1"/>
  <c r="K96" i="79"/>
  <c r="K97" i="79" s="1"/>
  <c r="C21" i="78"/>
  <c r="C23" i="78" s="1"/>
  <c r="H4" i="86"/>
  <c r="C57" i="103"/>
  <c r="C63" i="103" s="1"/>
  <c r="G151" i="92"/>
  <c r="G190" i="92" s="1"/>
  <c r="C140" i="118"/>
  <c r="K146" i="105"/>
  <c r="K185" i="105" s="1"/>
  <c r="C337" i="11"/>
  <c r="C29" i="11" s="1"/>
  <c r="C30" i="11" s="1"/>
  <c r="F18" i="86"/>
  <c r="H22" i="86"/>
  <c r="I54" i="50"/>
  <c r="D261" i="11"/>
  <c r="D20" i="11" s="1"/>
  <c r="E25" i="11"/>
  <c r="G187" i="105"/>
  <c r="F102" i="105"/>
  <c r="F106" i="105" s="1"/>
  <c r="I13" i="87"/>
  <c r="I15" i="87" s="1"/>
  <c r="C187" i="105"/>
  <c r="O101" i="50"/>
  <c r="I267" i="90"/>
  <c r="I12" i="50"/>
  <c r="C261" i="11"/>
  <c r="C20" i="11" s="1"/>
  <c r="S14" i="97"/>
  <c r="M14" i="97" s="1"/>
  <c r="G14" i="97" s="1"/>
  <c r="J14" i="97" s="1"/>
  <c r="S25" i="97"/>
  <c r="T25" i="97" s="1"/>
  <c r="H25" i="97" s="1"/>
  <c r="O104" i="105"/>
  <c r="C81" i="108"/>
  <c r="E44" i="38"/>
  <c r="R27" i="97"/>
  <c r="M44" i="38"/>
  <c r="E261" i="11"/>
  <c r="E20" i="11" s="1"/>
  <c r="S12" i="97"/>
  <c r="T12" i="97" s="1"/>
  <c r="H12" i="97" s="1"/>
  <c r="S23" i="97"/>
  <c r="T23" i="97" s="1"/>
  <c r="H23" i="97" s="1"/>
  <c r="O68" i="105"/>
  <c r="C60" i="108"/>
  <c r="C66" i="108" s="1"/>
  <c r="S21" i="97"/>
  <c r="T21" i="97" s="1"/>
  <c r="H21" i="97" s="1"/>
  <c r="O148" i="105"/>
  <c r="H31" i="105"/>
  <c r="N101" i="50"/>
  <c r="C199" i="11"/>
  <c r="C19" i="11" s="1"/>
  <c r="D337" i="11"/>
  <c r="D29" i="11" s="1"/>
  <c r="D30" i="11" s="1"/>
  <c r="L19" i="38"/>
  <c r="R101" i="50"/>
  <c r="V101" i="50"/>
  <c r="H16" i="86"/>
  <c r="S10" i="97"/>
  <c r="T10" i="97" s="1"/>
  <c r="H10" i="97" s="1"/>
  <c r="C103" i="11"/>
  <c r="C107" i="11" s="1"/>
  <c r="I10" i="50"/>
  <c r="K10" i="50" s="1"/>
  <c r="S101" i="50"/>
  <c r="U101" i="50"/>
  <c r="P27" i="97"/>
  <c r="S8" i="97"/>
  <c r="T8" i="97" s="1"/>
  <c r="H8" i="97" s="1"/>
  <c r="S19" i="97"/>
  <c r="M19" i="97" s="1"/>
  <c r="G19" i="97" s="1"/>
  <c r="J19" i="97" s="1"/>
  <c r="O93" i="105"/>
  <c r="M101" i="50"/>
  <c r="Q101" i="50"/>
  <c r="S16" i="97"/>
  <c r="M16" i="97" s="1"/>
  <c r="G16" i="97" s="1"/>
  <c r="S24" i="97"/>
  <c r="M24" i="97" s="1"/>
  <c r="G24" i="97" s="1"/>
  <c r="AL13" i="93"/>
  <c r="AP13" i="93" s="1"/>
  <c r="N19" i="38"/>
  <c r="N44" i="38"/>
  <c r="T101" i="50"/>
  <c r="Q27" i="97"/>
  <c r="F111" i="79"/>
  <c r="S11" i="97"/>
  <c r="M11" i="97" s="1"/>
  <c r="G11" i="97" s="1"/>
  <c r="J11" i="97" s="1"/>
  <c r="H111" i="79"/>
  <c r="C16" i="11"/>
  <c r="E101" i="50"/>
  <c r="E103" i="50" s="1"/>
  <c r="H13" i="87"/>
  <c r="H15" i="87" s="1"/>
  <c r="S9" i="97"/>
  <c r="T9" i="97" s="1"/>
  <c r="H9" i="97" s="1"/>
  <c r="S20" i="97"/>
  <c r="M20" i="97" s="1"/>
  <c r="G20" i="97" s="1"/>
  <c r="J20" i="97" s="1"/>
  <c r="O100" i="105"/>
  <c r="C118" i="118"/>
  <c r="C124" i="118" s="1"/>
  <c r="E18" i="11"/>
  <c r="E57" i="96"/>
  <c r="C119" i="64"/>
  <c r="D119" i="64" s="1"/>
  <c r="C62" i="116"/>
  <c r="C68" i="116" s="1"/>
  <c r="O12" i="38"/>
  <c r="I11" i="50"/>
  <c r="S4" i="97"/>
  <c r="M31" i="105"/>
  <c r="F19" i="38"/>
  <c r="L11" i="50"/>
  <c r="L101" i="50" s="1"/>
  <c r="G63" i="96"/>
  <c r="J195" i="92"/>
  <c r="D191" i="92"/>
  <c r="D268" i="90"/>
  <c r="L31" i="105"/>
  <c r="H8" i="126"/>
  <c r="F33" i="124" s="1"/>
  <c r="H8" i="120"/>
  <c r="D116" i="118"/>
  <c r="O34" i="38"/>
  <c r="O44" i="38" s="1"/>
  <c r="O24" i="38" s="1"/>
  <c r="O27" i="97"/>
  <c r="C102" i="105"/>
  <c r="C106" i="105" s="1"/>
  <c r="H102" i="105"/>
  <c r="H106" i="105" s="1"/>
  <c r="H36" i="126"/>
  <c r="H36" i="120"/>
  <c r="H36" i="104"/>
  <c r="AP10" i="93"/>
  <c r="K31" i="105"/>
  <c r="I36" i="126"/>
  <c r="I36" i="120"/>
  <c r="I36" i="104"/>
  <c r="J31" i="105"/>
  <c r="E111" i="79"/>
  <c r="F44" i="38"/>
  <c r="N42" i="92"/>
  <c r="J102" i="105"/>
  <c r="J106" i="105" s="1"/>
  <c r="J12" i="105"/>
  <c r="J13" i="105" s="1"/>
  <c r="K8" i="104" s="1"/>
  <c r="J36" i="126"/>
  <c r="J36" i="120"/>
  <c r="J36" i="104"/>
  <c r="M146" i="105"/>
  <c r="M185" i="105" s="1"/>
  <c r="L146" i="105"/>
  <c r="L185" i="105" s="1"/>
  <c r="O38" i="92"/>
  <c r="F30" i="106" s="1"/>
  <c r="F31" i="106" s="1"/>
  <c r="E191" i="92"/>
  <c r="I31" i="105"/>
  <c r="E8" i="126"/>
  <c r="C33" i="124" s="1"/>
  <c r="E8" i="120"/>
  <c r="K102" i="105"/>
  <c r="K106" i="105" s="1"/>
  <c r="K12" i="105"/>
  <c r="K13" i="105" s="1"/>
  <c r="L8" i="104" s="1"/>
  <c r="K36" i="126"/>
  <c r="K36" i="120"/>
  <c r="K36" i="104"/>
  <c r="L36" i="126"/>
  <c r="L36" i="120"/>
  <c r="L36" i="104"/>
  <c r="O146" i="105"/>
  <c r="O185" i="105" s="1"/>
  <c r="O189" i="105" s="1"/>
  <c r="O192" i="105" s="1"/>
  <c r="J105" i="92"/>
  <c r="J109" i="92" s="1"/>
  <c r="H191" i="92"/>
  <c r="I69" i="79"/>
  <c r="M36" i="126"/>
  <c r="M36" i="120"/>
  <c r="M36" i="104"/>
  <c r="P36" i="105"/>
  <c r="P38" i="105" s="1"/>
  <c r="G30" i="95" s="1"/>
  <c r="G31" i="95" s="1"/>
  <c r="I102" i="105"/>
  <c r="I106" i="105" s="1"/>
  <c r="M102" i="105"/>
  <c r="M106" i="105" s="1"/>
  <c r="M36" i="105"/>
  <c r="I106" i="79"/>
  <c r="G111" i="79"/>
  <c r="N102" i="105"/>
  <c r="N106" i="105" s="1"/>
  <c r="N36" i="105"/>
  <c r="E103" i="11"/>
  <c r="E107" i="11" s="1"/>
  <c r="K83" i="79"/>
  <c r="H146" i="105"/>
  <c r="H185" i="105" s="1"/>
  <c r="G38" i="105"/>
  <c r="N184" i="105"/>
  <c r="N17" i="105"/>
  <c r="D146" i="105"/>
  <c r="D185" i="105" s="1"/>
  <c r="D186" i="105"/>
  <c r="G191" i="92"/>
  <c r="N191" i="92"/>
  <c r="N26" i="92"/>
  <c r="N27" i="92" s="1"/>
  <c r="N31" i="92" s="1"/>
  <c r="I151" i="92"/>
  <c r="I190" i="92" s="1"/>
  <c r="N195" i="92"/>
  <c r="N46" i="92"/>
  <c r="N189" i="92"/>
  <c r="N17" i="92"/>
  <c r="N19" i="92" s="1"/>
  <c r="O7" i="104"/>
  <c r="O7" i="126"/>
  <c r="N268" i="90"/>
  <c r="N44" i="90"/>
  <c r="N267" i="90"/>
  <c r="N28" i="90"/>
  <c r="N266" i="90"/>
  <c r="N25" i="90"/>
  <c r="N26" i="90" s="1"/>
  <c r="N263" i="90"/>
  <c r="N16" i="90"/>
  <c r="O12" i="126"/>
  <c r="O4" i="126"/>
  <c r="M29" i="124" s="1"/>
  <c r="N27" i="88"/>
  <c r="N60" i="88" s="1"/>
  <c r="J151" i="92"/>
  <c r="J190" i="92" s="1"/>
  <c r="M193" i="92"/>
  <c r="M41" i="92"/>
  <c r="O41" i="92" s="1"/>
  <c r="F34" i="106" s="1"/>
  <c r="F37" i="106" s="1"/>
  <c r="M189" i="92"/>
  <c r="M17" i="92"/>
  <c r="M19" i="92" s="1"/>
  <c r="M22" i="92" s="1"/>
  <c r="M195" i="92"/>
  <c r="M46" i="92"/>
  <c r="M191" i="92"/>
  <c r="M26" i="92"/>
  <c r="M27" i="92" s="1"/>
  <c r="M31" i="92" s="1"/>
  <c r="F105" i="92"/>
  <c r="F109" i="92" s="1"/>
  <c r="N18" i="91"/>
  <c r="N20" i="91" s="1"/>
  <c r="O14" i="126" s="1"/>
  <c r="N262" i="91"/>
  <c r="N267" i="91" s="1"/>
  <c r="N270" i="91" s="1"/>
  <c r="J267" i="90"/>
  <c r="L35" i="90"/>
  <c r="M29" i="126" s="1"/>
  <c r="H26" i="90"/>
  <c r="H30" i="90" s="1"/>
  <c r="J47" i="88"/>
  <c r="K40" i="126" s="1"/>
  <c r="F57" i="88"/>
  <c r="P57" i="88" s="1"/>
  <c r="D47" i="88"/>
  <c r="D49" i="88" s="1"/>
  <c r="F52" i="88"/>
  <c r="O8" i="104"/>
  <c r="M33" i="124"/>
  <c r="O8" i="120"/>
  <c r="F25" i="105"/>
  <c r="F27" i="105" s="1"/>
  <c r="F31" i="105" s="1"/>
  <c r="F183" i="105"/>
  <c r="M184" i="105"/>
  <c r="M17" i="105"/>
  <c r="D187" i="105"/>
  <c r="E26" i="105"/>
  <c r="P26" i="105" s="1"/>
  <c r="G19" i="95" s="1"/>
  <c r="N31" i="105"/>
  <c r="G190" i="105"/>
  <c r="J146" i="105"/>
  <c r="J185" i="105" s="1"/>
  <c r="M99" i="90"/>
  <c r="M103" i="90" s="1"/>
  <c r="M35" i="90"/>
  <c r="N29" i="120" s="1"/>
  <c r="I8" i="126"/>
  <c r="I8" i="120"/>
  <c r="M8" i="104"/>
  <c r="M8" i="120"/>
  <c r="M8" i="126"/>
  <c r="K33" i="124" s="1"/>
  <c r="J8" i="104"/>
  <c r="J8" i="126"/>
  <c r="H33" i="124" s="1"/>
  <c r="J8" i="120"/>
  <c r="N8" i="126"/>
  <c r="L33" i="124" s="1"/>
  <c r="N8" i="120"/>
  <c r="M18" i="91"/>
  <c r="M20" i="91" s="1"/>
  <c r="N14" i="126" s="1"/>
  <c r="M262" i="91"/>
  <c r="M267" i="91" s="1"/>
  <c r="M270" i="91" s="1"/>
  <c r="F151" i="92"/>
  <c r="F190" i="92" s="1"/>
  <c r="I17" i="92"/>
  <c r="I19" i="92" s="1"/>
  <c r="I189" i="92"/>
  <c r="H105" i="92"/>
  <c r="H109" i="92" s="1"/>
  <c r="N105" i="92"/>
  <c r="N109" i="92" s="1"/>
  <c r="M105" i="92"/>
  <c r="M109" i="92" s="1"/>
  <c r="L45" i="120"/>
  <c r="J114" i="91"/>
  <c r="H114" i="91"/>
  <c r="F114" i="91"/>
  <c r="E14" i="91"/>
  <c r="F6" i="126" s="1"/>
  <c r="D31" i="124" s="1"/>
  <c r="M267" i="90"/>
  <c r="M28" i="90"/>
  <c r="M263" i="90"/>
  <c r="M16" i="90"/>
  <c r="M268" i="90"/>
  <c r="M44" i="90"/>
  <c r="N43" i="126" s="1"/>
  <c r="M266" i="90"/>
  <c r="M25" i="90"/>
  <c r="M26" i="90" s="1"/>
  <c r="D137" i="90"/>
  <c r="D140" i="90" s="1"/>
  <c r="D142" i="90" s="1"/>
  <c r="D16" i="90" s="1"/>
  <c r="J137" i="90"/>
  <c r="J140" i="90" s="1"/>
  <c r="J142" i="90" s="1"/>
  <c r="F108" i="88"/>
  <c r="F11" i="88" s="1"/>
  <c r="G108" i="88"/>
  <c r="G11" i="88" s="1"/>
  <c r="K108" i="88"/>
  <c r="K11" i="88" s="1"/>
  <c r="D108" i="88"/>
  <c r="H108" i="88"/>
  <c r="H11" i="88" s="1"/>
  <c r="M264" i="88"/>
  <c r="M16" i="88" s="1"/>
  <c r="C318" i="88"/>
  <c r="D397" i="88"/>
  <c r="M313" i="88"/>
  <c r="M17" i="88" s="1"/>
  <c r="M217" i="88"/>
  <c r="C406" i="88"/>
  <c r="M406" i="88"/>
  <c r="C128" i="88"/>
  <c r="C132" i="88" s="1"/>
  <c r="M128" i="88"/>
  <c r="M132" i="88" s="1"/>
  <c r="M382" i="88"/>
  <c r="C337" i="88"/>
  <c r="C21" i="88" s="1"/>
  <c r="M337" i="88"/>
  <c r="M21" i="88" s="1"/>
  <c r="H25" i="91"/>
  <c r="H17" i="92"/>
  <c r="H19" i="92" s="1"/>
  <c r="I15" i="126" s="1"/>
  <c r="H189" i="92"/>
  <c r="J47" i="92"/>
  <c r="K47" i="126"/>
  <c r="K151" i="92"/>
  <c r="K190" i="92" s="1"/>
  <c r="K47" i="92"/>
  <c r="L47" i="126"/>
  <c r="D19" i="92"/>
  <c r="E15" i="126" s="1"/>
  <c r="I47" i="92"/>
  <c r="J47" i="126"/>
  <c r="L195" i="92"/>
  <c r="L46" i="92"/>
  <c r="H47" i="92"/>
  <c r="I47" i="126"/>
  <c r="L151" i="92"/>
  <c r="L190" i="92" s="1"/>
  <c r="K17" i="92"/>
  <c r="K19" i="92" s="1"/>
  <c r="L15" i="126" s="1"/>
  <c r="K189" i="92"/>
  <c r="J191" i="92"/>
  <c r="C191" i="92"/>
  <c r="C151" i="92"/>
  <c r="C190" i="92" s="1"/>
  <c r="H184" i="105"/>
  <c r="H17" i="105"/>
  <c r="F146" i="105"/>
  <c r="F185" i="105" s="1"/>
  <c r="I184" i="105"/>
  <c r="I17" i="105"/>
  <c r="I187" i="105"/>
  <c r="G146" i="105"/>
  <c r="G185" i="105" s="1"/>
  <c r="J184" i="105"/>
  <c r="J17" i="105"/>
  <c r="J187" i="105"/>
  <c r="K184" i="105"/>
  <c r="K17" i="105"/>
  <c r="P41" i="105"/>
  <c r="G34" i="95" s="1"/>
  <c r="G37" i="95" s="1"/>
  <c r="N146" i="105"/>
  <c r="N185" i="105" s="1"/>
  <c r="D19" i="105"/>
  <c r="D22" i="105" s="1"/>
  <c r="L102" i="105"/>
  <c r="L106" i="105" s="1"/>
  <c r="L184" i="105"/>
  <c r="L17" i="105"/>
  <c r="O151" i="92"/>
  <c r="O190" i="92" s="1"/>
  <c r="O194" i="92" s="1"/>
  <c r="O197" i="92" s="1"/>
  <c r="O105" i="92"/>
  <c r="O109" i="92" s="1"/>
  <c r="P38" i="92"/>
  <c r="F30" i="95" s="1"/>
  <c r="F31" i="95" s="1"/>
  <c r="N151" i="92"/>
  <c r="N190" i="92" s="1"/>
  <c r="L191" i="92"/>
  <c r="P41" i="92"/>
  <c r="P42" i="92" s="1"/>
  <c r="L189" i="92"/>
  <c r="L17" i="92"/>
  <c r="L19" i="92" s="1"/>
  <c r="L22" i="92" s="1"/>
  <c r="I191" i="92"/>
  <c r="F191" i="92"/>
  <c r="I42" i="92"/>
  <c r="P11" i="92"/>
  <c r="F7" i="95" s="1"/>
  <c r="C13" i="92"/>
  <c r="O11" i="92"/>
  <c r="F7" i="106" s="1"/>
  <c r="E17" i="92"/>
  <c r="E19" i="92" s="1"/>
  <c r="E189" i="92"/>
  <c r="L32" i="124"/>
  <c r="N7" i="120"/>
  <c r="T7" i="126"/>
  <c r="T7" i="120"/>
  <c r="P9" i="92"/>
  <c r="F44" i="95"/>
  <c r="O7" i="120"/>
  <c r="L31" i="92"/>
  <c r="C105" i="92"/>
  <c r="C109" i="92" s="1"/>
  <c r="M151" i="92"/>
  <c r="M190" i="92" s="1"/>
  <c r="L105" i="92"/>
  <c r="L109" i="92" s="1"/>
  <c r="M7" i="120"/>
  <c r="M7" i="104"/>
  <c r="M7" i="126"/>
  <c r="K32" i="124" s="1"/>
  <c r="D135" i="92"/>
  <c r="D189" i="92" s="1"/>
  <c r="N7" i="104"/>
  <c r="K7" i="126"/>
  <c r="I32" i="124" s="1"/>
  <c r="K7" i="120"/>
  <c r="K7" i="104"/>
  <c r="J7" i="126"/>
  <c r="H32" i="124" s="1"/>
  <c r="J7" i="120"/>
  <c r="J7" i="104"/>
  <c r="I7" i="126"/>
  <c r="G32" i="124" s="1"/>
  <c r="I7" i="120"/>
  <c r="I7" i="104"/>
  <c r="H7" i="126"/>
  <c r="F32" i="124" s="1"/>
  <c r="H7" i="120"/>
  <c r="H7" i="104"/>
  <c r="G7" i="126"/>
  <c r="E32" i="124" s="1"/>
  <c r="G7" i="120"/>
  <c r="G7" i="104"/>
  <c r="E7" i="126"/>
  <c r="C32" i="124" s="1"/>
  <c r="E7" i="120"/>
  <c r="E7" i="104"/>
  <c r="F7" i="126"/>
  <c r="D32" i="124" s="1"/>
  <c r="F7" i="120"/>
  <c r="P12" i="92"/>
  <c r="F8" i="95" s="1"/>
  <c r="L268" i="90"/>
  <c r="L44" i="90"/>
  <c r="M43" i="126" s="1"/>
  <c r="L18" i="91"/>
  <c r="L20" i="91" s="1"/>
  <c r="M14" i="126" s="1"/>
  <c r="L262" i="91"/>
  <c r="L267" i="91" s="1"/>
  <c r="L270" i="91" s="1"/>
  <c r="L266" i="90"/>
  <c r="L25" i="90"/>
  <c r="L26" i="90" s="1"/>
  <c r="L267" i="90"/>
  <c r="L28" i="90"/>
  <c r="L263" i="90"/>
  <c r="L16" i="90"/>
  <c r="L265" i="90"/>
  <c r="L18" i="90"/>
  <c r="M4" i="126"/>
  <c r="K29" i="124" s="1"/>
  <c r="M4" i="104"/>
  <c r="M4" i="120"/>
  <c r="M12" i="104"/>
  <c r="M12" i="126"/>
  <c r="L14" i="91"/>
  <c r="M6" i="120" s="1"/>
  <c r="F33" i="93"/>
  <c r="J266" i="91"/>
  <c r="E33" i="93"/>
  <c r="I17" i="91"/>
  <c r="D31" i="126"/>
  <c r="D31" i="120"/>
  <c r="D31" i="104"/>
  <c r="O31" i="104"/>
  <c r="O31" i="120"/>
  <c r="N31" i="104"/>
  <c r="N31" i="120"/>
  <c r="M31" i="104"/>
  <c r="M31" i="120"/>
  <c r="E45" i="120"/>
  <c r="E45" i="126"/>
  <c r="G6" i="126"/>
  <c r="E31" i="124" s="1"/>
  <c r="G6" i="120"/>
  <c r="L31" i="126"/>
  <c r="L31" i="120"/>
  <c r="J31" i="104"/>
  <c r="J31" i="126"/>
  <c r="J31" i="120"/>
  <c r="G31" i="126"/>
  <c r="G31" i="120"/>
  <c r="I45" i="120"/>
  <c r="I45" i="126"/>
  <c r="K6" i="126"/>
  <c r="I31" i="124" s="1"/>
  <c r="K6" i="120"/>
  <c r="M114" i="91"/>
  <c r="K45" i="120"/>
  <c r="K45" i="126"/>
  <c r="F31" i="126"/>
  <c r="F31" i="120"/>
  <c r="J6" i="126"/>
  <c r="H31" i="124" s="1"/>
  <c r="J6" i="120"/>
  <c r="O6" i="104"/>
  <c r="M31" i="124"/>
  <c r="O6" i="120"/>
  <c r="E31" i="126"/>
  <c r="E31" i="120"/>
  <c r="P33" i="91"/>
  <c r="P13" i="91"/>
  <c r="E8" i="95" s="1"/>
  <c r="N6" i="104"/>
  <c r="L31" i="124"/>
  <c r="N6" i="120"/>
  <c r="G34" i="91"/>
  <c r="P32" i="91"/>
  <c r="I6" i="126"/>
  <c r="G31" i="124" s="1"/>
  <c r="I6" i="120"/>
  <c r="L6" i="104"/>
  <c r="L6" i="126"/>
  <c r="J31" i="124" s="1"/>
  <c r="L6" i="120"/>
  <c r="K31" i="104"/>
  <c r="K31" i="126"/>
  <c r="K31" i="120"/>
  <c r="E44" i="95"/>
  <c r="T6" i="126"/>
  <c r="T6" i="120"/>
  <c r="O9" i="91"/>
  <c r="J45" i="120"/>
  <c r="J45" i="126"/>
  <c r="G45" i="120"/>
  <c r="G45" i="126"/>
  <c r="E6" i="126"/>
  <c r="C31" i="124" s="1"/>
  <c r="E6" i="120"/>
  <c r="P23" i="91"/>
  <c r="E18" i="95" s="1"/>
  <c r="I99" i="90"/>
  <c r="I103" i="90" s="1"/>
  <c r="M223" i="90"/>
  <c r="N223" i="90"/>
  <c r="D44" i="106"/>
  <c r="T5" i="104"/>
  <c r="I266" i="90"/>
  <c r="H99" i="90"/>
  <c r="H103" i="90" s="1"/>
  <c r="E268" i="90"/>
  <c r="L5" i="104"/>
  <c r="L5" i="126"/>
  <c r="J30" i="124" s="1"/>
  <c r="L5" i="120"/>
  <c r="O11" i="90"/>
  <c r="D7" i="106" s="1"/>
  <c r="P11" i="90"/>
  <c r="D7" i="95" s="1"/>
  <c r="P12" i="90"/>
  <c r="D8" i="95" s="1"/>
  <c r="M44" i="104"/>
  <c r="M44" i="120"/>
  <c r="I29" i="126"/>
  <c r="I29" i="120"/>
  <c r="H29" i="126"/>
  <c r="H29" i="120"/>
  <c r="N44" i="104"/>
  <c r="N44" i="120"/>
  <c r="K29" i="126"/>
  <c r="K29" i="120"/>
  <c r="H268" i="90"/>
  <c r="H44" i="90"/>
  <c r="I43" i="126" s="1"/>
  <c r="G44" i="90"/>
  <c r="H43" i="126" s="1"/>
  <c r="K5" i="104"/>
  <c r="K5" i="126"/>
  <c r="I30" i="124" s="1"/>
  <c r="K5" i="120"/>
  <c r="K30" i="93"/>
  <c r="O44" i="104"/>
  <c r="O44" i="120"/>
  <c r="O29" i="104"/>
  <c r="O29" i="120"/>
  <c r="E266" i="90"/>
  <c r="J268" i="90"/>
  <c r="J44" i="90"/>
  <c r="K43" i="126" s="1"/>
  <c r="P24" i="90"/>
  <c r="D18" i="95" s="1"/>
  <c r="N5" i="104"/>
  <c r="N5" i="120"/>
  <c r="N21" i="120" s="1"/>
  <c r="E99" i="90"/>
  <c r="E103" i="90" s="1"/>
  <c r="F34" i="104"/>
  <c r="P34" i="104" s="1"/>
  <c r="F34" i="126"/>
  <c r="P34" i="126" s="1"/>
  <c r="F34" i="120"/>
  <c r="P34" i="120" s="1"/>
  <c r="P36" i="90"/>
  <c r="D28" i="95" s="1"/>
  <c r="P47" i="90"/>
  <c r="J5" i="104"/>
  <c r="J5" i="126"/>
  <c r="H30" i="124" s="1"/>
  <c r="J5" i="120"/>
  <c r="M5" i="126"/>
  <c r="K30" i="124" s="1"/>
  <c r="M5" i="120"/>
  <c r="M21" i="120" s="1"/>
  <c r="M5" i="104"/>
  <c r="G29" i="126"/>
  <c r="G29" i="120"/>
  <c r="P46" i="90"/>
  <c r="E29" i="104"/>
  <c r="E29" i="126"/>
  <c r="E29" i="120"/>
  <c r="P45" i="90"/>
  <c r="I5" i="126"/>
  <c r="G30" i="124" s="1"/>
  <c r="I5" i="120"/>
  <c r="F5" i="104"/>
  <c r="F5" i="126"/>
  <c r="D30" i="124" s="1"/>
  <c r="F5" i="120"/>
  <c r="O5" i="104"/>
  <c r="O5" i="120"/>
  <c r="O21" i="120" s="1"/>
  <c r="D29" i="126"/>
  <c r="D29" i="120"/>
  <c r="L29" i="126"/>
  <c r="L29" i="120"/>
  <c r="O9" i="90"/>
  <c r="T5" i="126"/>
  <c r="T5" i="120"/>
  <c r="I44" i="90"/>
  <c r="J43" i="126" s="1"/>
  <c r="F44" i="90"/>
  <c r="G43" i="126" s="1"/>
  <c r="F29" i="104"/>
  <c r="F29" i="126"/>
  <c r="F29" i="120"/>
  <c r="C33" i="94"/>
  <c r="K33" i="93"/>
  <c r="C35" i="94"/>
  <c r="F406" i="88"/>
  <c r="C313" i="88"/>
  <c r="C17" i="88" s="1"/>
  <c r="N4" i="104"/>
  <c r="L29" i="124"/>
  <c r="N4" i="120"/>
  <c r="K32" i="126"/>
  <c r="K32" i="120"/>
  <c r="J41" i="126"/>
  <c r="J41" i="120"/>
  <c r="I40" i="126"/>
  <c r="I40" i="120"/>
  <c r="I33" i="104"/>
  <c r="I33" i="126"/>
  <c r="I33" i="120"/>
  <c r="G397" i="88"/>
  <c r="G47" i="88"/>
  <c r="G38" i="93" s="1"/>
  <c r="H33" i="126"/>
  <c r="H33" i="120"/>
  <c r="K33" i="104"/>
  <c r="K33" i="126"/>
  <c r="K33" i="120"/>
  <c r="F42" i="126"/>
  <c r="F42" i="120"/>
  <c r="F39" i="120"/>
  <c r="F39" i="126"/>
  <c r="D39" i="126"/>
  <c r="D39" i="120"/>
  <c r="L408" i="88"/>
  <c r="L410" i="88" s="1"/>
  <c r="G32" i="126"/>
  <c r="G32" i="120"/>
  <c r="F41" i="126"/>
  <c r="F41" i="120"/>
  <c r="E39" i="126"/>
  <c r="E39" i="120"/>
  <c r="D42" i="126"/>
  <c r="D42" i="120"/>
  <c r="H39" i="120"/>
  <c r="H39" i="126"/>
  <c r="J30" i="126"/>
  <c r="J30" i="120"/>
  <c r="J30" i="104"/>
  <c r="I28" i="126"/>
  <c r="I28" i="120"/>
  <c r="I28" i="104"/>
  <c r="E41" i="126"/>
  <c r="E41" i="120"/>
  <c r="D41" i="126"/>
  <c r="D41" i="120"/>
  <c r="I42" i="104"/>
  <c r="I42" i="126"/>
  <c r="I42" i="120"/>
  <c r="I39" i="126"/>
  <c r="I39" i="120"/>
  <c r="G33" i="104"/>
  <c r="G33" i="126"/>
  <c r="G33" i="120"/>
  <c r="E42" i="126"/>
  <c r="E42" i="120"/>
  <c r="K42" i="104"/>
  <c r="K42" i="126"/>
  <c r="K42" i="120"/>
  <c r="J33" i="93"/>
  <c r="I41" i="126"/>
  <c r="I41" i="120"/>
  <c r="F31" i="93"/>
  <c r="G30" i="126"/>
  <c r="G30" i="120"/>
  <c r="G30" i="104"/>
  <c r="K21" i="88"/>
  <c r="K21" i="93" s="1"/>
  <c r="K41" i="126"/>
  <c r="K41" i="120"/>
  <c r="J40" i="126"/>
  <c r="J40" i="120"/>
  <c r="J32" i="126"/>
  <c r="J32" i="120"/>
  <c r="G40" i="126"/>
  <c r="G40" i="120"/>
  <c r="E30" i="126"/>
  <c r="E30" i="120"/>
  <c r="E30" i="104"/>
  <c r="D30" i="126"/>
  <c r="D30" i="120"/>
  <c r="D30" i="104"/>
  <c r="J33" i="104"/>
  <c r="J33" i="126"/>
  <c r="J33" i="120"/>
  <c r="G406" i="88"/>
  <c r="G52" i="88"/>
  <c r="H41" i="104" s="1"/>
  <c r="G28" i="126"/>
  <c r="G28" i="120"/>
  <c r="G39" i="88"/>
  <c r="O39" i="88" s="1"/>
  <c r="G128" i="88"/>
  <c r="G129" i="88" s="1"/>
  <c r="F32" i="126"/>
  <c r="F32" i="120"/>
  <c r="E32" i="93"/>
  <c r="E28" i="126"/>
  <c r="E28" i="120"/>
  <c r="K30" i="126"/>
  <c r="K30" i="120"/>
  <c r="K30" i="104"/>
  <c r="F40" i="126"/>
  <c r="F40" i="120"/>
  <c r="E38" i="93"/>
  <c r="C31" i="88"/>
  <c r="C30" i="93" s="1"/>
  <c r="K41" i="88"/>
  <c r="L30" i="126"/>
  <c r="L30" i="120"/>
  <c r="L30" i="104"/>
  <c r="J39" i="126"/>
  <c r="J39" i="120"/>
  <c r="J28" i="126"/>
  <c r="J28" i="120"/>
  <c r="G42" i="126"/>
  <c r="G42" i="120"/>
  <c r="G39" i="120"/>
  <c r="G39" i="126"/>
  <c r="F28" i="126"/>
  <c r="F28" i="120"/>
  <c r="E30" i="93"/>
  <c r="D40" i="126"/>
  <c r="D40" i="120"/>
  <c r="D32" i="126"/>
  <c r="D32" i="120"/>
  <c r="E4" i="104"/>
  <c r="E4" i="126"/>
  <c r="C29" i="124" s="1"/>
  <c r="E4" i="120"/>
  <c r="O4" i="104"/>
  <c r="O4" i="120"/>
  <c r="H33" i="104"/>
  <c r="J42" i="104"/>
  <c r="J42" i="126"/>
  <c r="J42" i="120"/>
  <c r="I33" i="93"/>
  <c r="I32" i="126"/>
  <c r="I32" i="120"/>
  <c r="H32" i="126"/>
  <c r="H32" i="120"/>
  <c r="J318" i="88"/>
  <c r="J25" i="88"/>
  <c r="J25" i="93" s="1"/>
  <c r="G17" i="105"/>
  <c r="G19" i="105" s="1"/>
  <c r="G22" i="105" s="1"/>
  <c r="G184" i="105"/>
  <c r="C25" i="105"/>
  <c r="C27" i="105" s="1"/>
  <c r="C31" i="105" s="1"/>
  <c r="C183" i="105"/>
  <c r="K187" i="105"/>
  <c r="F186" i="105"/>
  <c r="I146" i="105"/>
  <c r="I185" i="105" s="1"/>
  <c r="G189" i="92"/>
  <c r="G17" i="92"/>
  <c r="G19" i="92" s="1"/>
  <c r="H15" i="126" s="1"/>
  <c r="F17" i="92"/>
  <c r="F19" i="92" s="1"/>
  <c r="G15" i="126" s="1"/>
  <c r="F189" i="92"/>
  <c r="P18" i="92"/>
  <c r="F14" i="95" s="1"/>
  <c r="O18" i="92"/>
  <c r="F14" i="106" s="1"/>
  <c r="J189" i="92"/>
  <c r="J17" i="92"/>
  <c r="J19" i="92" s="1"/>
  <c r="K15" i="126" s="1"/>
  <c r="C19" i="92"/>
  <c r="P26" i="92"/>
  <c r="C27" i="92"/>
  <c r="C31" i="92" s="1"/>
  <c r="H47" i="120"/>
  <c r="P47" i="120" s="1"/>
  <c r="P46" i="92"/>
  <c r="P47" i="92" s="1"/>
  <c r="F39" i="95" s="1"/>
  <c r="G47" i="92"/>
  <c r="H47" i="104"/>
  <c r="P47" i="104" s="1"/>
  <c r="K191" i="92"/>
  <c r="K195" i="92"/>
  <c r="P27" i="91"/>
  <c r="E22" i="95" s="1"/>
  <c r="K18" i="91"/>
  <c r="K20" i="91" s="1"/>
  <c r="L14" i="126" s="1"/>
  <c r="K262" i="91"/>
  <c r="K267" i="91" s="1"/>
  <c r="K270" i="91" s="1"/>
  <c r="F45" i="104"/>
  <c r="F45" i="120"/>
  <c r="C38" i="91"/>
  <c r="D45" i="120"/>
  <c r="F262" i="91"/>
  <c r="G43" i="91"/>
  <c r="H46" i="126" s="1"/>
  <c r="P41" i="91"/>
  <c r="P43" i="91" s="1"/>
  <c r="E39" i="95" s="1"/>
  <c r="L44" i="104"/>
  <c r="L44" i="120"/>
  <c r="K268" i="90"/>
  <c r="J44" i="104"/>
  <c r="J44" i="120"/>
  <c r="H44" i="104"/>
  <c r="H44" i="120"/>
  <c r="G28" i="90"/>
  <c r="G25" i="93" s="1"/>
  <c r="T15" i="93" s="1"/>
  <c r="G44" i="104"/>
  <c r="G44" i="120"/>
  <c r="E37" i="93"/>
  <c r="K263" i="90"/>
  <c r="H223" i="90"/>
  <c r="H265" i="90" s="1"/>
  <c r="K264" i="90"/>
  <c r="K17" i="90"/>
  <c r="K266" i="90"/>
  <c r="K25" i="90"/>
  <c r="K26" i="90" s="1"/>
  <c r="E25" i="93"/>
  <c r="R15" i="93" s="1"/>
  <c r="K265" i="90"/>
  <c r="K18" i="90"/>
  <c r="K44" i="104"/>
  <c r="K44" i="120"/>
  <c r="F44" i="104"/>
  <c r="F44" i="120"/>
  <c r="I44" i="104"/>
  <c r="I44" i="120"/>
  <c r="F43" i="104"/>
  <c r="F43" i="120"/>
  <c r="D43" i="120"/>
  <c r="K267" i="90"/>
  <c r="K28" i="90"/>
  <c r="E43" i="104"/>
  <c r="E43" i="120"/>
  <c r="C54" i="90"/>
  <c r="D44" i="126" s="1"/>
  <c r="P53" i="90"/>
  <c r="P54" i="90" s="1"/>
  <c r="D39" i="95" s="1"/>
  <c r="E44" i="104"/>
  <c r="E44" i="120"/>
  <c r="F17" i="105"/>
  <c r="F19" i="105" s="1"/>
  <c r="F184" i="105"/>
  <c r="E184" i="105"/>
  <c r="E17" i="105"/>
  <c r="C19" i="105"/>
  <c r="G47" i="105"/>
  <c r="O46" i="105"/>
  <c r="O47" i="105" s="1"/>
  <c r="G39" i="106" s="1"/>
  <c r="P46" i="105"/>
  <c r="P47" i="105" s="1"/>
  <c r="G39" i="95" s="1"/>
  <c r="G25" i="105"/>
  <c r="G27" i="105" s="1"/>
  <c r="G31" i="105" s="1"/>
  <c r="G183" i="105"/>
  <c r="I8" i="104"/>
  <c r="H8" i="104"/>
  <c r="E25" i="105"/>
  <c r="E183" i="105"/>
  <c r="F13" i="105"/>
  <c r="P29" i="105"/>
  <c r="G22" i="95" s="1"/>
  <c r="O29" i="105"/>
  <c r="G22" i="106" s="1"/>
  <c r="D183" i="105"/>
  <c r="D25" i="105"/>
  <c r="D27" i="105" s="1"/>
  <c r="D31" i="105" s="1"/>
  <c r="E10" i="93"/>
  <c r="E13" i="105"/>
  <c r="E8" i="104"/>
  <c r="P11" i="105"/>
  <c r="C13" i="105"/>
  <c r="O11" i="105"/>
  <c r="G7" i="106" s="1"/>
  <c r="P18" i="105"/>
  <c r="G14" i="95" s="1"/>
  <c r="G102" i="105"/>
  <c r="G106" i="105" s="1"/>
  <c r="E42" i="105"/>
  <c r="F25" i="93"/>
  <c r="S15" i="93" s="1"/>
  <c r="H18" i="105"/>
  <c r="I18" i="105" s="1"/>
  <c r="O41" i="105"/>
  <c r="N8" i="104"/>
  <c r="K13" i="92"/>
  <c r="K105" i="92"/>
  <c r="K109" i="92" s="1"/>
  <c r="O12" i="92"/>
  <c r="R10" i="88"/>
  <c r="I217" i="88"/>
  <c r="I219" i="88" s="1"/>
  <c r="I15" i="88" s="1"/>
  <c r="E397" i="88"/>
  <c r="C36" i="106"/>
  <c r="H36" i="106" s="1"/>
  <c r="G32" i="104"/>
  <c r="L383" i="88"/>
  <c r="D113" i="88"/>
  <c r="D406" i="88"/>
  <c r="C12" i="88"/>
  <c r="I16" i="79"/>
  <c r="I77" i="79"/>
  <c r="J6" i="104"/>
  <c r="D17" i="91"/>
  <c r="D20" i="91" s="1"/>
  <c r="N114" i="91"/>
  <c r="E24" i="91"/>
  <c r="E25" i="91" s="1"/>
  <c r="L114" i="91"/>
  <c r="C25" i="91"/>
  <c r="G114" i="91"/>
  <c r="O33" i="91"/>
  <c r="K114" i="91"/>
  <c r="I114" i="91"/>
  <c r="D33" i="93"/>
  <c r="E31" i="104"/>
  <c r="G37" i="91"/>
  <c r="P9" i="91"/>
  <c r="J219" i="91"/>
  <c r="J19" i="91" s="1"/>
  <c r="O23" i="91"/>
  <c r="E18" i="106" s="1"/>
  <c r="F266" i="91"/>
  <c r="G24" i="91"/>
  <c r="G25" i="91" s="1"/>
  <c r="E219" i="91"/>
  <c r="E19" i="91" s="1"/>
  <c r="F31" i="104"/>
  <c r="I266" i="91"/>
  <c r="I264" i="91"/>
  <c r="T6" i="104"/>
  <c r="H266" i="91"/>
  <c r="O41" i="91"/>
  <c r="O43" i="91" s="1"/>
  <c r="E39" i="106" s="1"/>
  <c r="J24" i="91"/>
  <c r="J25" i="91" s="1"/>
  <c r="E44" i="106"/>
  <c r="D25" i="91"/>
  <c r="E6" i="104"/>
  <c r="F17" i="91"/>
  <c r="F261" i="91"/>
  <c r="H17" i="91"/>
  <c r="H261" i="91"/>
  <c r="I262" i="91"/>
  <c r="I18" i="91"/>
  <c r="G45" i="104"/>
  <c r="F38" i="91"/>
  <c r="I25" i="91"/>
  <c r="F219" i="91"/>
  <c r="F19" i="91" s="1"/>
  <c r="C272" i="91"/>
  <c r="O27" i="91"/>
  <c r="E22" i="106" s="1"/>
  <c r="C17" i="91"/>
  <c r="H219" i="91"/>
  <c r="H19" i="91" s="1"/>
  <c r="I219" i="91"/>
  <c r="I263" i="91" s="1"/>
  <c r="D25" i="93"/>
  <c r="Q15" i="93" s="1"/>
  <c r="G219" i="91"/>
  <c r="G263" i="91" s="1"/>
  <c r="E18" i="91"/>
  <c r="E262" i="91"/>
  <c r="J262" i="91"/>
  <c r="J18" i="91"/>
  <c r="I38" i="91"/>
  <c r="J45" i="104"/>
  <c r="H38" i="91"/>
  <c r="I45" i="104"/>
  <c r="G14" i="91"/>
  <c r="O13" i="91"/>
  <c r="E8" i="106" s="1"/>
  <c r="J38" i="91"/>
  <c r="K45" i="104"/>
  <c r="H262" i="91"/>
  <c r="H18" i="91"/>
  <c r="O32" i="91"/>
  <c r="H34" i="91"/>
  <c r="K6" i="104"/>
  <c r="G18" i="91"/>
  <c r="G262" i="91"/>
  <c r="F25" i="91"/>
  <c r="E17" i="91"/>
  <c r="E261" i="91"/>
  <c r="G17" i="91"/>
  <c r="G261" i="91"/>
  <c r="J17" i="91"/>
  <c r="J261" i="91"/>
  <c r="I6" i="104"/>
  <c r="H43" i="91"/>
  <c r="I46" i="126" s="1"/>
  <c r="C12" i="91"/>
  <c r="E38" i="91"/>
  <c r="L31" i="104"/>
  <c r="G6" i="104"/>
  <c r="I261" i="91"/>
  <c r="G268" i="90"/>
  <c r="K41" i="90"/>
  <c r="J99" i="90"/>
  <c r="J103" i="90" s="1"/>
  <c r="G25" i="90"/>
  <c r="G26" i="90" s="1"/>
  <c r="K99" i="90"/>
  <c r="K103" i="90" s="1"/>
  <c r="I223" i="90"/>
  <c r="I18" i="90" s="1"/>
  <c r="G223" i="90"/>
  <c r="G18" i="90" s="1"/>
  <c r="E223" i="90"/>
  <c r="E265" i="90" s="1"/>
  <c r="F266" i="90"/>
  <c r="C267" i="90"/>
  <c r="L99" i="90"/>
  <c r="L103" i="90" s="1"/>
  <c r="H266" i="90"/>
  <c r="E48" i="90"/>
  <c r="O24" i="90"/>
  <c r="D18" i="106" s="1"/>
  <c r="N99" i="90"/>
  <c r="N103" i="90" s="1"/>
  <c r="G41" i="90"/>
  <c r="H29" i="104"/>
  <c r="C265" i="90"/>
  <c r="C18" i="90"/>
  <c r="I263" i="90"/>
  <c r="I29" i="104"/>
  <c r="H41" i="90"/>
  <c r="F99" i="90"/>
  <c r="F103" i="90" s="1"/>
  <c r="I35" i="90"/>
  <c r="I26" i="90"/>
  <c r="I30" i="90" s="1"/>
  <c r="G99" i="90"/>
  <c r="G103" i="90" s="1"/>
  <c r="C99" i="90"/>
  <c r="C103" i="90" s="1"/>
  <c r="E26" i="90"/>
  <c r="E30" i="90" s="1"/>
  <c r="O46" i="90"/>
  <c r="I268" i="90"/>
  <c r="J223" i="90"/>
  <c r="J265" i="90" s="1"/>
  <c r="F268" i="90"/>
  <c r="F223" i="90"/>
  <c r="F18" i="90" s="1"/>
  <c r="D17" i="90"/>
  <c r="D18" i="90"/>
  <c r="D265" i="90"/>
  <c r="C17" i="90"/>
  <c r="C264" i="90"/>
  <c r="C25" i="90"/>
  <c r="C266" i="90"/>
  <c r="I264" i="90"/>
  <c r="I17" i="90"/>
  <c r="C41" i="90"/>
  <c r="D29" i="104"/>
  <c r="E17" i="90"/>
  <c r="E264" i="90"/>
  <c r="G17" i="90"/>
  <c r="G264" i="90"/>
  <c r="J21" i="93"/>
  <c r="N41" i="90"/>
  <c r="D13" i="90"/>
  <c r="D48" i="90"/>
  <c r="O47" i="90"/>
  <c r="C13" i="90"/>
  <c r="H30" i="93"/>
  <c r="O53" i="90"/>
  <c r="O54" i="90" s="1"/>
  <c r="D39" i="106" s="1"/>
  <c r="O45" i="90"/>
  <c r="D267" i="90"/>
  <c r="F26" i="90"/>
  <c r="F30" i="90" s="1"/>
  <c r="D10" i="93"/>
  <c r="D99" i="90"/>
  <c r="D103" i="90" s="1"/>
  <c r="C263" i="90"/>
  <c r="C16" i="90"/>
  <c r="H263" i="90"/>
  <c r="J41" i="90"/>
  <c r="K29" i="104"/>
  <c r="J17" i="90"/>
  <c r="J264" i="90"/>
  <c r="F263" i="90"/>
  <c r="F16" i="90"/>
  <c r="C48" i="90"/>
  <c r="D43" i="104"/>
  <c r="H264" i="90"/>
  <c r="H17" i="90"/>
  <c r="F13" i="90"/>
  <c r="O12" i="90"/>
  <c r="F264" i="90"/>
  <c r="F17" i="90"/>
  <c r="F41" i="90"/>
  <c r="G29" i="104"/>
  <c r="G16" i="90"/>
  <c r="G263" i="90"/>
  <c r="D25" i="90"/>
  <c r="D26" i="90" s="1"/>
  <c r="D30" i="90" s="1"/>
  <c r="D266" i="90"/>
  <c r="I5" i="104"/>
  <c r="E263" i="90"/>
  <c r="E16" i="90"/>
  <c r="G13" i="90"/>
  <c r="J26" i="90"/>
  <c r="J30" i="90" s="1"/>
  <c r="D11" i="93"/>
  <c r="D41" i="90"/>
  <c r="I21" i="93"/>
  <c r="J266" i="90"/>
  <c r="G30" i="93"/>
  <c r="F267" i="90"/>
  <c r="E41" i="90"/>
  <c r="I25" i="93"/>
  <c r="H21" i="93"/>
  <c r="U13" i="93" s="1"/>
  <c r="AF11" i="93" s="1"/>
  <c r="F30" i="93"/>
  <c r="O36" i="90"/>
  <c r="D28" i="106" s="1"/>
  <c r="H25" i="93"/>
  <c r="U15" i="93" s="1"/>
  <c r="D44" i="95"/>
  <c r="C47" i="93"/>
  <c r="L47" i="93" s="1"/>
  <c r="C43" i="94" s="1"/>
  <c r="K128" i="88"/>
  <c r="P53" i="88"/>
  <c r="O53" i="88"/>
  <c r="C25" i="93"/>
  <c r="C33" i="93"/>
  <c r="P55" i="88"/>
  <c r="O55" i="88"/>
  <c r="L39" i="93"/>
  <c r="P48" i="88"/>
  <c r="O48" i="88"/>
  <c r="D31" i="93"/>
  <c r="O38" i="88"/>
  <c r="C29" i="106" s="1"/>
  <c r="H29" i="106" s="1"/>
  <c r="P38" i="88"/>
  <c r="C29" i="95" s="1"/>
  <c r="H29" i="95" s="1"/>
  <c r="D32" i="104"/>
  <c r="P35" i="88"/>
  <c r="O35" i="88"/>
  <c r="D42" i="104"/>
  <c r="P46" i="88"/>
  <c r="O46" i="88"/>
  <c r="O37" i="88"/>
  <c r="P37" i="88"/>
  <c r="P45" i="88"/>
  <c r="O45" i="88"/>
  <c r="I40" i="104"/>
  <c r="O56" i="88"/>
  <c r="P56" i="88"/>
  <c r="C26" i="94"/>
  <c r="P36" i="88"/>
  <c r="O36" i="88"/>
  <c r="O10" i="88"/>
  <c r="C7" i="106" s="1"/>
  <c r="P10" i="88"/>
  <c r="C7" i="95" s="1"/>
  <c r="I313" i="88"/>
  <c r="I17" i="88" s="1"/>
  <c r="C11" i="93"/>
  <c r="H38" i="93"/>
  <c r="F113" i="88"/>
  <c r="K264" i="88"/>
  <c r="F41" i="104"/>
  <c r="H49" i="88"/>
  <c r="H32" i="104"/>
  <c r="K390" i="88"/>
  <c r="K44" i="88"/>
  <c r="J132" i="88"/>
  <c r="K406" i="88"/>
  <c r="K54" i="88"/>
  <c r="K382" i="88"/>
  <c r="K22" i="88" s="1"/>
  <c r="J28" i="104"/>
  <c r="F32" i="104"/>
  <c r="D40" i="104"/>
  <c r="H40" i="88"/>
  <c r="K313" i="88"/>
  <c r="K17" i="88" s="1"/>
  <c r="H217" i="88"/>
  <c r="H219" i="88" s="1"/>
  <c r="H15" i="88" s="1"/>
  <c r="K217" i="88"/>
  <c r="K219" i="88" s="1"/>
  <c r="K15" i="88" s="1"/>
  <c r="O12" i="104"/>
  <c r="C264" i="88"/>
  <c r="C16" i="88" s="1"/>
  <c r="G382" i="88"/>
  <c r="G22" i="88" s="1"/>
  <c r="C31" i="94"/>
  <c r="F397" i="88"/>
  <c r="J382" i="88"/>
  <c r="G313" i="88"/>
  <c r="G17" i="88" s="1"/>
  <c r="D219" i="88"/>
  <c r="D15" i="88" s="1"/>
  <c r="D30" i="93"/>
  <c r="E28" i="104"/>
  <c r="H39" i="104"/>
  <c r="J39" i="104"/>
  <c r="E382" i="88"/>
  <c r="E22" i="88" s="1"/>
  <c r="H313" i="88"/>
  <c r="H17" i="88" s="1"/>
  <c r="I382" i="88"/>
  <c r="I41" i="104"/>
  <c r="G32" i="93"/>
  <c r="E58" i="88"/>
  <c r="E42" i="93" s="1"/>
  <c r="C58" i="88"/>
  <c r="C25" i="94"/>
  <c r="J32" i="104"/>
  <c r="J44" i="88"/>
  <c r="F38" i="93"/>
  <c r="F217" i="88"/>
  <c r="F219" i="88" s="1"/>
  <c r="F15" i="88" s="1"/>
  <c r="J11" i="93"/>
  <c r="J12" i="93" s="1"/>
  <c r="J12" i="88"/>
  <c r="I11" i="93"/>
  <c r="I12" i="93" s="1"/>
  <c r="I12" i="88"/>
  <c r="L27" i="88"/>
  <c r="L60" i="88" s="1"/>
  <c r="I38" i="93"/>
  <c r="H58" i="88"/>
  <c r="J31" i="88"/>
  <c r="I32" i="93"/>
  <c r="F313" i="88"/>
  <c r="F17" i="88" s="1"/>
  <c r="J58" i="88"/>
  <c r="H382" i="88"/>
  <c r="H22" i="88" s="1"/>
  <c r="F41" i="88"/>
  <c r="C38" i="93"/>
  <c r="G40" i="104"/>
  <c r="F382" i="88"/>
  <c r="D264" i="88"/>
  <c r="D16" i="88" s="1"/>
  <c r="I39" i="104"/>
  <c r="D382" i="88"/>
  <c r="D22" i="88" s="1"/>
  <c r="D313" i="88"/>
  <c r="J32" i="93"/>
  <c r="J41" i="104"/>
  <c r="G217" i="88"/>
  <c r="G219" i="88" s="1"/>
  <c r="G15" i="88" s="1"/>
  <c r="C217" i="88"/>
  <c r="C219" i="88" s="1"/>
  <c r="C15" i="88" s="1"/>
  <c r="F32" i="93"/>
  <c r="I132" i="88"/>
  <c r="G28" i="104"/>
  <c r="K41" i="104"/>
  <c r="E313" i="88"/>
  <c r="E17" i="88" s="1"/>
  <c r="C382" i="88"/>
  <c r="C22" i="88" s="1"/>
  <c r="F40" i="104"/>
  <c r="G39" i="104"/>
  <c r="F49" i="88"/>
  <c r="C34" i="94"/>
  <c r="J40" i="104"/>
  <c r="I49" i="88"/>
  <c r="D58" i="88"/>
  <c r="D42" i="93" s="1"/>
  <c r="E42" i="104"/>
  <c r="C49" i="88"/>
  <c r="C37" i="93"/>
  <c r="D39" i="104"/>
  <c r="D37" i="93"/>
  <c r="E39" i="104"/>
  <c r="E49" i="88"/>
  <c r="I397" i="88"/>
  <c r="C36" i="95"/>
  <c r="H36" i="95" s="1"/>
  <c r="I41" i="88"/>
  <c r="K32" i="104"/>
  <c r="F39" i="104"/>
  <c r="D41" i="104"/>
  <c r="H32" i="93"/>
  <c r="F28" i="104"/>
  <c r="I32" i="104"/>
  <c r="I58" i="88"/>
  <c r="E41" i="88"/>
  <c r="J313" i="88"/>
  <c r="J17" i="88" s="1"/>
  <c r="H28" i="104"/>
  <c r="E33" i="104"/>
  <c r="D41" i="88"/>
  <c r="D11" i="11"/>
  <c r="C32" i="88"/>
  <c r="I57" i="79"/>
  <c r="D81" i="11"/>
  <c r="D103" i="11" s="1"/>
  <c r="D107" i="11" s="1"/>
  <c r="I47" i="79"/>
  <c r="I29" i="79"/>
  <c r="I85" i="79"/>
  <c r="I36" i="79"/>
  <c r="I97" i="79"/>
  <c r="J38" i="93" l="1"/>
  <c r="O194" i="105"/>
  <c r="O196" i="105" s="1"/>
  <c r="E33" i="120"/>
  <c r="E33" i="126"/>
  <c r="E37" i="126" s="1"/>
  <c r="D128" i="88"/>
  <c r="D132" i="88" s="1"/>
  <c r="K40" i="104"/>
  <c r="M29" i="104"/>
  <c r="M37" i="104" s="1"/>
  <c r="O26" i="105"/>
  <c r="G19" i="106" s="1"/>
  <c r="M29" i="120"/>
  <c r="M37" i="120" s="1"/>
  <c r="G194" i="92"/>
  <c r="G197" i="92" s="1"/>
  <c r="G199" i="92" s="1"/>
  <c r="L41" i="90"/>
  <c r="C189" i="105"/>
  <c r="C192" i="105" s="1"/>
  <c r="C194" i="105" s="1"/>
  <c r="C196" i="105" s="1"/>
  <c r="D66" i="105" s="1"/>
  <c r="M189" i="105"/>
  <c r="M192" i="105" s="1"/>
  <c r="M194" i="105" s="1"/>
  <c r="E40" i="104"/>
  <c r="F58" i="88"/>
  <c r="F42" i="93" s="1"/>
  <c r="D38" i="93"/>
  <c r="D189" i="105"/>
  <c r="D192" i="105" s="1"/>
  <c r="D194" i="105" s="1"/>
  <c r="O57" i="88"/>
  <c r="E40" i="120"/>
  <c r="E48" i="120" s="1"/>
  <c r="K40" i="120"/>
  <c r="O19" i="38"/>
  <c r="P19" i="38" s="1"/>
  <c r="E40" i="126"/>
  <c r="E49" i="126" s="1"/>
  <c r="M13" i="97"/>
  <c r="G13" i="97" s="1"/>
  <c r="J13" i="97" s="1"/>
  <c r="O15" i="120"/>
  <c r="O23" i="120" s="1"/>
  <c r="O54" i="120" s="1"/>
  <c r="H189" i="105"/>
  <c r="H192" i="105" s="1"/>
  <c r="H194" i="105" s="1"/>
  <c r="L189" i="105"/>
  <c r="L192" i="105" s="1"/>
  <c r="L194" i="105" s="1"/>
  <c r="H37" i="93"/>
  <c r="F6" i="104"/>
  <c r="N189" i="105"/>
  <c r="N192" i="105" s="1"/>
  <c r="N194" i="105" s="1"/>
  <c r="D22" i="11"/>
  <c r="D32" i="11" s="1"/>
  <c r="M8" i="97"/>
  <c r="G8" i="97" s="1"/>
  <c r="J8" i="97" s="1"/>
  <c r="E15" i="104"/>
  <c r="E23" i="104" s="1"/>
  <c r="E54" i="104" s="1"/>
  <c r="M26" i="97"/>
  <c r="G26" i="97" s="1"/>
  <c r="M21" i="97"/>
  <c r="G21" i="97" s="1"/>
  <c r="C21" i="93"/>
  <c r="P13" i="93" s="1"/>
  <c r="AA11" i="93" s="1"/>
  <c r="M10" i="97"/>
  <c r="G10" i="97" s="1"/>
  <c r="J10" i="97" s="1"/>
  <c r="C22" i="11"/>
  <c r="C32" i="11" s="1"/>
  <c r="C34" i="11" s="1"/>
  <c r="M12" i="97"/>
  <c r="G12" i="97" s="1"/>
  <c r="J12" i="97" s="1"/>
  <c r="E194" i="92"/>
  <c r="E197" i="92" s="1"/>
  <c r="E199" i="92" s="1"/>
  <c r="T14" i="97"/>
  <c r="H14" i="97" s="1"/>
  <c r="J15" i="87"/>
  <c r="T19" i="97"/>
  <c r="H19" i="97" s="1"/>
  <c r="O199" i="92"/>
  <c r="O201" i="92" s="1"/>
  <c r="G41" i="126"/>
  <c r="G49" i="126" s="1"/>
  <c r="T11" i="97"/>
  <c r="H11" i="97" s="1"/>
  <c r="M17" i="97"/>
  <c r="G17" i="97" s="1"/>
  <c r="J17" i="97" s="1"/>
  <c r="T22" i="97"/>
  <c r="H22" i="97" s="1"/>
  <c r="C339" i="11"/>
  <c r="C341" i="11" s="1"/>
  <c r="P42" i="105"/>
  <c r="D22" i="92"/>
  <c r="D33" i="92" s="1"/>
  <c r="D49" i="92" s="1"/>
  <c r="D54" i="93" s="1"/>
  <c r="H194" i="92"/>
  <c r="H197" i="92" s="1"/>
  <c r="H199" i="92" s="1"/>
  <c r="E339" i="11"/>
  <c r="E341" i="11" s="1"/>
  <c r="G48" i="90"/>
  <c r="F6" i="120"/>
  <c r="G41" i="104"/>
  <c r="G41" i="120"/>
  <c r="I101" i="50"/>
  <c r="I103" i="50" s="1"/>
  <c r="E15" i="120"/>
  <c r="E23" i="120" s="1"/>
  <c r="E54" i="120" s="1"/>
  <c r="G37" i="93"/>
  <c r="G40" i="93" s="1"/>
  <c r="T24" i="97"/>
  <c r="H24" i="97" s="1"/>
  <c r="M25" i="97"/>
  <c r="G25" i="97" s="1"/>
  <c r="M5" i="97"/>
  <c r="G5" i="97" s="1"/>
  <c r="J5" i="97" s="1"/>
  <c r="D339" i="11"/>
  <c r="D341" i="11" s="1"/>
  <c r="C194" i="92"/>
  <c r="C197" i="92" s="1"/>
  <c r="C199" i="92" s="1"/>
  <c r="C201" i="92" s="1"/>
  <c r="N30" i="90"/>
  <c r="T20" i="97"/>
  <c r="H20" i="97" s="1"/>
  <c r="M9" i="97"/>
  <c r="G9" i="97" s="1"/>
  <c r="J9" i="97" s="1"/>
  <c r="O26" i="92"/>
  <c r="F19" i="106" s="1"/>
  <c r="F20" i="106" s="1"/>
  <c r="T16" i="97"/>
  <c r="H16" i="97" s="1"/>
  <c r="D194" i="92"/>
  <c r="D197" i="92" s="1"/>
  <c r="D199" i="92" s="1"/>
  <c r="I194" i="92"/>
  <c r="I197" i="92" s="1"/>
  <c r="I199" i="92" s="1"/>
  <c r="K8" i="120"/>
  <c r="K8" i="126"/>
  <c r="I33" i="124" s="1"/>
  <c r="G189" i="105"/>
  <c r="G192" i="105" s="1"/>
  <c r="G194" i="105" s="1"/>
  <c r="O36" i="105"/>
  <c r="O38" i="105" s="1"/>
  <c r="G30" i="106" s="1"/>
  <c r="G31" i="106" s="1"/>
  <c r="J42" i="93"/>
  <c r="H44" i="106"/>
  <c r="L8" i="120"/>
  <c r="L8" i="126"/>
  <c r="J33" i="124" s="1"/>
  <c r="M23" i="97"/>
  <c r="G23" i="97" s="1"/>
  <c r="E22" i="11"/>
  <c r="E32" i="11" s="1"/>
  <c r="I111" i="79"/>
  <c r="I112" i="79" s="1"/>
  <c r="O12" i="105"/>
  <c r="G8" i="106" s="1"/>
  <c r="G9" i="106" s="1"/>
  <c r="P12" i="105"/>
  <c r="G8" i="95" s="1"/>
  <c r="H43" i="104"/>
  <c r="O35" i="90"/>
  <c r="O41" i="90" s="1"/>
  <c r="C125" i="64"/>
  <c r="O36" i="126"/>
  <c r="O37" i="126" s="1"/>
  <c r="O36" i="120"/>
  <c r="O37" i="120" s="1"/>
  <c r="O36" i="104"/>
  <c r="O37" i="104" s="1"/>
  <c r="N38" i="105"/>
  <c r="G112" i="79"/>
  <c r="D10" i="11"/>
  <c r="D16" i="11" s="1"/>
  <c r="D8" i="126"/>
  <c r="B33" i="124" s="1"/>
  <c r="D8" i="120"/>
  <c r="G8" i="126"/>
  <c r="E33" i="124" s="1"/>
  <c r="G8" i="120"/>
  <c r="N36" i="126"/>
  <c r="N36" i="120"/>
  <c r="N37" i="120" s="1"/>
  <c r="N36" i="104"/>
  <c r="M38" i="105"/>
  <c r="M194" i="92"/>
  <c r="M197" i="92" s="1"/>
  <c r="M199" i="92" s="1"/>
  <c r="J189" i="105"/>
  <c r="J192" i="105" s="1"/>
  <c r="J194" i="105" s="1"/>
  <c r="S27" i="97"/>
  <c r="M4" i="97"/>
  <c r="T4" i="97"/>
  <c r="H4" i="97" s="1"/>
  <c r="F8" i="126"/>
  <c r="D33" i="124" s="1"/>
  <c r="F8" i="120"/>
  <c r="E16" i="120"/>
  <c r="E24" i="120" s="1"/>
  <c r="E55" i="120" s="1"/>
  <c r="F21" i="93"/>
  <c r="S13" i="93" s="1"/>
  <c r="AD11" i="93" s="1"/>
  <c r="N15" i="104"/>
  <c r="N23" i="104" s="1"/>
  <c r="N54" i="104" s="1"/>
  <c r="L15" i="120"/>
  <c r="L15" i="104"/>
  <c r="K194" i="92"/>
  <c r="K197" i="92" s="1"/>
  <c r="K199" i="92" s="1"/>
  <c r="M33" i="92"/>
  <c r="C42" i="93"/>
  <c r="O47" i="126"/>
  <c r="N47" i="92"/>
  <c r="N194" i="92"/>
  <c r="N197" i="92" s="1"/>
  <c r="N199" i="92" s="1"/>
  <c r="O15" i="104"/>
  <c r="O23" i="104" s="1"/>
  <c r="O54" i="104" s="1"/>
  <c r="O15" i="126"/>
  <c r="O23" i="126" s="1"/>
  <c r="N22" i="92"/>
  <c r="N33" i="92" s="1"/>
  <c r="O14" i="104"/>
  <c r="O22" i="104" s="1"/>
  <c r="O53" i="104" s="1"/>
  <c r="N29" i="91"/>
  <c r="N45" i="91" s="1"/>
  <c r="O14" i="120"/>
  <c r="O22" i="120" s="1"/>
  <c r="O53" i="120" s="1"/>
  <c r="O43" i="126"/>
  <c r="P43" i="126" s="1"/>
  <c r="O43" i="120"/>
  <c r="O48" i="120" s="1"/>
  <c r="O43" i="104"/>
  <c r="O48" i="104" s="1"/>
  <c r="N48" i="90"/>
  <c r="N265" i="90"/>
  <c r="N269" i="90" s="1"/>
  <c r="N272" i="90" s="1"/>
  <c r="N274" i="90" s="1"/>
  <c r="N18" i="90"/>
  <c r="N19" i="90" s="1"/>
  <c r="J15" i="126"/>
  <c r="J23" i="126" s="1"/>
  <c r="J55" i="126" s="1"/>
  <c r="J15" i="120"/>
  <c r="J23" i="120" s="1"/>
  <c r="J54" i="120" s="1"/>
  <c r="I22" i="92"/>
  <c r="I33" i="92" s="1"/>
  <c r="I49" i="92" s="1"/>
  <c r="N47" i="126"/>
  <c r="M47" i="92"/>
  <c r="N15" i="126"/>
  <c r="N23" i="126" s="1"/>
  <c r="N48" i="126"/>
  <c r="M42" i="92"/>
  <c r="N15" i="120"/>
  <c r="N23" i="120" s="1"/>
  <c r="N54" i="120" s="1"/>
  <c r="N272" i="91"/>
  <c r="N14" i="120"/>
  <c r="N22" i="120" s="1"/>
  <c r="N53" i="120" s="1"/>
  <c r="M272" i="91"/>
  <c r="T9" i="104"/>
  <c r="N29" i="104"/>
  <c r="K19" i="90"/>
  <c r="L13" i="126" s="1"/>
  <c r="L21" i="126" s="1"/>
  <c r="L53" i="126" s="1"/>
  <c r="J49" i="126"/>
  <c r="I49" i="126"/>
  <c r="D49" i="126"/>
  <c r="F49" i="126"/>
  <c r="M29" i="91"/>
  <c r="M45" i="91" s="1"/>
  <c r="M30" i="90"/>
  <c r="G21" i="93"/>
  <c r="T13" i="93" s="1"/>
  <c r="AE11" i="93" s="1"/>
  <c r="H16" i="126"/>
  <c r="H24" i="126" s="1"/>
  <c r="H56" i="126" s="1"/>
  <c r="D16" i="126"/>
  <c r="I189" i="105"/>
  <c r="I192" i="105" s="1"/>
  <c r="I194" i="105" s="1"/>
  <c r="N14" i="104"/>
  <c r="N22" i="104" s="1"/>
  <c r="N53" i="104" s="1"/>
  <c r="N29" i="126"/>
  <c r="M41" i="90"/>
  <c r="G33" i="124"/>
  <c r="O42" i="92"/>
  <c r="L194" i="92"/>
  <c r="L197" i="92" s="1"/>
  <c r="L199" i="92" s="1"/>
  <c r="J194" i="92"/>
  <c r="J197" i="92" s="1"/>
  <c r="J199" i="92" s="1"/>
  <c r="I42" i="93"/>
  <c r="F9" i="95"/>
  <c r="M32" i="124"/>
  <c r="M14" i="104"/>
  <c r="P34" i="91"/>
  <c r="E30" i="95" s="1"/>
  <c r="E31" i="95" s="1"/>
  <c r="J16" i="90"/>
  <c r="P16" i="90" s="1"/>
  <c r="J263" i="90"/>
  <c r="J269" i="90" s="1"/>
  <c r="J272" i="90" s="1"/>
  <c r="J274" i="90" s="1"/>
  <c r="M265" i="90"/>
  <c r="M269" i="90" s="1"/>
  <c r="M272" i="90" s="1"/>
  <c r="M274" i="90" s="1"/>
  <c r="M18" i="90"/>
  <c r="M19" i="90" s="1"/>
  <c r="N13" i="126" s="1"/>
  <c r="N21" i="126" s="1"/>
  <c r="L19" i="90"/>
  <c r="L21" i="90" s="1"/>
  <c r="N43" i="120"/>
  <c r="N48" i="120" s="1"/>
  <c r="N43" i="104"/>
  <c r="N48" i="104" s="1"/>
  <c r="M48" i="90"/>
  <c r="P44" i="126"/>
  <c r="M30" i="124"/>
  <c r="L30" i="124"/>
  <c r="L34" i="124" s="1"/>
  <c r="M22" i="88"/>
  <c r="M23" i="88" s="1"/>
  <c r="K132" i="88"/>
  <c r="H132" i="88"/>
  <c r="M219" i="88"/>
  <c r="O21" i="88"/>
  <c r="C18" i="106" s="1"/>
  <c r="K12" i="88"/>
  <c r="L4" i="104" s="1"/>
  <c r="K11" i="93"/>
  <c r="K12" i="93" s="1"/>
  <c r="G12" i="88"/>
  <c r="G11" i="93"/>
  <c r="G12" i="93" s="1"/>
  <c r="H12" i="88"/>
  <c r="I4" i="126" s="1"/>
  <c r="G29" i="124" s="1"/>
  <c r="H11" i="93"/>
  <c r="H12" i="93" s="1"/>
  <c r="L31" i="93"/>
  <c r="C24" i="94" s="1"/>
  <c r="L29" i="91"/>
  <c r="L45" i="91" s="1"/>
  <c r="M20" i="104"/>
  <c r="M51" i="104" s="1"/>
  <c r="M6" i="126"/>
  <c r="K31" i="124" s="1"/>
  <c r="M6" i="104"/>
  <c r="P39" i="88"/>
  <c r="H41" i="88"/>
  <c r="I35" i="126"/>
  <c r="P35" i="126" s="1"/>
  <c r="L269" i="90"/>
  <c r="L272" i="90" s="1"/>
  <c r="L274" i="90" s="1"/>
  <c r="F15" i="126"/>
  <c r="F23" i="126" s="1"/>
  <c r="F55" i="126" s="1"/>
  <c r="F15" i="120"/>
  <c r="F23" i="120" s="1"/>
  <c r="F54" i="120" s="1"/>
  <c r="E22" i="92"/>
  <c r="E33" i="92" s="1"/>
  <c r="E49" i="92" s="1"/>
  <c r="E54" i="93" s="1"/>
  <c r="F15" i="104"/>
  <c r="F23" i="104" s="1"/>
  <c r="F54" i="104" s="1"/>
  <c r="M47" i="126"/>
  <c r="L47" i="92"/>
  <c r="O46" i="92"/>
  <c r="O47" i="92" s="1"/>
  <c r="F39" i="106" s="1"/>
  <c r="F41" i="106" s="1"/>
  <c r="F34" i="95"/>
  <c r="F37" i="95" s="1"/>
  <c r="F41" i="95" s="1"/>
  <c r="J15" i="104"/>
  <c r="J23" i="104" s="1"/>
  <c r="J54" i="104" s="1"/>
  <c r="K189" i="105"/>
  <c r="K192" i="105" s="1"/>
  <c r="K194" i="105" s="1"/>
  <c r="H19" i="105"/>
  <c r="I16" i="126" s="1"/>
  <c r="I24" i="126" s="1"/>
  <c r="I56" i="126" s="1"/>
  <c r="G16" i="126"/>
  <c r="E16" i="126"/>
  <c r="E24" i="126" s="1"/>
  <c r="E56" i="126" s="1"/>
  <c r="G41" i="95"/>
  <c r="I23" i="126"/>
  <c r="I55" i="126" s="1"/>
  <c r="L33" i="92"/>
  <c r="I15" i="104"/>
  <c r="I23" i="104" s="1"/>
  <c r="I54" i="104" s="1"/>
  <c r="M15" i="120"/>
  <c r="M23" i="120" s="1"/>
  <c r="M54" i="120" s="1"/>
  <c r="M15" i="126"/>
  <c r="H22" i="92"/>
  <c r="H33" i="92" s="1"/>
  <c r="H49" i="92" s="1"/>
  <c r="H54" i="93" s="1"/>
  <c r="M15" i="104"/>
  <c r="M23" i="104" s="1"/>
  <c r="M54" i="104" s="1"/>
  <c r="I15" i="120"/>
  <c r="I23" i="120" s="1"/>
  <c r="I54" i="120" s="1"/>
  <c r="F194" i="92"/>
  <c r="F197" i="92" s="1"/>
  <c r="F199" i="92" s="1"/>
  <c r="H23" i="126"/>
  <c r="H55" i="126" s="1"/>
  <c r="D15" i="126"/>
  <c r="G23" i="126"/>
  <c r="G55" i="126" s="1"/>
  <c r="K23" i="126"/>
  <c r="K55" i="126" s="1"/>
  <c r="D7" i="126"/>
  <c r="B32" i="124" s="1"/>
  <c r="D7" i="120"/>
  <c r="D7" i="104"/>
  <c r="P13" i="92"/>
  <c r="L7" i="126"/>
  <c r="L7" i="120"/>
  <c r="E23" i="126"/>
  <c r="E55" i="126" s="1"/>
  <c r="L30" i="90"/>
  <c r="L272" i="91"/>
  <c r="M14" i="120"/>
  <c r="M22" i="120" s="1"/>
  <c r="M53" i="120" s="1"/>
  <c r="M43" i="120"/>
  <c r="M48" i="120" s="1"/>
  <c r="L48" i="90"/>
  <c r="M43" i="104"/>
  <c r="M48" i="104" s="1"/>
  <c r="M37" i="126"/>
  <c r="H44" i="95"/>
  <c r="T9" i="120"/>
  <c r="N22" i="126"/>
  <c r="N54" i="126" s="1"/>
  <c r="F263" i="91"/>
  <c r="F267" i="91" s="1"/>
  <c r="F270" i="91" s="1"/>
  <c r="F272" i="91" s="1"/>
  <c r="C10" i="93"/>
  <c r="C12" i="93" s="1"/>
  <c r="O12" i="91"/>
  <c r="P12" i="91"/>
  <c r="E14" i="120"/>
  <c r="E22" i="120" s="1"/>
  <c r="E53" i="120" s="1"/>
  <c r="E14" i="126"/>
  <c r="E22" i="126" s="1"/>
  <c r="E54" i="126" s="1"/>
  <c r="K272" i="91"/>
  <c r="T9" i="126"/>
  <c r="P46" i="126"/>
  <c r="L22" i="126"/>
  <c r="L54" i="126" s="1"/>
  <c r="P18" i="91"/>
  <c r="E13" i="95" s="1"/>
  <c r="O22" i="126"/>
  <c r="O54" i="126" s="1"/>
  <c r="P37" i="91"/>
  <c r="E34" i="95" s="1"/>
  <c r="H45" i="126"/>
  <c r="P45" i="126" s="1"/>
  <c r="I31" i="104"/>
  <c r="I31" i="126"/>
  <c r="I31" i="120"/>
  <c r="L14" i="104"/>
  <c r="L22" i="104" s="1"/>
  <c r="L53" i="104" s="1"/>
  <c r="H6" i="126"/>
  <c r="F31" i="124" s="1"/>
  <c r="H6" i="120"/>
  <c r="H31" i="104"/>
  <c r="H31" i="126"/>
  <c r="H31" i="120"/>
  <c r="H43" i="120"/>
  <c r="G30" i="90"/>
  <c r="L37" i="126"/>
  <c r="O9" i="104"/>
  <c r="J43" i="120"/>
  <c r="J48" i="120" s="1"/>
  <c r="K269" i="90"/>
  <c r="K272" i="90" s="1"/>
  <c r="K274" i="90" s="1"/>
  <c r="J43" i="104"/>
  <c r="J48" i="104" s="1"/>
  <c r="I265" i="90"/>
  <c r="I269" i="90" s="1"/>
  <c r="I272" i="90" s="1"/>
  <c r="I274" i="90" s="1"/>
  <c r="O28" i="90"/>
  <c r="D22" i="106" s="1"/>
  <c r="K34" i="93"/>
  <c r="H18" i="90"/>
  <c r="H17" i="93" s="1"/>
  <c r="U12" i="93" s="1"/>
  <c r="F37" i="126"/>
  <c r="G43" i="120"/>
  <c r="E5" i="104"/>
  <c r="E9" i="104" s="1"/>
  <c r="E5" i="126"/>
  <c r="C30" i="124" s="1"/>
  <c r="C34" i="124" s="1"/>
  <c r="E5" i="120"/>
  <c r="E9" i="120" s="1"/>
  <c r="G5" i="126"/>
  <c r="E30" i="124" s="1"/>
  <c r="G5" i="120"/>
  <c r="G22" i="93"/>
  <c r="T14" i="93" s="1"/>
  <c r="AE12" i="93" s="1"/>
  <c r="F265" i="90"/>
  <c r="F269" i="90" s="1"/>
  <c r="F272" i="90" s="1"/>
  <c r="F274" i="90" s="1"/>
  <c r="F52" i="93" s="1"/>
  <c r="D263" i="90"/>
  <c r="D269" i="90" s="1"/>
  <c r="D272" i="90" s="1"/>
  <c r="D274" i="90" s="1"/>
  <c r="D52" i="93" s="1"/>
  <c r="F48" i="90"/>
  <c r="P28" i="90"/>
  <c r="D22" i="95" s="1"/>
  <c r="F37" i="93"/>
  <c r="F40" i="93" s="1"/>
  <c r="G43" i="104"/>
  <c r="H5" i="126"/>
  <c r="F30" i="124" s="1"/>
  <c r="H5" i="120"/>
  <c r="I37" i="93"/>
  <c r="I40" i="93" s="1"/>
  <c r="I48" i="90"/>
  <c r="D5" i="104"/>
  <c r="D5" i="126"/>
  <c r="B30" i="124" s="1"/>
  <c r="D5" i="120"/>
  <c r="J29" i="104"/>
  <c r="J37" i="104" s="1"/>
  <c r="J29" i="126"/>
  <c r="J29" i="120"/>
  <c r="P35" i="90"/>
  <c r="D27" i="95" s="1"/>
  <c r="D31" i="95" s="1"/>
  <c r="L37" i="120"/>
  <c r="G132" i="88"/>
  <c r="L37" i="104"/>
  <c r="N9" i="104"/>
  <c r="P32" i="126"/>
  <c r="G37" i="126"/>
  <c r="E40" i="93"/>
  <c r="G37" i="120"/>
  <c r="K58" i="88"/>
  <c r="K42" i="93" s="1"/>
  <c r="L41" i="126"/>
  <c r="L41" i="120"/>
  <c r="F22" i="88"/>
  <c r="F22" i="93" s="1"/>
  <c r="K4" i="104"/>
  <c r="K9" i="104" s="1"/>
  <c r="K4" i="126"/>
  <c r="I29" i="124" s="1"/>
  <c r="K4" i="120"/>
  <c r="I22" i="88"/>
  <c r="I23" i="88" s="1"/>
  <c r="D28" i="126"/>
  <c r="D28" i="120"/>
  <c r="C41" i="88"/>
  <c r="O31" i="88"/>
  <c r="C27" i="106" s="1"/>
  <c r="E11" i="88"/>
  <c r="E11" i="93" s="1"/>
  <c r="P32" i="120"/>
  <c r="M20" i="120"/>
  <c r="M51" i="120" s="1"/>
  <c r="M9" i="120"/>
  <c r="M20" i="126"/>
  <c r="K37" i="93"/>
  <c r="K40" i="93" s="1"/>
  <c r="L39" i="126"/>
  <c r="L39" i="120"/>
  <c r="H30" i="126"/>
  <c r="H30" i="120"/>
  <c r="H30" i="104"/>
  <c r="G41" i="88"/>
  <c r="K39" i="126"/>
  <c r="K49" i="126" s="1"/>
  <c r="K39" i="120"/>
  <c r="I30" i="104"/>
  <c r="P21" i="88"/>
  <c r="C18" i="95" s="1"/>
  <c r="D4" i="104"/>
  <c r="D4" i="126"/>
  <c r="B29" i="124" s="1"/>
  <c r="D4" i="120"/>
  <c r="I30" i="120"/>
  <c r="P42" i="120"/>
  <c r="N9" i="120"/>
  <c r="N20" i="120"/>
  <c r="N51" i="120" s="1"/>
  <c r="F37" i="120"/>
  <c r="H41" i="126"/>
  <c r="H41" i="120"/>
  <c r="G58" i="88"/>
  <c r="G42" i="93" s="1"/>
  <c r="P42" i="126"/>
  <c r="H40" i="126"/>
  <c r="H40" i="120"/>
  <c r="N9" i="126"/>
  <c r="O9" i="120"/>
  <c r="O20" i="120"/>
  <c r="O51" i="120" s="1"/>
  <c r="P31" i="88"/>
  <c r="C27" i="95" s="1"/>
  <c r="K28" i="126"/>
  <c r="K37" i="126" s="1"/>
  <c r="K28" i="120"/>
  <c r="K37" i="120" s="1"/>
  <c r="D33" i="126"/>
  <c r="P33" i="126" s="1"/>
  <c r="D33" i="120"/>
  <c r="P33" i="120" s="1"/>
  <c r="O32" i="88"/>
  <c r="C28" i="106" s="1"/>
  <c r="P32" i="88"/>
  <c r="C28" i="95" s="1"/>
  <c r="H28" i="95" s="1"/>
  <c r="O20" i="126"/>
  <c r="O9" i="126"/>
  <c r="J4" i="104"/>
  <c r="J9" i="104" s="1"/>
  <c r="J4" i="126"/>
  <c r="H29" i="124" s="1"/>
  <c r="H34" i="124" s="1"/>
  <c r="J4" i="120"/>
  <c r="J9" i="120" s="1"/>
  <c r="J22" i="88"/>
  <c r="J22" i="93" s="1"/>
  <c r="J23" i="93" s="1"/>
  <c r="E37" i="120"/>
  <c r="I383" i="88"/>
  <c r="D17" i="88"/>
  <c r="D17" i="93" s="1"/>
  <c r="Q12" i="93" s="1"/>
  <c r="K16" i="88"/>
  <c r="K16" i="93" s="1"/>
  <c r="D28" i="104"/>
  <c r="H33" i="93"/>
  <c r="H34" i="93" s="1"/>
  <c r="G33" i="93"/>
  <c r="G34" i="93" s="1"/>
  <c r="E189" i="105"/>
  <c r="E192" i="105" s="1"/>
  <c r="E194" i="105" s="1"/>
  <c r="F189" i="105"/>
  <c r="F192" i="105" s="1"/>
  <c r="F194" i="105" s="1"/>
  <c r="G16" i="120"/>
  <c r="G33" i="105"/>
  <c r="G49" i="105" s="1"/>
  <c r="G55" i="93" s="1"/>
  <c r="D16" i="120"/>
  <c r="F16" i="93"/>
  <c r="S11" i="93" s="1"/>
  <c r="H16" i="120"/>
  <c r="H24" i="120" s="1"/>
  <c r="H55" i="120" s="1"/>
  <c r="P17" i="92"/>
  <c r="K15" i="120"/>
  <c r="K23" i="120" s="1"/>
  <c r="K54" i="120" s="1"/>
  <c r="J22" i="92"/>
  <c r="J33" i="92" s="1"/>
  <c r="J49" i="92" s="1"/>
  <c r="K15" i="104"/>
  <c r="K23" i="104" s="1"/>
  <c r="K54" i="104" s="1"/>
  <c r="J16" i="93"/>
  <c r="G15" i="120"/>
  <c r="G23" i="120" s="1"/>
  <c r="G54" i="120" s="1"/>
  <c r="G15" i="104"/>
  <c r="G23" i="104" s="1"/>
  <c r="G54" i="104" s="1"/>
  <c r="F22" i="92"/>
  <c r="F33" i="92" s="1"/>
  <c r="F49" i="92" s="1"/>
  <c r="F54" i="93" s="1"/>
  <c r="H15" i="120"/>
  <c r="H23" i="120" s="1"/>
  <c r="H54" i="120" s="1"/>
  <c r="H15" i="104"/>
  <c r="H23" i="104" s="1"/>
  <c r="H54" i="104" s="1"/>
  <c r="G22" i="92"/>
  <c r="G33" i="92" s="1"/>
  <c r="G49" i="92" s="1"/>
  <c r="G54" i="93" s="1"/>
  <c r="O17" i="92"/>
  <c r="F19" i="95"/>
  <c r="F20" i="95" s="1"/>
  <c r="P27" i="92"/>
  <c r="P31" i="92" s="1"/>
  <c r="D15" i="120"/>
  <c r="D15" i="104"/>
  <c r="C22" i="92"/>
  <c r="C33" i="92" s="1"/>
  <c r="C49" i="92" s="1"/>
  <c r="E22" i="93"/>
  <c r="I46" i="104"/>
  <c r="I46" i="120"/>
  <c r="G38" i="91"/>
  <c r="H45" i="120"/>
  <c r="P45" i="120" s="1"/>
  <c r="L14" i="120"/>
  <c r="L22" i="120" s="1"/>
  <c r="L53" i="120" s="1"/>
  <c r="K29" i="91"/>
  <c r="K45" i="91" s="1"/>
  <c r="E15" i="93"/>
  <c r="G19" i="91"/>
  <c r="G20" i="91" s="1"/>
  <c r="H14" i="126" s="1"/>
  <c r="C20" i="91"/>
  <c r="Q21" i="91" s="1"/>
  <c r="P17" i="91"/>
  <c r="I16" i="93"/>
  <c r="H45" i="104"/>
  <c r="P45" i="104" s="1"/>
  <c r="J263" i="91"/>
  <c r="J267" i="91" s="1"/>
  <c r="J270" i="91" s="1"/>
  <c r="J272" i="91" s="1"/>
  <c r="R21" i="91"/>
  <c r="C276" i="91"/>
  <c r="C50" i="91" s="1"/>
  <c r="D29" i="91"/>
  <c r="D45" i="91" s="1"/>
  <c r="D53" i="93" s="1"/>
  <c r="H46" i="104"/>
  <c r="H46" i="120"/>
  <c r="P24" i="91"/>
  <c r="P25" i="91" s="1"/>
  <c r="E18" i="90"/>
  <c r="E17" i="93" s="1"/>
  <c r="R12" i="93" s="1"/>
  <c r="F48" i="120"/>
  <c r="K30" i="90"/>
  <c r="K25" i="93"/>
  <c r="L25" i="93" s="1"/>
  <c r="C18" i="94" s="1"/>
  <c r="D44" i="104"/>
  <c r="P44" i="104" s="1"/>
  <c r="D44" i="120"/>
  <c r="P44" i="120" s="1"/>
  <c r="H48" i="90"/>
  <c r="I43" i="120"/>
  <c r="P17" i="90"/>
  <c r="D13" i="95" s="1"/>
  <c r="K43" i="104"/>
  <c r="K43" i="120"/>
  <c r="L43" i="120"/>
  <c r="K48" i="90"/>
  <c r="L43" i="104"/>
  <c r="C26" i="90"/>
  <c r="C30" i="90" s="1"/>
  <c r="P25" i="90"/>
  <c r="P26" i="90" s="1"/>
  <c r="O44" i="90"/>
  <c r="O48" i="90" s="1"/>
  <c r="D22" i="93"/>
  <c r="Q14" i="93" s="1"/>
  <c r="AB12" i="93" s="1"/>
  <c r="G265" i="90"/>
  <c r="G269" i="90" s="1"/>
  <c r="G272" i="90" s="1"/>
  <c r="G274" i="90" s="1"/>
  <c r="G52" i="93" s="1"/>
  <c r="P44" i="90"/>
  <c r="P48" i="90" s="1"/>
  <c r="F37" i="104"/>
  <c r="E37" i="104"/>
  <c r="G37" i="104"/>
  <c r="G34" i="105"/>
  <c r="P25" i="105"/>
  <c r="F22" i="105"/>
  <c r="F33" i="105" s="1"/>
  <c r="F49" i="105" s="1"/>
  <c r="F55" i="93" s="1"/>
  <c r="G8" i="104"/>
  <c r="E16" i="104"/>
  <c r="E24" i="104" s="1"/>
  <c r="E55" i="104" s="1"/>
  <c r="D34" i="105"/>
  <c r="E21" i="93"/>
  <c r="R13" i="93" s="1"/>
  <c r="AC11" i="93" s="1"/>
  <c r="E27" i="105"/>
  <c r="E31" i="105" s="1"/>
  <c r="C22" i="105"/>
  <c r="C33" i="105" s="1"/>
  <c r="C49" i="105" s="1"/>
  <c r="D8" i="104"/>
  <c r="E16" i="93"/>
  <c r="R11" i="93" s="1"/>
  <c r="E19" i="105"/>
  <c r="O42" i="105"/>
  <c r="G34" i="106"/>
  <c r="G37" i="106" s="1"/>
  <c r="G7" i="95"/>
  <c r="F8" i="104"/>
  <c r="H16" i="104"/>
  <c r="H24" i="104" s="1"/>
  <c r="H55" i="104" s="1"/>
  <c r="D16" i="104"/>
  <c r="C34" i="105"/>
  <c r="O17" i="105"/>
  <c r="I19" i="105"/>
  <c r="J18" i="105"/>
  <c r="D33" i="105"/>
  <c r="D49" i="105" s="1"/>
  <c r="D55" i="93" s="1"/>
  <c r="P17" i="105"/>
  <c r="G16" i="104"/>
  <c r="F34" i="105"/>
  <c r="D21" i="93"/>
  <c r="O25" i="105"/>
  <c r="F8" i="106"/>
  <c r="F9" i="106" s="1"/>
  <c r="O13" i="92"/>
  <c r="L7" i="104"/>
  <c r="K22" i="92"/>
  <c r="K33" i="92" s="1"/>
  <c r="K49" i="92" s="1"/>
  <c r="E34" i="93"/>
  <c r="P42" i="104"/>
  <c r="I408" i="88"/>
  <c r="I410" i="88" s="1"/>
  <c r="K15" i="93"/>
  <c r="P44" i="88"/>
  <c r="C34" i="95" s="1"/>
  <c r="K23" i="88"/>
  <c r="K22" i="93"/>
  <c r="K23" i="93" s="1"/>
  <c r="E132" i="88"/>
  <c r="C36" i="94"/>
  <c r="O34" i="91"/>
  <c r="E30" i="106" s="1"/>
  <c r="E31" i="106" s="1"/>
  <c r="E263" i="91"/>
  <c r="E267" i="91" s="1"/>
  <c r="E270" i="91" s="1"/>
  <c r="E272" i="91" s="1"/>
  <c r="D34" i="93"/>
  <c r="I19" i="91"/>
  <c r="I20" i="91" s="1"/>
  <c r="J14" i="126" s="1"/>
  <c r="J22" i="126" s="1"/>
  <c r="J54" i="126" s="1"/>
  <c r="O24" i="91"/>
  <c r="E19" i="106" s="1"/>
  <c r="E20" i="106" s="1"/>
  <c r="H263" i="91"/>
  <c r="H267" i="91" s="1"/>
  <c r="H270" i="91" s="1"/>
  <c r="H272" i="91" s="1"/>
  <c r="H279" i="91" s="1"/>
  <c r="E14" i="104"/>
  <c r="E22" i="104" s="1"/>
  <c r="E53" i="104" s="1"/>
  <c r="O37" i="91"/>
  <c r="E34" i="106" s="1"/>
  <c r="I267" i="91"/>
  <c r="I270" i="91" s="1"/>
  <c r="I272" i="91" s="1"/>
  <c r="G267" i="91"/>
  <c r="G270" i="91" s="1"/>
  <c r="G272" i="91" s="1"/>
  <c r="O18" i="91"/>
  <c r="E13" i="106" s="1"/>
  <c r="G16" i="93"/>
  <c r="T11" i="93" s="1"/>
  <c r="E20" i="91"/>
  <c r="F14" i="126" s="1"/>
  <c r="F22" i="126" s="1"/>
  <c r="F54" i="126" s="1"/>
  <c r="P15" i="93"/>
  <c r="V15" i="93" s="1"/>
  <c r="H20" i="91"/>
  <c r="H6" i="104"/>
  <c r="J20" i="91"/>
  <c r="F20" i="91"/>
  <c r="O17" i="91"/>
  <c r="H42" i="93"/>
  <c r="C14" i="91"/>
  <c r="D19" i="90"/>
  <c r="E13" i="126" s="1"/>
  <c r="D16" i="93"/>
  <c r="Q11" i="93" s="1"/>
  <c r="I43" i="104"/>
  <c r="J48" i="90"/>
  <c r="I41" i="90"/>
  <c r="J18" i="90"/>
  <c r="D12" i="93"/>
  <c r="G19" i="90"/>
  <c r="H13" i="126" s="1"/>
  <c r="M21" i="104"/>
  <c r="D9" i="95"/>
  <c r="D35" i="95"/>
  <c r="F17" i="93"/>
  <c r="S12" i="93" s="1"/>
  <c r="C19" i="90"/>
  <c r="C269" i="90"/>
  <c r="C272" i="90" s="1"/>
  <c r="C274" i="90" s="1"/>
  <c r="C276" i="90" s="1"/>
  <c r="I30" i="93"/>
  <c r="I34" i="93" s="1"/>
  <c r="I19" i="90"/>
  <c r="J13" i="126" s="1"/>
  <c r="J21" i="126" s="1"/>
  <c r="D35" i="106"/>
  <c r="O25" i="90"/>
  <c r="D19" i="106" s="1"/>
  <c r="D20" i="106" s="1"/>
  <c r="F34" i="93"/>
  <c r="O17" i="90"/>
  <c r="D13" i="106" s="1"/>
  <c r="G5" i="104"/>
  <c r="H269" i="90"/>
  <c r="H272" i="90" s="1"/>
  <c r="H274" i="90" s="1"/>
  <c r="H52" i="93" s="1"/>
  <c r="P13" i="90"/>
  <c r="H16" i="93"/>
  <c r="U11" i="93" s="1"/>
  <c r="H5" i="104"/>
  <c r="F19" i="90"/>
  <c r="G13" i="126" s="1"/>
  <c r="E269" i="90"/>
  <c r="E272" i="90" s="1"/>
  <c r="E274" i="90" s="1"/>
  <c r="E52" i="93" s="1"/>
  <c r="D8" i="106"/>
  <c r="D9" i="106" s="1"/>
  <c r="O13" i="90"/>
  <c r="H40" i="93"/>
  <c r="O52" i="88"/>
  <c r="O47" i="88"/>
  <c r="C35" i="106" s="1"/>
  <c r="O54" i="88"/>
  <c r="P52" i="88"/>
  <c r="P47" i="88"/>
  <c r="P54" i="88"/>
  <c r="H408" i="88"/>
  <c r="C16" i="93"/>
  <c r="C17" i="93"/>
  <c r="O40" i="88"/>
  <c r="C30" i="106" s="1"/>
  <c r="P40" i="88"/>
  <c r="O44" i="88"/>
  <c r="O25" i="88"/>
  <c r="C22" i="106" s="1"/>
  <c r="J49" i="88"/>
  <c r="P25" i="88"/>
  <c r="C22" i="95" s="1"/>
  <c r="C32" i="93"/>
  <c r="L32" i="93" s="1"/>
  <c r="L41" i="104"/>
  <c r="K49" i="88"/>
  <c r="L39" i="104"/>
  <c r="K408" i="88"/>
  <c r="G383" i="88"/>
  <c r="O20" i="104"/>
  <c r="O51" i="104" s="1"/>
  <c r="G408" i="88"/>
  <c r="K383" i="88"/>
  <c r="H383" i="88"/>
  <c r="F383" i="88"/>
  <c r="H23" i="88"/>
  <c r="D33" i="104"/>
  <c r="P33" i="104" s="1"/>
  <c r="G18" i="88"/>
  <c r="D408" i="88"/>
  <c r="D383" i="88"/>
  <c r="F408" i="88"/>
  <c r="C383" i="88"/>
  <c r="E383" i="88"/>
  <c r="J37" i="93"/>
  <c r="J40" i="93" s="1"/>
  <c r="K39" i="104"/>
  <c r="C408" i="88"/>
  <c r="C410" i="88" s="1"/>
  <c r="C412" i="88" s="1"/>
  <c r="C63" i="88" s="1"/>
  <c r="E408" i="88"/>
  <c r="H40" i="104"/>
  <c r="G49" i="88"/>
  <c r="F132" i="88"/>
  <c r="J41" i="88"/>
  <c r="J30" i="93"/>
  <c r="K28" i="104"/>
  <c r="P32" i="104"/>
  <c r="H18" i="88"/>
  <c r="H15" i="93"/>
  <c r="D15" i="93"/>
  <c r="C15" i="93"/>
  <c r="C18" i="88"/>
  <c r="F15" i="93"/>
  <c r="F18" i="88"/>
  <c r="D23" i="88"/>
  <c r="J408" i="88"/>
  <c r="J410" i="88" s="1"/>
  <c r="J418" i="88" s="1"/>
  <c r="J18" i="88"/>
  <c r="C40" i="93"/>
  <c r="E18" i="88"/>
  <c r="F48" i="104"/>
  <c r="E23" i="88"/>
  <c r="I18" i="88"/>
  <c r="I15" i="93"/>
  <c r="E48" i="104"/>
  <c r="D40" i="93"/>
  <c r="G23" i="88"/>
  <c r="J383" i="88"/>
  <c r="F12" i="88"/>
  <c r="F11" i="93"/>
  <c r="F12" i="93" s="1"/>
  <c r="D196" i="105" l="1"/>
  <c r="E66" i="105" s="1"/>
  <c r="E196" i="105" s="1"/>
  <c r="F66" i="105" s="1"/>
  <c r="F196" i="105" s="1"/>
  <c r="G66" i="105" s="1"/>
  <c r="G196" i="105" s="1"/>
  <c r="H66" i="105" s="1"/>
  <c r="H196" i="105" s="1"/>
  <c r="I66" i="105" s="1"/>
  <c r="I196" i="105" s="1"/>
  <c r="J66" i="105" s="1"/>
  <c r="J196" i="105" s="1"/>
  <c r="K66" i="105" s="1"/>
  <c r="K196" i="105" s="1"/>
  <c r="L66" i="105" s="1"/>
  <c r="L196" i="105" s="1"/>
  <c r="M66" i="105" s="1"/>
  <c r="M196" i="105" s="1"/>
  <c r="N66" i="105" s="1"/>
  <c r="N196" i="105" s="1"/>
  <c r="L38" i="93"/>
  <c r="P29" i="120"/>
  <c r="O27" i="92"/>
  <c r="O31" i="92" s="1"/>
  <c r="P40" i="120"/>
  <c r="P40" i="126"/>
  <c r="P41" i="104"/>
  <c r="G48" i="104"/>
  <c r="H410" i="88"/>
  <c r="H412" i="88" s="1"/>
  <c r="H63" i="88" s="1"/>
  <c r="D27" i="106"/>
  <c r="H27" i="106" s="1"/>
  <c r="J19" i="90"/>
  <c r="K13" i="104" s="1"/>
  <c r="G41" i="106"/>
  <c r="P13" i="105"/>
  <c r="O13" i="105"/>
  <c r="K9" i="120"/>
  <c r="I34" i="124"/>
  <c r="O16" i="90"/>
  <c r="D12" i="106" s="1"/>
  <c r="J15" i="93"/>
  <c r="K410" i="88"/>
  <c r="G48" i="120"/>
  <c r="N37" i="104"/>
  <c r="P36" i="126"/>
  <c r="E33" i="11"/>
  <c r="N37" i="126"/>
  <c r="D33" i="11"/>
  <c r="C33" i="11"/>
  <c r="C35" i="11"/>
  <c r="G24" i="126"/>
  <c r="G56" i="126" s="1"/>
  <c r="D66" i="92"/>
  <c r="D201" i="92" s="1"/>
  <c r="E66" i="92" s="1"/>
  <c r="E201" i="92" s="1"/>
  <c r="C52" i="92"/>
  <c r="D24" i="126"/>
  <c r="D56" i="126" s="1"/>
  <c r="D66" i="126" s="1"/>
  <c r="E66" i="126" s="1"/>
  <c r="N49" i="92"/>
  <c r="O55" i="126"/>
  <c r="P36" i="120"/>
  <c r="P36" i="104"/>
  <c r="P8" i="120"/>
  <c r="H33" i="97"/>
  <c r="P8" i="126"/>
  <c r="L23" i="120"/>
  <c r="L54" i="120" s="1"/>
  <c r="N55" i="126"/>
  <c r="I16" i="120"/>
  <c r="I24" i="120" s="1"/>
  <c r="I55" i="120" s="1"/>
  <c r="E34" i="11"/>
  <c r="E35" i="11" s="1"/>
  <c r="D34" i="11"/>
  <c r="D35" i="11" s="1"/>
  <c r="O52" i="120"/>
  <c r="P47" i="126"/>
  <c r="G24" i="120"/>
  <c r="G55" i="120" s="1"/>
  <c r="N33" i="124"/>
  <c r="G4" i="97"/>
  <c r="M27" i="97"/>
  <c r="G34" i="124"/>
  <c r="O49" i="126"/>
  <c r="N52" i="120"/>
  <c r="O13" i="126"/>
  <c r="O21" i="126" s="1"/>
  <c r="O53" i="126" s="1"/>
  <c r="N21" i="90"/>
  <c r="N32" i="90" s="1"/>
  <c r="N56" i="90" s="1"/>
  <c r="O13" i="104"/>
  <c r="O21" i="104" s="1"/>
  <c r="O52" i="104" s="1"/>
  <c r="M49" i="126"/>
  <c r="M49" i="92"/>
  <c r="N49" i="126"/>
  <c r="P38" i="91"/>
  <c r="H22" i="126"/>
  <c r="H54" i="126" s="1"/>
  <c r="M22" i="104"/>
  <c r="M53" i="104" s="1"/>
  <c r="L49" i="126"/>
  <c r="P29" i="126"/>
  <c r="H49" i="126"/>
  <c r="H22" i="105"/>
  <c r="H33" i="105" s="1"/>
  <c r="H49" i="105" s="1"/>
  <c r="H55" i="93" s="1"/>
  <c r="F16" i="126"/>
  <c r="F24" i="126" s="1"/>
  <c r="F56" i="126" s="1"/>
  <c r="H34" i="105"/>
  <c r="I16" i="104"/>
  <c r="I24" i="104" s="1"/>
  <c r="I55" i="104" s="1"/>
  <c r="H30" i="106"/>
  <c r="M9" i="126"/>
  <c r="M34" i="124"/>
  <c r="L49" i="92"/>
  <c r="L23" i="126"/>
  <c r="L55" i="126" s="1"/>
  <c r="J32" i="124"/>
  <c r="N32" i="124" s="1"/>
  <c r="G17" i="93"/>
  <c r="T12" i="93" s="1"/>
  <c r="M9" i="104"/>
  <c r="M21" i="90"/>
  <c r="M32" i="90" s="1"/>
  <c r="M56" i="90" s="1"/>
  <c r="N13" i="104"/>
  <c r="N21" i="104" s="1"/>
  <c r="N52" i="104" s="1"/>
  <c r="N53" i="126"/>
  <c r="H19" i="90"/>
  <c r="I13" i="126" s="1"/>
  <c r="I21" i="126" s="1"/>
  <c r="I53" i="126" s="1"/>
  <c r="N30" i="124"/>
  <c r="M383" i="88"/>
  <c r="M15" i="88"/>
  <c r="M18" i="88" s="1"/>
  <c r="N12" i="126" s="1"/>
  <c r="N20" i="126" s="1"/>
  <c r="N52" i="126" s="1"/>
  <c r="L4" i="120"/>
  <c r="L9" i="120" s="1"/>
  <c r="M408" i="88"/>
  <c r="M410" i="88" s="1"/>
  <c r="L4" i="126"/>
  <c r="J29" i="124" s="1"/>
  <c r="I4" i="104"/>
  <c r="I9" i="104" s="1"/>
  <c r="P29" i="104"/>
  <c r="I4" i="120"/>
  <c r="I9" i="120" s="1"/>
  <c r="H4" i="126"/>
  <c r="F29" i="124" s="1"/>
  <c r="F34" i="124" s="1"/>
  <c r="H4" i="120"/>
  <c r="H9" i="120" s="1"/>
  <c r="H4" i="104"/>
  <c r="H9" i="104" s="1"/>
  <c r="L10" i="93"/>
  <c r="M13" i="104"/>
  <c r="K34" i="124"/>
  <c r="M52" i="104"/>
  <c r="M22" i="126"/>
  <c r="M54" i="126" s="1"/>
  <c r="M13" i="126"/>
  <c r="M21" i="126" s="1"/>
  <c r="M53" i="126" s="1"/>
  <c r="M52" i="120"/>
  <c r="E12" i="88"/>
  <c r="F4" i="104" s="1"/>
  <c r="G410" i="88"/>
  <c r="I22" i="93"/>
  <c r="I23" i="93" s="1"/>
  <c r="D23" i="126"/>
  <c r="J16" i="120"/>
  <c r="J24" i="120" s="1"/>
  <c r="J55" i="120" s="1"/>
  <c r="J16" i="126"/>
  <c r="J24" i="126" s="1"/>
  <c r="J56" i="126" s="1"/>
  <c r="P15" i="126"/>
  <c r="M23" i="126"/>
  <c r="M55" i="126" s="1"/>
  <c r="P7" i="126"/>
  <c r="P7" i="120"/>
  <c r="L32" i="90"/>
  <c r="L56" i="90" s="1"/>
  <c r="I37" i="104"/>
  <c r="H37" i="120"/>
  <c r="I37" i="126"/>
  <c r="P31" i="126"/>
  <c r="P31" i="104"/>
  <c r="I48" i="120"/>
  <c r="P31" i="120"/>
  <c r="I37" i="120"/>
  <c r="G23" i="93"/>
  <c r="P46" i="120"/>
  <c r="H37" i="104"/>
  <c r="H37" i="126"/>
  <c r="D14" i="120"/>
  <c r="D14" i="126"/>
  <c r="D14" i="104"/>
  <c r="G14" i="120"/>
  <c r="G22" i="120" s="1"/>
  <c r="G53" i="120" s="1"/>
  <c r="G14" i="126"/>
  <c r="G22" i="126" s="1"/>
  <c r="G54" i="126" s="1"/>
  <c r="D6" i="126"/>
  <c r="D6" i="120"/>
  <c r="P6" i="120" s="1"/>
  <c r="I14" i="120"/>
  <c r="I22" i="120" s="1"/>
  <c r="I53" i="120" s="1"/>
  <c r="I14" i="126"/>
  <c r="I22" i="126" s="1"/>
  <c r="I54" i="126" s="1"/>
  <c r="K14" i="120"/>
  <c r="K22" i="120" s="1"/>
  <c r="K53" i="120" s="1"/>
  <c r="K14" i="126"/>
  <c r="K22" i="126" s="1"/>
  <c r="K54" i="126" s="1"/>
  <c r="P19" i="91"/>
  <c r="E14" i="95" s="1"/>
  <c r="H22" i="106"/>
  <c r="K44" i="93"/>
  <c r="H21" i="126"/>
  <c r="H53" i="126" s="1"/>
  <c r="D13" i="104"/>
  <c r="D21" i="104" s="1"/>
  <c r="D52" i="104" s="1"/>
  <c r="H22" i="95"/>
  <c r="P30" i="90"/>
  <c r="E19" i="90"/>
  <c r="F13" i="120" s="1"/>
  <c r="F21" i="120" s="1"/>
  <c r="D19" i="95"/>
  <c r="D20" i="95" s="1"/>
  <c r="J53" i="126"/>
  <c r="D13" i="126"/>
  <c r="D21" i="126" s="1"/>
  <c r="O18" i="90"/>
  <c r="J37" i="120"/>
  <c r="P5" i="120"/>
  <c r="E21" i="126"/>
  <c r="E53" i="126" s="1"/>
  <c r="E13" i="104"/>
  <c r="E21" i="104" s="1"/>
  <c r="E52" i="104" s="1"/>
  <c r="H27" i="95"/>
  <c r="P5" i="126"/>
  <c r="G21" i="126"/>
  <c r="G53" i="126" s="1"/>
  <c r="D48" i="104"/>
  <c r="P41" i="90"/>
  <c r="E9" i="126"/>
  <c r="J37" i="126"/>
  <c r="H35" i="106"/>
  <c r="P41" i="120"/>
  <c r="F23" i="88"/>
  <c r="G12" i="120" s="1"/>
  <c r="L48" i="120"/>
  <c r="K18" i="88"/>
  <c r="L12" i="120" s="1"/>
  <c r="D18" i="88"/>
  <c r="E12" i="126" s="1"/>
  <c r="O17" i="88"/>
  <c r="C14" i="106" s="1"/>
  <c r="E44" i="93"/>
  <c r="I12" i="126"/>
  <c r="K48" i="120"/>
  <c r="P41" i="88"/>
  <c r="F12" i="126"/>
  <c r="P11" i="88"/>
  <c r="C8" i="95" s="1"/>
  <c r="C9" i="95" s="1"/>
  <c r="P16" i="88"/>
  <c r="C13" i="95" s="1"/>
  <c r="P41" i="126"/>
  <c r="J23" i="88"/>
  <c r="K12" i="126" s="1"/>
  <c r="D410" i="88"/>
  <c r="D412" i="88" s="1"/>
  <c r="D63" i="88" s="1"/>
  <c r="P17" i="88"/>
  <c r="C14" i="95" s="1"/>
  <c r="O16" i="88"/>
  <c r="C13" i="106" s="1"/>
  <c r="O11" i="88"/>
  <c r="C8" i="106" s="1"/>
  <c r="C9" i="106" s="1"/>
  <c r="C31" i="106"/>
  <c r="P39" i="120"/>
  <c r="P30" i="104"/>
  <c r="S14" i="93"/>
  <c r="AD12" i="93" s="1"/>
  <c r="F23" i="93"/>
  <c r="O52" i="126"/>
  <c r="C30" i="95"/>
  <c r="H30" i="95" s="1"/>
  <c r="H12" i="120"/>
  <c r="H12" i="126"/>
  <c r="P30" i="120"/>
  <c r="M52" i="126"/>
  <c r="O41" i="88"/>
  <c r="D37" i="120"/>
  <c r="P28" i="120"/>
  <c r="K9" i="126"/>
  <c r="D37" i="126"/>
  <c r="P28" i="126"/>
  <c r="P39" i="126"/>
  <c r="P30" i="126"/>
  <c r="J9" i="126"/>
  <c r="G4" i="126"/>
  <c r="E29" i="124" s="1"/>
  <c r="E34" i="124" s="1"/>
  <c r="G4" i="120"/>
  <c r="G9" i="120" s="1"/>
  <c r="J12" i="120"/>
  <c r="J20" i="120" s="1"/>
  <c r="J51" i="120" s="1"/>
  <c r="J12" i="126"/>
  <c r="R11" i="88"/>
  <c r="R12" i="88" s="1"/>
  <c r="I9" i="126"/>
  <c r="I12" i="120"/>
  <c r="L21" i="93"/>
  <c r="F12" i="120"/>
  <c r="P43" i="120"/>
  <c r="P43" i="104"/>
  <c r="K48" i="104"/>
  <c r="D34" i="106"/>
  <c r="D37" i="106" s="1"/>
  <c r="D34" i="95"/>
  <c r="H34" i="95" s="1"/>
  <c r="D24" i="120"/>
  <c r="E22" i="105"/>
  <c r="E33" i="105" s="1"/>
  <c r="E49" i="105" s="1"/>
  <c r="E55" i="93" s="1"/>
  <c r="F16" i="120"/>
  <c r="F24" i="120" s="1"/>
  <c r="F55" i="120" s="1"/>
  <c r="Q13" i="93"/>
  <c r="W13" i="93" s="1"/>
  <c r="C54" i="93"/>
  <c r="C51" i="92"/>
  <c r="D23" i="104"/>
  <c r="D54" i="104" s="1"/>
  <c r="P15" i="104"/>
  <c r="P15" i="120"/>
  <c r="D23" i="120"/>
  <c r="O19" i="92"/>
  <c r="O22" i="92" s="1"/>
  <c r="F13" i="106"/>
  <c r="F15" i="106" s="1"/>
  <c r="F24" i="106" s="1"/>
  <c r="F43" i="106" s="1"/>
  <c r="F45" i="106" s="1"/>
  <c r="F13" i="95"/>
  <c r="F15" i="95" s="1"/>
  <c r="F24" i="95" s="1"/>
  <c r="F43" i="95" s="1"/>
  <c r="F45" i="95" s="1"/>
  <c r="P19" i="92"/>
  <c r="P22" i="92" s="1"/>
  <c r="P33" i="92" s="1"/>
  <c r="P49" i="92" s="1"/>
  <c r="P51" i="92" s="1"/>
  <c r="F46" i="95" s="1"/>
  <c r="J14" i="104"/>
  <c r="J22" i="104" s="1"/>
  <c r="J53" i="104" s="1"/>
  <c r="J14" i="120"/>
  <c r="J22" i="120" s="1"/>
  <c r="J53" i="120" s="1"/>
  <c r="I29" i="91"/>
  <c r="I45" i="91" s="1"/>
  <c r="G29" i="91"/>
  <c r="G45" i="91" s="1"/>
  <c r="G53" i="93" s="1"/>
  <c r="H14" i="120"/>
  <c r="H22" i="120" s="1"/>
  <c r="H53" i="120" s="1"/>
  <c r="D59" i="91"/>
  <c r="I17" i="93"/>
  <c r="I18" i="93" s="1"/>
  <c r="D23" i="93"/>
  <c r="P46" i="104"/>
  <c r="H48" i="120"/>
  <c r="O25" i="91"/>
  <c r="H48" i="104"/>
  <c r="F14" i="104"/>
  <c r="F22" i="104" s="1"/>
  <c r="F53" i="104" s="1"/>
  <c r="F14" i="120"/>
  <c r="F22" i="120" s="1"/>
  <c r="F53" i="120" s="1"/>
  <c r="O19" i="91"/>
  <c r="E14" i="106" s="1"/>
  <c r="G13" i="104"/>
  <c r="G21" i="104" s="1"/>
  <c r="G52" i="104" s="1"/>
  <c r="G13" i="120"/>
  <c r="L13" i="120"/>
  <c r="K21" i="90"/>
  <c r="K32" i="90" s="1"/>
  <c r="K56" i="90" s="1"/>
  <c r="L13" i="104"/>
  <c r="L21" i="104" s="1"/>
  <c r="L52" i="104" s="1"/>
  <c r="P18" i="90"/>
  <c r="D14" i="95" s="1"/>
  <c r="J13" i="104"/>
  <c r="J21" i="104" s="1"/>
  <c r="J52" i="104" s="1"/>
  <c r="J13" i="120"/>
  <c r="D21" i="90"/>
  <c r="D32" i="90" s="1"/>
  <c r="D56" i="90" s="1"/>
  <c r="E13" i="120"/>
  <c r="C21" i="90"/>
  <c r="C32" i="90" s="1"/>
  <c r="C56" i="90" s="1"/>
  <c r="C58" i="90" s="1"/>
  <c r="D62" i="104" s="1"/>
  <c r="D13" i="120"/>
  <c r="G21" i="90"/>
  <c r="G32" i="90" s="1"/>
  <c r="G56" i="90" s="1"/>
  <c r="H13" i="120"/>
  <c r="J17" i="93"/>
  <c r="D48" i="120"/>
  <c r="X5" i="104"/>
  <c r="G24" i="104"/>
  <c r="G55" i="104" s="1"/>
  <c r="L48" i="104"/>
  <c r="D24" i="104"/>
  <c r="D55" i="104" s="1"/>
  <c r="P28" i="104"/>
  <c r="K37" i="104"/>
  <c r="D37" i="104"/>
  <c r="C55" i="93"/>
  <c r="C51" i="105"/>
  <c r="G13" i="95"/>
  <c r="P19" i="105"/>
  <c r="G9" i="95"/>
  <c r="F16" i="104"/>
  <c r="F24" i="104" s="1"/>
  <c r="F55" i="104" s="1"/>
  <c r="E34" i="105"/>
  <c r="G13" i="106"/>
  <c r="G18" i="106"/>
  <c r="O27" i="105"/>
  <c r="O31" i="105" s="1"/>
  <c r="J19" i="105"/>
  <c r="K18" i="105"/>
  <c r="P8" i="104"/>
  <c r="J16" i="104"/>
  <c r="J24" i="104" s="1"/>
  <c r="J55" i="104" s="1"/>
  <c r="I22" i="105"/>
  <c r="I33" i="105" s="1"/>
  <c r="I49" i="105" s="1"/>
  <c r="G18" i="95"/>
  <c r="P27" i="105"/>
  <c r="P31" i="105" s="1"/>
  <c r="I48" i="104"/>
  <c r="D44" i="93"/>
  <c r="P49" i="88"/>
  <c r="L23" i="104"/>
  <c r="L9" i="104"/>
  <c r="P7" i="104"/>
  <c r="H22" i="93"/>
  <c r="H23" i="93" s="1"/>
  <c r="E410" i="88"/>
  <c r="E412" i="88" s="1"/>
  <c r="E63" i="88" s="1"/>
  <c r="O49" i="88"/>
  <c r="C34" i="106"/>
  <c r="C37" i="106" s="1"/>
  <c r="C35" i="95"/>
  <c r="H35" i="95" s="1"/>
  <c r="L30" i="93"/>
  <c r="C38" i="94" s="1"/>
  <c r="H28" i="106"/>
  <c r="O38" i="91"/>
  <c r="E19" i="95"/>
  <c r="E20" i="95" s="1"/>
  <c r="W15" i="93"/>
  <c r="U21" i="91"/>
  <c r="H14" i="104"/>
  <c r="H22" i="104" s="1"/>
  <c r="H53" i="104" s="1"/>
  <c r="L42" i="93"/>
  <c r="E29" i="91"/>
  <c r="E45" i="91" s="1"/>
  <c r="E53" i="93" s="1"/>
  <c r="S21" i="91"/>
  <c r="L11" i="93"/>
  <c r="H44" i="93"/>
  <c r="E12" i="95"/>
  <c r="D6" i="104"/>
  <c r="C29" i="91"/>
  <c r="C45" i="91" s="1"/>
  <c r="C49" i="91" s="1"/>
  <c r="E7" i="95"/>
  <c r="H7" i="95" s="1"/>
  <c r="P14" i="91"/>
  <c r="L33" i="93"/>
  <c r="E7" i="106"/>
  <c r="O14" i="91"/>
  <c r="V21" i="91"/>
  <c r="I14" i="104"/>
  <c r="I22" i="104" s="1"/>
  <c r="I53" i="104" s="1"/>
  <c r="H29" i="91"/>
  <c r="H45" i="91" s="1"/>
  <c r="H53" i="93" s="1"/>
  <c r="P12" i="93"/>
  <c r="G14" i="104"/>
  <c r="G22" i="104" s="1"/>
  <c r="G53" i="104" s="1"/>
  <c r="F29" i="91"/>
  <c r="F45" i="91" s="1"/>
  <c r="F53" i="93" s="1"/>
  <c r="T21" i="91"/>
  <c r="K14" i="104"/>
  <c r="K22" i="104" s="1"/>
  <c r="K53" i="104" s="1"/>
  <c r="J29" i="91"/>
  <c r="J45" i="91" s="1"/>
  <c r="E37" i="95"/>
  <c r="E41" i="95" s="1"/>
  <c r="P11" i="93"/>
  <c r="V11" i="93" s="1"/>
  <c r="L16" i="93"/>
  <c r="C9" i="94" s="1"/>
  <c r="L37" i="93"/>
  <c r="C39" i="94" s="1"/>
  <c r="E12" i="106"/>
  <c r="E37" i="106"/>
  <c r="E41" i="106" s="1"/>
  <c r="H13" i="104"/>
  <c r="H21" i="104" s="1"/>
  <c r="H52" i="104" s="1"/>
  <c r="I44" i="93"/>
  <c r="C52" i="93"/>
  <c r="C34" i="93"/>
  <c r="C44" i="93" s="1"/>
  <c r="F44" i="93"/>
  <c r="I21" i="90"/>
  <c r="I32" i="90" s="1"/>
  <c r="I56" i="90" s="1"/>
  <c r="O26" i="90"/>
  <c r="O30" i="90" s="1"/>
  <c r="D70" i="90"/>
  <c r="D276" i="90" s="1"/>
  <c r="C59" i="90"/>
  <c r="P5" i="104"/>
  <c r="F21" i="90"/>
  <c r="F32" i="90" s="1"/>
  <c r="F56" i="90" s="1"/>
  <c r="D12" i="95"/>
  <c r="P58" i="88"/>
  <c r="C39" i="95" s="1"/>
  <c r="H39" i="95" s="1"/>
  <c r="G15" i="93"/>
  <c r="O58" i="88"/>
  <c r="C39" i="106" s="1"/>
  <c r="H39" i="106" s="1"/>
  <c r="G44" i="93"/>
  <c r="P15" i="88"/>
  <c r="C23" i="88"/>
  <c r="C27" i="88" s="1"/>
  <c r="C60" i="88" s="1"/>
  <c r="O22" i="88"/>
  <c r="P22" i="88"/>
  <c r="P39" i="104"/>
  <c r="C22" i="93"/>
  <c r="F410" i="88"/>
  <c r="F12" i="104"/>
  <c r="J34" i="93"/>
  <c r="J44" i="93" s="1"/>
  <c r="P40" i="104"/>
  <c r="J12" i="104"/>
  <c r="I27" i="88"/>
  <c r="I60" i="88" s="1"/>
  <c r="C18" i="93"/>
  <c r="P10" i="93"/>
  <c r="Q10" i="93"/>
  <c r="D18" i="93"/>
  <c r="R14" i="93"/>
  <c r="AC12" i="93" s="1"/>
  <c r="E23" i="93"/>
  <c r="H18" i="93"/>
  <c r="U10" i="93"/>
  <c r="I12" i="104"/>
  <c r="H27" i="88"/>
  <c r="H60" i="88" s="1"/>
  <c r="H51" i="93" s="1"/>
  <c r="H12" i="104"/>
  <c r="G27" i="88"/>
  <c r="G60" i="88" s="1"/>
  <c r="F18" i="93"/>
  <c r="S10" i="93"/>
  <c r="E18" i="93"/>
  <c r="R10" i="93"/>
  <c r="E12" i="93"/>
  <c r="G4" i="104"/>
  <c r="I411" i="88" l="1"/>
  <c r="I412" i="88" s="1"/>
  <c r="I63" i="88" s="1"/>
  <c r="O33" i="92"/>
  <c r="O49" i="92" s="1"/>
  <c r="O51" i="92" s="1"/>
  <c r="F46" i="106" s="1"/>
  <c r="J21" i="90"/>
  <c r="J32" i="90" s="1"/>
  <c r="J56" i="90" s="1"/>
  <c r="D31" i="106"/>
  <c r="D41" i="106" s="1"/>
  <c r="P22" i="105"/>
  <c r="P33" i="105" s="1"/>
  <c r="P49" i="105" s="1"/>
  <c r="P51" i="105" s="1"/>
  <c r="G46" i="95" s="1"/>
  <c r="J18" i="93"/>
  <c r="J27" i="93" s="1"/>
  <c r="J46" i="93" s="1"/>
  <c r="K13" i="126"/>
  <c r="K21" i="126" s="1"/>
  <c r="K53" i="126" s="1"/>
  <c r="K13" i="120"/>
  <c r="K21" i="120" s="1"/>
  <c r="K52" i="120" s="1"/>
  <c r="O19" i="90"/>
  <c r="O21" i="90" s="1"/>
  <c r="O32" i="90" s="1"/>
  <c r="O56" i="90" s="1"/>
  <c r="O58" i="90" s="1"/>
  <c r="D46" i="106" s="1"/>
  <c r="I13" i="120"/>
  <c r="I21" i="120" s="1"/>
  <c r="I52" i="120" s="1"/>
  <c r="F66" i="126"/>
  <c r="G66" i="126" s="1"/>
  <c r="H66" i="126" s="1"/>
  <c r="I66" i="126" s="1"/>
  <c r="J66" i="126" s="1"/>
  <c r="H21" i="90"/>
  <c r="H32" i="90" s="1"/>
  <c r="H56" i="90" s="1"/>
  <c r="I13" i="104"/>
  <c r="I21" i="104" s="1"/>
  <c r="I52" i="104" s="1"/>
  <c r="D52" i="92"/>
  <c r="J17" i="126"/>
  <c r="J2" i="126" s="1"/>
  <c r="F13" i="104"/>
  <c r="F21" i="104" s="1"/>
  <c r="F52" i="104" s="1"/>
  <c r="G33" i="97"/>
  <c r="J4" i="97"/>
  <c r="J33" i="97" s="1"/>
  <c r="E21" i="90"/>
  <c r="E32" i="90" s="1"/>
  <c r="E56" i="90" s="1"/>
  <c r="O15" i="88"/>
  <c r="C12" i="106" s="1"/>
  <c r="C15" i="106" s="1"/>
  <c r="P49" i="126"/>
  <c r="V12" i="93"/>
  <c r="G18" i="93"/>
  <c r="G27" i="93" s="1"/>
  <c r="G46" i="93" s="1"/>
  <c r="D55" i="126"/>
  <c r="D65" i="126" s="1"/>
  <c r="E65" i="126" s="1"/>
  <c r="F65" i="126" s="1"/>
  <c r="G65" i="126" s="1"/>
  <c r="H65" i="126" s="1"/>
  <c r="I65" i="126" s="1"/>
  <c r="J65" i="126" s="1"/>
  <c r="K65" i="126" s="1"/>
  <c r="L65" i="126" s="1"/>
  <c r="M65" i="126" s="1"/>
  <c r="P23" i="126"/>
  <c r="J34" i="124"/>
  <c r="D9" i="126"/>
  <c r="B31" i="124"/>
  <c r="M27" i="88"/>
  <c r="M60" i="88" s="1"/>
  <c r="N12" i="104"/>
  <c r="N20" i="104" s="1"/>
  <c r="N51" i="104" s="1"/>
  <c r="J27" i="88"/>
  <c r="J60" i="88" s="1"/>
  <c r="L20" i="120"/>
  <c r="L51" i="120" s="1"/>
  <c r="L9" i="126"/>
  <c r="E12" i="104"/>
  <c r="E17" i="104" s="1"/>
  <c r="I20" i="120"/>
  <c r="I51" i="120" s="1"/>
  <c r="L12" i="104"/>
  <c r="L20" i="104" s="1"/>
  <c r="L51" i="104" s="1"/>
  <c r="K27" i="88"/>
  <c r="K60" i="88" s="1"/>
  <c r="H9" i="126"/>
  <c r="E12" i="120"/>
  <c r="E20" i="120" s="1"/>
  <c r="E51" i="120" s="1"/>
  <c r="E27" i="88"/>
  <c r="E60" i="88" s="1"/>
  <c r="E62" i="88" s="1"/>
  <c r="H20" i="120"/>
  <c r="H51" i="120" s="1"/>
  <c r="F4" i="120"/>
  <c r="F9" i="120" s="1"/>
  <c r="F4" i="126"/>
  <c r="D29" i="124" s="1"/>
  <c r="D34" i="124" s="1"/>
  <c r="L12" i="93"/>
  <c r="C6" i="94" s="1"/>
  <c r="I27" i="93"/>
  <c r="I46" i="93" s="1"/>
  <c r="F27" i="88"/>
  <c r="F60" i="88" s="1"/>
  <c r="F62" i="88" s="1"/>
  <c r="G12" i="104"/>
  <c r="G17" i="104" s="1"/>
  <c r="G12" i="126"/>
  <c r="G20" i="126" s="1"/>
  <c r="K12" i="104"/>
  <c r="K20" i="104" s="1"/>
  <c r="D27" i="88"/>
  <c r="D60" i="88" s="1"/>
  <c r="D51" i="93" s="1"/>
  <c r="D56" i="93" s="1"/>
  <c r="K12" i="120"/>
  <c r="K20" i="120" s="1"/>
  <c r="K51" i="120" s="1"/>
  <c r="K16" i="120"/>
  <c r="K24" i="120" s="1"/>
  <c r="K55" i="120" s="1"/>
  <c r="K16" i="126"/>
  <c r="K24" i="126" s="1"/>
  <c r="K56" i="126" s="1"/>
  <c r="D14" i="106"/>
  <c r="D15" i="106" s="1"/>
  <c r="D24" i="106" s="1"/>
  <c r="D9" i="120"/>
  <c r="P20" i="91"/>
  <c r="P29" i="91" s="1"/>
  <c r="P45" i="91" s="1"/>
  <c r="P49" i="91" s="1"/>
  <c r="P14" i="120"/>
  <c r="O20" i="91"/>
  <c r="O29" i="91" s="1"/>
  <c r="O45" i="91" s="1"/>
  <c r="D22" i="126"/>
  <c r="P6" i="126"/>
  <c r="Q1" i="126" s="1"/>
  <c r="P14" i="126"/>
  <c r="D22" i="120"/>
  <c r="P22" i="120" s="1"/>
  <c r="P19" i="90"/>
  <c r="P21" i="90" s="1"/>
  <c r="P32" i="90" s="1"/>
  <c r="D58" i="90"/>
  <c r="E9" i="90" s="1"/>
  <c r="D9" i="90"/>
  <c r="C61" i="93"/>
  <c r="D37" i="95"/>
  <c r="D41" i="95" s="1"/>
  <c r="F17" i="120"/>
  <c r="F13" i="126"/>
  <c r="F21" i="126" s="1"/>
  <c r="F53" i="126" s="1"/>
  <c r="I17" i="126"/>
  <c r="O12" i="88"/>
  <c r="I20" i="126"/>
  <c r="I25" i="126" s="1"/>
  <c r="P48" i="120"/>
  <c r="F27" i="93"/>
  <c r="F46" i="93" s="1"/>
  <c r="L12" i="126"/>
  <c r="E17" i="126"/>
  <c r="E20" i="126"/>
  <c r="E52" i="126" s="1"/>
  <c r="E57" i="126" s="1"/>
  <c r="V13" i="93"/>
  <c r="H8" i="95"/>
  <c r="H9" i="95" s="1"/>
  <c r="J9" i="95" s="1"/>
  <c r="K9" i="95" s="1"/>
  <c r="AB11" i="93"/>
  <c r="AG11" i="93" s="1"/>
  <c r="H13" i="106"/>
  <c r="P37" i="104"/>
  <c r="H8" i="106"/>
  <c r="H14" i="95"/>
  <c r="P12" i="88"/>
  <c r="G20" i="120"/>
  <c r="G51" i="120" s="1"/>
  <c r="J20" i="126"/>
  <c r="J52" i="126" s="1"/>
  <c r="J57" i="126" s="1"/>
  <c r="P37" i="120"/>
  <c r="F411" i="88"/>
  <c r="F412" i="88" s="1"/>
  <c r="G9" i="126"/>
  <c r="D12" i="126"/>
  <c r="H17" i="126"/>
  <c r="H20" i="126"/>
  <c r="H31" i="106"/>
  <c r="P37" i="126"/>
  <c r="K20" i="126"/>
  <c r="D27" i="93"/>
  <c r="D46" i="93" s="1"/>
  <c r="D12" i="104"/>
  <c r="D12" i="120"/>
  <c r="D17" i="120" s="1"/>
  <c r="D55" i="120"/>
  <c r="F66" i="92"/>
  <c r="F201" i="92" s="1"/>
  <c r="E52" i="92"/>
  <c r="P23" i="120"/>
  <c r="D54" i="120"/>
  <c r="C63" i="93"/>
  <c r="C53" i="92"/>
  <c r="D64" i="104"/>
  <c r="D9" i="92"/>
  <c r="D51" i="92" s="1"/>
  <c r="D9" i="91"/>
  <c r="D276" i="91"/>
  <c r="U14" i="93"/>
  <c r="AF12" i="93" s="1"/>
  <c r="D15" i="95"/>
  <c r="D24" i="95" s="1"/>
  <c r="F52" i="120"/>
  <c r="J21" i="120"/>
  <c r="J17" i="120"/>
  <c r="J2" i="120" s="1"/>
  <c r="H17" i="120"/>
  <c r="H21" i="120"/>
  <c r="D21" i="120"/>
  <c r="L21" i="120"/>
  <c r="E21" i="120"/>
  <c r="G21" i="120"/>
  <c r="G17" i="120"/>
  <c r="K16" i="104"/>
  <c r="K24" i="104" s="1"/>
  <c r="K55" i="104" s="1"/>
  <c r="J22" i="105"/>
  <c r="J33" i="105" s="1"/>
  <c r="J49" i="105" s="1"/>
  <c r="H18" i="95"/>
  <c r="G20" i="95"/>
  <c r="W12" i="93"/>
  <c r="K19" i="105"/>
  <c r="L18" i="105"/>
  <c r="K17" i="93"/>
  <c r="H13" i="95"/>
  <c r="G15" i="95"/>
  <c r="D9" i="105"/>
  <c r="D51" i="105" s="1"/>
  <c r="C64" i="93"/>
  <c r="D65" i="104"/>
  <c r="G20" i="106"/>
  <c r="H18" i="106"/>
  <c r="X4" i="104"/>
  <c r="X6" i="104" s="1"/>
  <c r="G51" i="93"/>
  <c r="G56" i="93" s="1"/>
  <c r="H37" i="95"/>
  <c r="P23" i="104"/>
  <c r="L54" i="104"/>
  <c r="P54" i="104" s="1"/>
  <c r="H34" i="106"/>
  <c r="H37" i="106" s="1"/>
  <c r="L34" i="93"/>
  <c r="P23" i="88"/>
  <c r="C19" i="95"/>
  <c r="C41" i="106"/>
  <c r="O23" i="88"/>
  <c r="C19" i="106"/>
  <c r="C37" i="95"/>
  <c r="P18" i="88"/>
  <c r="C12" i="95"/>
  <c r="C15" i="95" s="1"/>
  <c r="H31" i="95"/>
  <c r="C31" i="95"/>
  <c r="H56" i="93"/>
  <c r="C27" i="94"/>
  <c r="C28" i="94" s="1"/>
  <c r="L15" i="93"/>
  <c r="H7" i="106"/>
  <c r="E9" i="106"/>
  <c r="P14" i="104"/>
  <c r="E9" i="95"/>
  <c r="C53" i="93"/>
  <c r="L44" i="93"/>
  <c r="P6" i="104"/>
  <c r="D22" i="104"/>
  <c r="D9" i="104"/>
  <c r="C23" i="93"/>
  <c r="C27" i="93" s="1"/>
  <c r="C46" i="93" s="1"/>
  <c r="L22" i="93"/>
  <c r="L23" i="93" s="1"/>
  <c r="C17" i="94" s="1"/>
  <c r="C19" i="94" s="1"/>
  <c r="E15" i="106"/>
  <c r="W11" i="93"/>
  <c r="E15" i="95"/>
  <c r="D59" i="90"/>
  <c r="E70" i="90"/>
  <c r="E276" i="90" s="1"/>
  <c r="T10" i="93"/>
  <c r="AE10" i="93" s="1"/>
  <c r="AE13" i="93" s="1"/>
  <c r="K21" i="104"/>
  <c r="P14" i="93"/>
  <c r="C40" i="94"/>
  <c r="J411" i="88"/>
  <c r="J412" i="88" s="1"/>
  <c r="J63" i="88" s="1"/>
  <c r="L40" i="93"/>
  <c r="P48" i="104"/>
  <c r="Q16" i="93"/>
  <c r="AB10" i="93"/>
  <c r="AA10" i="93"/>
  <c r="H27" i="93"/>
  <c r="H46" i="93" s="1"/>
  <c r="E27" i="93"/>
  <c r="E46" i="93" s="1"/>
  <c r="C51" i="93"/>
  <c r="C62" i="88"/>
  <c r="J17" i="104"/>
  <c r="J2" i="104" s="1"/>
  <c r="J20" i="104"/>
  <c r="S16" i="93"/>
  <c r="AD10" i="93"/>
  <c r="AD13" i="93" s="1"/>
  <c r="AF10" i="93"/>
  <c r="H17" i="104"/>
  <c r="H20" i="104"/>
  <c r="R16" i="93"/>
  <c r="AC10" i="93"/>
  <c r="AC13" i="93" s="1"/>
  <c r="I20" i="104"/>
  <c r="G9" i="104"/>
  <c r="P4" i="104"/>
  <c r="F9" i="104"/>
  <c r="F20" i="104"/>
  <c r="I414" i="88" l="1"/>
  <c r="F17" i="104"/>
  <c r="K66" i="126"/>
  <c r="P13" i="104"/>
  <c r="I17" i="104"/>
  <c r="I17" i="120"/>
  <c r="P13" i="120"/>
  <c r="O18" i="88"/>
  <c r="O27" i="88" s="1"/>
  <c r="O60" i="88" s="1"/>
  <c r="O62" i="88" s="1"/>
  <c r="C46" i="106" s="1"/>
  <c r="E58" i="90"/>
  <c r="E61" i="93" s="1"/>
  <c r="P55" i="126"/>
  <c r="R55" i="126"/>
  <c r="D10" i="126"/>
  <c r="O49" i="91"/>
  <c r="E46" i="106" s="1"/>
  <c r="E17" i="120"/>
  <c r="H18" i="120" s="1"/>
  <c r="N65" i="126"/>
  <c r="E10" i="126"/>
  <c r="N31" i="124"/>
  <c r="B34" i="124"/>
  <c r="N34" i="124" s="1"/>
  <c r="D43" i="95"/>
  <c r="D45" i="95" s="1"/>
  <c r="E62" i="104"/>
  <c r="D61" i="93"/>
  <c r="E20" i="104"/>
  <c r="E51" i="104" s="1"/>
  <c r="E56" i="104" s="1"/>
  <c r="I25" i="120"/>
  <c r="I56" i="120"/>
  <c r="E51" i="93"/>
  <c r="E56" i="93" s="1"/>
  <c r="F9" i="126"/>
  <c r="K10" i="126" s="1"/>
  <c r="F20" i="120"/>
  <c r="F51" i="120" s="1"/>
  <c r="F56" i="120" s="1"/>
  <c r="N29" i="124"/>
  <c r="F20" i="126"/>
  <c r="F25" i="126" s="1"/>
  <c r="G17" i="126"/>
  <c r="P4" i="126"/>
  <c r="P9" i="126" s="1"/>
  <c r="N10" i="120"/>
  <c r="P4" i="120"/>
  <c r="P9" i="120" s="1"/>
  <c r="K25" i="120"/>
  <c r="G20" i="104"/>
  <c r="G25" i="104" s="1"/>
  <c r="G26" i="104" s="1"/>
  <c r="D62" i="88"/>
  <c r="D60" i="93" s="1"/>
  <c r="K56" i="120"/>
  <c r="F51" i="93"/>
  <c r="F56" i="93" s="1"/>
  <c r="M10" i="120"/>
  <c r="P12" i="104"/>
  <c r="E25" i="126"/>
  <c r="K17" i="120"/>
  <c r="K2" i="120" s="1"/>
  <c r="P21" i="126"/>
  <c r="K17" i="126"/>
  <c r="K2" i="126" s="1"/>
  <c r="L16" i="120"/>
  <c r="L24" i="120" s="1"/>
  <c r="L55" i="120" s="1"/>
  <c r="R55" i="120" s="1"/>
  <c r="L16" i="126"/>
  <c r="L24" i="126" s="1"/>
  <c r="L56" i="126" s="1"/>
  <c r="R56" i="126" s="1"/>
  <c r="K10" i="120"/>
  <c r="H10" i="120"/>
  <c r="F10" i="120"/>
  <c r="E10" i="120"/>
  <c r="D10" i="120"/>
  <c r="L10" i="120"/>
  <c r="M1" i="120" s="1"/>
  <c r="N1" i="120" s="1"/>
  <c r="G10" i="120"/>
  <c r="J10" i="120"/>
  <c r="D53" i="120"/>
  <c r="R53" i="120" s="1"/>
  <c r="I10" i="120"/>
  <c r="O10" i="120"/>
  <c r="H9" i="106"/>
  <c r="D54" i="126"/>
  <c r="P22" i="126"/>
  <c r="P13" i="126"/>
  <c r="AH11" i="93"/>
  <c r="F17" i="126"/>
  <c r="D43" i="106"/>
  <c r="D45" i="106" s="1"/>
  <c r="D63" i="126"/>
  <c r="E63" i="126" s="1"/>
  <c r="F63" i="126" s="1"/>
  <c r="G63" i="126" s="1"/>
  <c r="H63" i="126" s="1"/>
  <c r="I63" i="126" s="1"/>
  <c r="J63" i="126" s="1"/>
  <c r="K63" i="126" s="1"/>
  <c r="L63" i="126" s="1"/>
  <c r="M63" i="126" s="1"/>
  <c r="R53" i="126"/>
  <c r="P53" i="126"/>
  <c r="L20" i="126"/>
  <c r="L52" i="126" s="1"/>
  <c r="I52" i="126"/>
  <c r="I57" i="126" s="1"/>
  <c r="AB13" i="93"/>
  <c r="D17" i="104"/>
  <c r="U16" i="93"/>
  <c r="AF13" i="93"/>
  <c r="D20" i="104"/>
  <c r="D51" i="104" s="1"/>
  <c r="J25" i="126"/>
  <c r="H41" i="106"/>
  <c r="H12" i="95"/>
  <c r="H15" i="95" s="1"/>
  <c r="P12" i="126"/>
  <c r="D17" i="126"/>
  <c r="D20" i="126"/>
  <c r="K52" i="126"/>
  <c r="K57" i="126" s="1"/>
  <c r="K25" i="126"/>
  <c r="H52" i="126"/>
  <c r="H57" i="126" s="1"/>
  <c r="H25" i="126"/>
  <c r="G25" i="126"/>
  <c r="G52" i="126"/>
  <c r="G57" i="126" s="1"/>
  <c r="P27" i="88"/>
  <c r="P60" i="88" s="1"/>
  <c r="P62" i="88" s="1"/>
  <c r="C46" i="95" s="1"/>
  <c r="V14" i="93"/>
  <c r="D20" i="120"/>
  <c r="D25" i="120" s="1"/>
  <c r="P12" i="120"/>
  <c r="H12" i="106"/>
  <c r="F414" i="88"/>
  <c r="F63" i="88"/>
  <c r="D65" i="120"/>
  <c r="E65" i="120" s="1"/>
  <c r="F65" i="120" s="1"/>
  <c r="G65" i="120" s="1"/>
  <c r="H65" i="120" s="1"/>
  <c r="I65" i="120" s="1"/>
  <c r="J65" i="120" s="1"/>
  <c r="K65" i="120" s="1"/>
  <c r="K17" i="104"/>
  <c r="K2" i="104" s="1"/>
  <c r="D63" i="93"/>
  <c r="E64" i="104"/>
  <c r="E9" i="92"/>
  <c r="E51" i="92" s="1"/>
  <c r="D53" i="92"/>
  <c r="R54" i="120"/>
  <c r="P54" i="120"/>
  <c r="D64" i="120"/>
  <c r="E64" i="120" s="1"/>
  <c r="F64" i="120" s="1"/>
  <c r="G64" i="120" s="1"/>
  <c r="H64" i="120" s="1"/>
  <c r="I64" i="120" s="1"/>
  <c r="J64" i="120" s="1"/>
  <c r="K64" i="120" s="1"/>
  <c r="L64" i="120" s="1"/>
  <c r="M64" i="120" s="1"/>
  <c r="N64" i="120" s="1"/>
  <c r="O64" i="120" s="1"/>
  <c r="P64" i="120" s="1"/>
  <c r="G66" i="92"/>
  <c r="G201" i="92" s="1"/>
  <c r="F52" i="92"/>
  <c r="H41" i="95"/>
  <c r="D50" i="91"/>
  <c r="E59" i="91"/>
  <c r="E276" i="91"/>
  <c r="H52" i="120"/>
  <c r="H56" i="120" s="1"/>
  <c r="H25" i="120"/>
  <c r="J52" i="120"/>
  <c r="J56" i="120" s="1"/>
  <c r="J25" i="120"/>
  <c r="E52" i="120"/>
  <c r="E56" i="120" s="1"/>
  <c r="E25" i="120"/>
  <c r="P56" i="90"/>
  <c r="P58" i="90" s="1"/>
  <c r="D46" i="95" s="1"/>
  <c r="G52" i="120"/>
  <c r="G56" i="120" s="1"/>
  <c r="G25" i="120"/>
  <c r="L52" i="120"/>
  <c r="D52" i="120"/>
  <c r="P21" i="120"/>
  <c r="D18" i="120"/>
  <c r="L16" i="104"/>
  <c r="K22" i="105"/>
  <c r="K33" i="105" s="1"/>
  <c r="K49" i="105" s="1"/>
  <c r="E9" i="105"/>
  <c r="E51" i="105" s="1"/>
  <c r="E65" i="104"/>
  <c r="D64" i="93"/>
  <c r="D47" i="93"/>
  <c r="D48" i="93" s="1"/>
  <c r="G24" i="95"/>
  <c r="G43" i="95" s="1"/>
  <c r="G45" i="95" s="1"/>
  <c r="K18" i="93"/>
  <c r="K27" i="93" s="1"/>
  <c r="K46" i="93" s="1"/>
  <c r="L17" i="93"/>
  <c r="C10" i="94" s="1"/>
  <c r="L19" i="105"/>
  <c r="M18" i="105"/>
  <c r="N18" i="105" s="1"/>
  <c r="C49" i="93"/>
  <c r="C41" i="95"/>
  <c r="G411" i="88"/>
  <c r="C20" i="106"/>
  <c r="H19" i="106"/>
  <c r="H20" i="106" s="1"/>
  <c r="K411" i="88"/>
  <c r="K412" i="88" s="1"/>
  <c r="C20" i="95"/>
  <c r="C24" i="95" s="1"/>
  <c r="H19" i="95"/>
  <c r="H20" i="95" s="1"/>
  <c r="J414" i="88"/>
  <c r="C48" i="93"/>
  <c r="E24" i="95"/>
  <c r="E24" i="106"/>
  <c r="E43" i="106" s="1"/>
  <c r="E45" i="106" s="1"/>
  <c r="P16" i="93"/>
  <c r="C62" i="93"/>
  <c r="D63" i="104"/>
  <c r="D49" i="91"/>
  <c r="E10" i="104"/>
  <c r="D10" i="104"/>
  <c r="P22" i="104"/>
  <c r="D53" i="104"/>
  <c r="P53" i="104" s="1"/>
  <c r="P9" i="104"/>
  <c r="C56" i="93"/>
  <c r="C8" i="94"/>
  <c r="C14" i="94" s="1"/>
  <c r="W10" i="93"/>
  <c r="V10" i="93"/>
  <c r="F70" i="90"/>
  <c r="F276" i="90"/>
  <c r="E59" i="90"/>
  <c r="T16" i="93"/>
  <c r="P21" i="104"/>
  <c r="K52" i="104"/>
  <c r="P52" i="104" s="1"/>
  <c r="AA12" i="93"/>
  <c r="AG12" i="93" s="1"/>
  <c r="W14" i="93"/>
  <c r="I51" i="104"/>
  <c r="I56" i="104" s="1"/>
  <c r="I25" i="104"/>
  <c r="I26" i="104" s="1"/>
  <c r="AH10" i="93"/>
  <c r="AG10" i="93"/>
  <c r="K51" i="104"/>
  <c r="K25" i="104"/>
  <c r="K26" i="104" s="1"/>
  <c r="J25" i="104"/>
  <c r="J26" i="104" s="1"/>
  <c r="J51" i="104"/>
  <c r="J56" i="104" s="1"/>
  <c r="C60" i="93"/>
  <c r="D61" i="104"/>
  <c r="H51" i="104"/>
  <c r="H56" i="104" s="1"/>
  <c r="H25" i="104"/>
  <c r="H26" i="104" s="1"/>
  <c r="F25" i="104"/>
  <c r="F26" i="104" s="1"/>
  <c r="F51" i="104"/>
  <c r="J10" i="104"/>
  <c r="K10" i="104"/>
  <c r="H10" i="104"/>
  <c r="L10" i="104"/>
  <c r="M1" i="104" s="1"/>
  <c r="N1" i="104" s="1"/>
  <c r="G10" i="104"/>
  <c r="M10" i="104"/>
  <c r="N10" i="104"/>
  <c r="I10" i="104"/>
  <c r="O10" i="104"/>
  <c r="F10" i="104"/>
  <c r="E60" i="93"/>
  <c r="F61" i="104"/>
  <c r="D19" i="94"/>
  <c r="F60" i="93"/>
  <c r="G61" i="104"/>
  <c r="G8" i="88"/>
  <c r="G62" i="88" s="1"/>
  <c r="I18" i="104" l="1"/>
  <c r="F9" i="90"/>
  <c r="F58" i="90" s="1"/>
  <c r="F59" i="90"/>
  <c r="L17" i="120"/>
  <c r="L2" i="120" s="1"/>
  <c r="F62" i="104"/>
  <c r="O10" i="126"/>
  <c r="G18" i="120"/>
  <c r="I18" i="120"/>
  <c r="J18" i="120"/>
  <c r="F18" i="120"/>
  <c r="E18" i="120"/>
  <c r="E25" i="104"/>
  <c r="E26" i="104" s="1"/>
  <c r="O65" i="126"/>
  <c r="N10" i="126"/>
  <c r="L17" i="126"/>
  <c r="L2" i="126" s="1"/>
  <c r="M10" i="126"/>
  <c r="L25" i="120"/>
  <c r="L56" i="120"/>
  <c r="L65" i="120"/>
  <c r="L57" i="126"/>
  <c r="J10" i="126"/>
  <c r="G51" i="104"/>
  <c r="G56" i="104" s="1"/>
  <c r="L10" i="126"/>
  <c r="M1" i="126" s="1"/>
  <c r="N1" i="126" s="1"/>
  <c r="F25" i="120"/>
  <c r="G26" i="120" s="1"/>
  <c r="F52" i="126"/>
  <c r="F57" i="126" s="1"/>
  <c r="G10" i="126"/>
  <c r="F10" i="126"/>
  <c r="I10" i="126"/>
  <c r="H10" i="126"/>
  <c r="E61" i="104"/>
  <c r="P20" i="104"/>
  <c r="D25" i="104"/>
  <c r="D26" i="104" s="1"/>
  <c r="D49" i="93"/>
  <c r="K18" i="120"/>
  <c r="L25" i="126"/>
  <c r="D63" i="120"/>
  <c r="E63" i="120" s="1"/>
  <c r="F63" i="120" s="1"/>
  <c r="G63" i="120" s="1"/>
  <c r="H63" i="120" s="1"/>
  <c r="I63" i="120" s="1"/>
  <c r="J63" i="120" s="1"/>
  <c r="K63" i="120" s="1"/>
  <c r="L63" i="120" s="1"/>
  <c r="M63" i="120" s="1"/>
  <c r="N63" i="120" s="1"/>
  <c r="O63" i="120" s="1"/>
  <c r="P63" i="120" s="1"/>
  <c r="P53" i="120"/>
  <c r="N63" i="126"/>
  <c r="L66" i="126"/>
  <c r="M16" i="120"/>
  <c r="M24" i="120" s="1"/>
  <c r="M16" i="126"/>
  <c r="D64" i="126"/>
  <c r="E64" i="126" s="1"/>
  <c r="F64" i="126" s="1"/>
  <c r="G64" i="126" s="1"/>
  <c r="H64" i="126" s="1"/>
  <c r="I64" i="126" s="1"/>
  <c r="J64" i="126" s="1"/>
  <c r="K64" i="126" s="1"/>
  <c r="L64" i="126" s="1"/>
  <c r="M64" i="126" s="1"/>
  <c r="P54" i="126"/>
  <c r="R54" i="126"/>
  <c r="E18" i="104"/>
  <c r="G18" i="104"/>
  <c r="D18" i="104"/>
  <c r="J18" i="104"/>
  <c r="F18" i="104"/>
  <c r="H18" i="104"/>
  <c r="D25" i="126"/>
  <c r="P20" i="126"/>
  <c r="E18" i="126"/>
  <c r="F18" i="126"/>
  <c r="G18" i="126"/>
  <c r="D18" i="126"/>
  <c r="I18" i="126"/>
  <c r="H18" i="126"/>
  <c r="J18" i="126"/>
  <c r="K18" i="126"/>
  <c r="Q5" i="126"/>
  <c r="Q6" i="126"/>
  <c r="Q7" i="126"/>
  <c r="Q8" i="126"/>
  <c r="Q4" i="126"/>
  <c r="C24" i="106"/>
  <c r="C43" i="106" s="1"/>
  <c r="C45" i="106" s="1"/>
  <c r="D51" i="120"/>
  <c r="P20" i="120"/>
  <c r="K18" i="104"/>
  <c r="L411" i="88"/>
  <c r="L412" i="88" s="1"/>
  <c r="M411" i="88" s="1"/>
  <c r="M412" i="88" s="1"/>
  <c r="N411" i="88" s="1"/>
  <c r="N412" i="88" s="1"/>
  <c r="K63" i="88"/>
  <c r="K414" i="88"/>
  <c r="C43" i="95"/>
  <c r="C45" i="95" s="1"/>
  <c r="G52" i="92"/>
  <c r="H66" i="92"/>
  <c r="H201" i="92" s="1"/>
  <c r="E53" i="92"/>
  <c r="E57" i="92"/>
  <c r="F9" i="92"/>
  <c r="F51" i="92" s="1"/>
  <c r="E63" i="93"/>
  <c r="F64" i="104"/>
  <c r="E43" i="95"/>
  <c r="E45" i="95" s="1"/>
  <c r="F276" i="91"/>
  <c r="F59" i="91"/>
  <c r="E50" i="91"/>
  <c r="D26" i="120"/>
  <c r="E26" i="120"/>
  <c r="D62" i="120"/>
  <c r="R52" i="120"/>
  <c r="P52" i="120"/>
  <c r="E64" i="93"/>
  <c r="F65" i="104"/>
  <c r="F9" i="105"/>
  <c r="F51" i="105" s="1"/>
  <c r="M19" i="105"/>
  <c r="M16" i="104"/>
  <c r="L22" i="105"/>
  <c r="L33" i="105" s="1"/>
  <c r="L49" i="105" s="1"/>
  <c r="L24" i="104"/>
  <c r="L55" i="104" s="1"/>
  <c r="L17" i="104"/>
  <c r="L18" i="93"/>
  <c r="L27" i="93" s="1"/>
  <c r="L46" i="93" s="1"/>
  <c r="D56" i="104"/>
  <c r="D58" i="104" s="1"/>
  <c r="E58" i="104" s="1"/>
  <c r="C65" i="93"/>
  <c r="C66" i="93" s="1"/>
  <c r="D66" i="104"/>
  <c r="H24" i="95"/>
  <c r="H43" i="95" s="1"/>
  <c r="H45" i="95" s="1"/>
  <c r="W16" i="93"/>
  <c r="X10" i="93" s="1"/>
  <c r="D62" i="93"/>
  <c r="D65" i="93" s="1"/>
  <c r="D66" i="93" s="1"/>
  <c r="E9" i="91"/>
  <c r="E47" i="93" s="1"/>
  <c r="E48" i="93" s="1"/>
  <c r="E63" i="104"/>
  <c r="E49" i="91"/>
  <c r="E49" i="93" s="1"/>
  <c r="V16" i="93"/>
  <c r="G276" i="90"/>
  <c r="G70" i="90"/>
  <c r="AH12" i="93"/>
  <c r="AA13" i="93"/>
  <c r="AH13" i="93" s="1"/>
  <c r="K56" i="104"/>
  <c r="F56" i="104"/>
  <c r="C42" i="94"/>
  <c r="C44" i="94" s="1"/>
  <c r="D14" i="94"/>
  <c r="C21" i="94"/>
  <c r="D21" i="94" s="1"/>
  <c r="P65" i="126" l="1"/>
  <c r="S65" i="126"/>
  <c r="L18" i="120"/>
  <c r="W102" i="122" s="1"/>
  <c r="X102" i="122" s="1"/>
  <c r="M17" i="120"/>
  <c r="M2" i="120" s="1"/>
  <c r="L18" i="126"/>
  <c r="O63" i="126"/>
  <c r="N64" i="126"/>
  <c r="F26" i="120"/>
  <c r="K26" i="120"/>
  <c r="L26" i="120"/>
  <c r="M26" i="120" s="1"/>
  <c r="J26" i="120"/>
  <c r="E66" i="104"/>
  <c r="I26" i="120"/>
  <c r="H26" i="120"/>
  <c r="P51" i="104"/>
  <c r="N16" i="120"/>
  <c r="N17" i="120" s="1"/>
  <c r="N2" i="120" s="1"/>
  <c r="N16" i="126"/>
  <c r="M24" i="126"/>
  <c r="M17" i="126"/>
  <c r="M18" i="126" s="1"/>
  <c r="R52" i="126"/>
  <c r="R57" i="126" s="1"/>
  <c r="D57" i="126"/>
  <c r="P52" i="126"/>
  <c r="I26" i="126"/>
  <c r="L26" i="126"/>
  <c r="H26" i="126"/>
  <c r="G26" i="126"/>
  <c r="F26" i="126"/>
  <c r="E26" i="126"/>
  <c r="K26" i="126"/>
  <c r="J26" i="126"/>
  <c r="D26" i="126"/>
  <c r="P51" i="120"/>
  <c r="D61" i="120"/>
  <c r="E61" i="120" s="1"/>
  <c r="F61" i="120" s="1"/>
  <c r="G61" i="120" s="1"/>
  <c r="H61" i="120" s="1"/>
  <c r="I61" i="120" s="1"/>
  <c r="J61" i="120" s="1"/>
  <c r="K61" i="120" s="1"/>
  <c r="L61" i="120" s="1"/>
  <c r="M61" i="120" s="1"/>
  <c r="N61" i="120" s="1"/>
  <c r="O61" i="120" s="1"/>
  <c r="P61" i="120" s="1"/>
  <c r="R51" i="120"/>
  <c r="R56" i="120" s="1"/>
  <c r="D56" i="120"/>
  <c r="D58" i="120" s="1"/>
  <c r="E58" i="120" s="1"/>
  <c r="F58" i="120" s="1"/>
  <c r="G58" i="120" s="1"/>
  <c r="H58" i="120" s="1"/>
  <c r="I58" i="120" s="1"/>
  <c r="J58" i="120" s="1"/>
  <c r="K58" i="120" s="1"/>
  <c r="L58" i="120" s="1"/>
  <c r="M55" i="120"/>
  <c r="M25" i="120"/>
  <c r="G64" i="104"/>
  <c r="G9" i="92"/>
  <c r="G51" i="92" s="1"/>
  <c r="F53" i="92"/>
  <c r="F63" i="93"/>
  <c r="H52" i="92"/>
  <c r="I66" i="92"/>
  <c r="I201" i="92" s="1"/>
  <c r="G276" i="91"/>
  <c r="F50" i="91"/>
  <c r="G59" i="91"/>
  <c r="E62" i="120"/>
  <c r="L25" i="104"/>
  <c r="L26" i="104" s="1"/>
  <c r="M24" i="104"/>
  <c r="M55" i="104" s="1"/>
  <c r="M17" i="104"/>
  <c r="M2" i="104" s="1"/>
  <c r="N16" i="104"/>
  <c r="M22" i="105"/>
  <c r="M33" i="105" s="1"/>
  <c r="M49" i="105" s="1"/>
  <c r="L2" i="104"/>
  <c r="L18" i="104"/>
  <c r="N19" i="105"/>
  <c r="O16" i="126" s="1"/>
  <c r="O18" i="105"/>
  <c r="G65" i="104"/>
  <c r="F64" i="93"/>
  <c r="G9" i="105"/>
  <c r="G51" i="105" s="1"/>
  <c r="X14" i="93"/>
  <c r="X15" i="93"/>
  <c r="AI15" i="93"/>
  <c r="X11" i="93"/>
  <c r="X13" i="93"/>
  <c r="X12" i="93"/>
  <c r="L48" i="93"/>
  <c r="C45" i="94" s="1"/>
  <c r="E62" i="93"/>
  <c r="E65" i="93" s="1"/>
  <c r="E66" i="93" s="1"/>
  <c r="F49" i="91"/>
  <c r="F49" i="93" s="1"/>
  <c r="F9" i="91"/>
  <c r="F47" i="93" s="1"/>
  <c r="F48" i="93" s="1"/>
  <c r="F63" i="104"/>
  <c r="F66" i="104" s="1"/>
  <c r="AG13" i="93"/>
  <c r="G62" i="104"/>
  <c r="F61" i="93"/>
  <c r="G9" i="90"/>
  <c r="G59" i="90"/>
  <c r="H70" i="90"/>
  <c r="H276" i="90" s="1"/>
  <c r="AI14" i="93"/>
  <c r="AI16" i="93" s="1"/>
  <c r="F58" i="104"/>
  <c r="G58" i="104" s="1"/>
  <c r="H58" i="104" s="1"/>
  <c r="I58" i="104" s="1"/>
  <c r="J58" i="104" s="1"/>
  <c r="K58" i="104" s="1"/>
  <c r="G60" i="93"/>
  <c r="H8" i="88"/>
  <c r="H61" i="104"/>
  <c r="P63" i="126" l="1"/>
  <c r="S64" i="126"/>
  <c r="M18" i="120"/>
  <c r="O64" i="126"/>
  <c r="N24" i="120"/>
  <c r="N55" i="120" s="1"/>
  <c r="N56" i="120" s="1"/>
  <c r="N24" i="126"/>
  <c r="N17" i="126"/>
  <c r="N18" i="126" s="1"/>
  <c r="O16" i="120"/>
  <c r="O17" i="120" s="1"/>
  <c r="M2" i="126"/>
  <c r="M56" i="126"/>
  <c r="M25" i="126"/>
  <c r="N18" i="120"/>
  <c r="D59" i="126"/>
  <c r="E59" i="126" s="1"/>
  <c r="F59" i="126" s="1"/>
  <c r="G59" i="126" s="1"/>
  <c r="H59" i="126" s="1"/>
  <c r="I59" i="126" s="1"/>
  <c r="J59" i="126" s="1"/>
  <c r="K59" i="126" s="1"/>
  <c r="L59" i="126" s="1"/>
  <c r="D67" i="126"/>
  <c r="E62" i="126"/>
  <c r="D66" i="120"/>
  <c r="M18" i="104"/>
  <c r="M56" i="120"/>
  <c r="M65" i="120"/>
  <c r="J66" i="92"/>
  <c r="J201" i="92" s="1"/>
  <c r="I52" i="92"/>
  <c r="H64" i="104"/>
  <c r="G53" i="92"/>
  <c r="H9" i="92"/>
  <c r="G63" i="93"/>
  <c r="H51" i="92"/>
  <c r="H59" i="91"/>
  <c r="I59" i="91" s="1"/>
  <c r="J59" i="91" s="1"/>
  <c r="K59" i="91" s="1"/>
  <c r="L59" i="91" s="1"/>
  <c r="M59" i="91" s="1"/>
  <c r="N59" i="91" s="1"/>
  <c r="H276" i="91"/>
  <c r="G50" i="91"/>
  <c r="F62" i="120"/>
  <c r="E66" i="120"/>
  <c r="X16" i="93"/>
  <c r="H65" i="104"/>
  <c r="H9" i="105"/>
  <c r="G64" i="93"/>
  <c r="H51" i="105"/>
  <c r="N24" i="104"/>
  <c r="N55" i="104" s="1"/>
  <c r="N17" i="104"/>
  <c r="L56" i="104"/>
  <c r="L58" i="104" s="1"/>
  <c r="M56" i="104"/>
  <c r="M25" i="104"/>
  <c r="G14" i="106"/>
  <c r="O19" i="105"/>
  <c r="O22" i="105" s="1"/>
  <c r="O33" i="105" s="1"/>
  <c r="O49" i="105" s="1"/>
  <c r="O51" i="105" s="1"/>
  <c r="G46" i="106" s="1"/>
  <c r="N22" i="105"/>
  <c r="N33" i="105" s="1"/>
  <c r="N49" i="105" s="1"/>
  <c r="O16" i="104"/>
  <c r="H46" i="95"/>
  <c r="G63" i="104"/>
  <c r="G66" i="104" s="1"/>
  <c r="G9" i="91"/>
  <c r="G47" i="93" s="1"/>
  <c r="G48" i="93" s="1"/>
  <c r="F62" i="93"/>
  <c r="F65" i="93" s="1"/>
  <c r="F66" i="93" s="1"/>
  <c r="G49" i="91"/>
  <c r="I70" i="90"/>
  <c r="I276" i="90" s="1"/>
  <c r="H59" i="90"/>
  <c r="G58" i="90"/>
  <c r="H62" i="88"/>
  <c r="P64" i="126" l="1"/>
  <c r="S63" i="126"/>
  <c r="N25" i="120"/>
  <c r="P16" i="120"/>
  <c r="O24" i="120"/>
  <c r="O25" i="120" s="1"/>
  <c r="N2" i="126"/>
  <c r="M26" i="126"/>
  <c r="O24" i="126"/>
  <c r="O17" i="126"/>
  <c r="O18" i="126" s="1"/>
  <c r="P16" i="126"/>
  <c r="N56" i="126"/>
  <c r="N57" i="126" s="1"/>
  <c r="N25" i="126"/>
  <c r="N26" i="126" s="1"/>
  <c r="M66" i="126"/>
  <c r="M57" i="126"/>
  <c r="F62" i="126"/>
  <c r="E67" i="126"/>
  <c r="G49" i="93"/>
  <c r="N65" i="120"/>
  <c r="O2" i="120"/>
  <c r="O18" i="120"/>
  <c r="P17" i="120"/>
  <c r="M58" i="120"/>
  <c r="N58" i="120" s="1"/>
  <c r="I51" i="92"/>
  <c r="I9" i="92"/>
  <c r="H63" i="93"/>
  <c r="I64" i="104"/>
  <c r="K66" i="92"/>
  <c r="K201" i="92" s="1"/>
  <c r="J52" i="92"/>
  <c r="H50" i="91"/>
  <c r="I276" i="91"/>
  <c r="G62" i="120"/>
  <c r="F66" i="120"/>
  <c r="M58" i="104"/>
  <c r="N56" i="104"/>
  <c r="N25" i="104"/>
  <c r="N2" i="104"/>
  <c r="N18" i="104"/>
  <c r="I65" i="104"/>
  <c r="I9" i="105"/>
  <c r="I51" i="105"/>
  <c r="H64" i="93"/>
  <c r="H14" i="106"/>
  <c r="H15" i="106" s="1"/>
  <c r="H24" i="106" s="1"/>
  <c r="H43" i="106" s="1"/>
  <c r="H45" i="106" s="1"/>
  <c r="G15" i="106"/>
  <c r="G24" i="106" s="1"/>
  <c r="G43" i="106" s="1"/>
  <c r="G45" i="106" s="1"/>
  <c r="O24" i="104"/>
  <c r="O55" i="104" s="1"/>
  <c r="O17" i="104"/>
  <c r="O2" i="104" s="1"/>
  <c r="P16" i="104"/>
  <c r="H49" i="91"/>
  <c r="H9" i="91"/>
  <c r="H63" i="104"/>
  <c r="G62" i="93"/>
  <c r="H58" i="90"/>
  <c r="H9" i="90"/>
  <c r="H62" i="104"/>
  <c r="G61" i="93"/>
  <c r="I59" i="90"/>
  <c r="J70" i="90"/>
  <c r="J276" i="90" s="1"/>
  <c r="I61" i="104"/>
  <c r="H60" i="93"/>
  <c r="I8" i="88"/>
  <c r="P24" i="120" l="1"/>
  <c r="P25" i="120" s="1"/>
  <c r="O55" i="120"/>
  <c r="O56" i="120" s="1"/>
  <c r="P56" i="120" s="1"/>
  <c r="N66" i="126"/>
  <c r="H47" i="93"/>
  <c r="H48" i="93" s="1"/>
  <c r="O2" i="126"/>
  <c r="P17" i="126"/>
  <c r="O56" i="126"/>
  <c r="O25" i="126"/>
  <c r="O26" i="126" s="1"/>
  <c r="P24" i="126"/>
  <c r="P25" i="126" s="1"/>
  <c r="M59" i="126"/>
  <c r="N59" i="126" s="1"/>
  <c r="F67" i="126"/>
  <c r="G62" i="126"/>
  <c r="L66" i="92"/>
  <c r="L201" i="92" s="1"/>
  <c r="K52" i="92"/>
  <c r="J51" i="92"/>
  <c r="J9" i="92"/>
  <c r="J64" i="104"/>
  <c r="G65" i="93"/>
  <c r="G66" i="93" s="1"/>
  <c r="H66" i="104"/>
  <c r="J276" i="91"/>
  <c r="K276" i="91" s="1"/>
  <c r="L276" i="91" s="1"/>
  <c r="I50" i="91"/>
  <c r="H49" i="93"/>
  <c r="H62" i="120"/>
  <c r="G66" i="120"/>
  <c r="N58" i="104"/>
  <c r="O18" i="104"/>
  <c r="P17" i="104"/>
  <c r="O25" i="104"/>
  <c r="P24" i="104"/>
  <c r="P25" i="104" s="1"/>
  <c r="J51" i="105"/>
  <c r="J65" i="104"/>
  <c r="J9" i="105"/>
  <c r="I63" i="104"/>
  <c r="I9" i="91"/>
  <c r="H62" i="93"/>
  <c r="I49" i="91"/>
  <c r="K70" i="90"/>
  <c r="K276" i="90" s="1"/>
  <c r="K59" i="90" s="1"/>
  <c r="J59" i="90"/>
  <c r="I62" i="104"/>
  <c r="I9" i="90"/>
  <c r="I58" i="90"/>
  <c r="H61" i="93"/>
  <c r="I62" i="88"/>
  <c r="O65" i="120" l="1"/>
  <c r="P65" i="120" s="1"/>
  <c r="P55" i="120"/>
  <c r="I47" i="93"/>
  <c r="I48" i="93" s="1"/>
  <c r="O57" i="126"/>
  <c r="P57" i="126" s="1"/>
  <c r="P56" i="126"/>
  <c r="O66" i="126"/>
  <c r="M66" i="92"/>
  <c r="M201" i="92" s="1"/>
  <c r="N66" i="92" s="1"/>
  <c r="N201" i="92" s="1"/>
  <c r="L52" i="92"/>
  <c r="G67" i="126"/>
  <c r="H62" i="126"/>
  <c r="O58" i="120"/>
  <c r="P58" i="120" s="1"/>
  <c r="K9" i="92"/>
  <c r="K64" i="104"/>
  <c r="K51" i="92"/>
  <c r="M276" i="91"/>
  <c r="N276" i="91" s="1"/>
  <c r="J50" i="91"/>
  <c r="H65" i="93"/>
  <c r="I62" i="120"/>
  <c r="H66" i="120"/>
  <c r="I66" i="104"/>
  <c r="O56" i="104"/>
  <c r="P55" i="104"/>
  <c r="K9" i="105"/>
  <c r="K51" i="105"/>
  <c r="K65" i="104"/>
  <c r="I49" i="93"/>
  <c r="J49" i="91"/>
  <c r="K49" i="91" s="1"/>
  <c r="L49" i="91" s="1"/>
  <c r="J63" i="104"/>
  <c r="J9" i="91"/>
  <c r="J62" i="104"/>
  <c r="J9" i="90"/>
  <c r="J58" i="90"/>
  <c r="L70" i="90"/>
  <c r="L276" i="90" s="1"/>
  <c r="M70" i="90" s="1"/>
  <c r="M276" i="90" s="1"/>
  <c r="N70" i="90" s="1"/>
  <c r="N276" i="90" s="1"/>
  <c r="J8" i="88"/>
  <c r="J61" i="104"/>
  <c r="P66" i="126" l="1"/>
  <c r="S62" i="126"/>
  <c r="O59" i="126"/>
  <c r="P59" i="126" s="1"/>
  <c r="I62" i="126"/>
  <c r="H67" i="126"/>
  <c r="L51" i="92"/>
  <c r="L9" i="92"/>
  <c r="L64" i="104"/>
  <c r="K50" i="91"/>
  <c r="E46" i="95"/>
  <c r="J62" i="120"/>
  <c r="I66" i="120"/>
  <c r="J66" i="104"/>
  <c r="L9" i="105"/>
  <c r="L65" i="104"/>
  <c r="L51" i="105"/>
  <c r="P56" i="104"/>
  <c r="O58" i="104"/>
  <c r="P58" i="104" s="1"/>
  <c r="J53" i="91"/>
  <c r="K63" i="104"/>
  <c r="K9" i="91"/>
  <c r="K9" i="90"/>
  <c r="J62" i="90"/>
  <c r="K62" i="104"/>
  <c r="K58" i="90"/>
  <c r="J47" i="93"/>
  <c r="J48" i="93" s="1"/>
  <c r="J62" i="88"/>
  <c r="J62" i="126" l="1"/>
  <c r="I67" i="126"/>
  <c r="M51" i="92"/>
  <c r="M64" i="104"/>
  <c r="M9" i="92"/>
  <c r="K62" i="120"/>
  <c r="J66" i="120"/>
  <c r="M51" i="105"/>
  <c r="M9" i="105"/>
  <c r="M65" i="104"/>
  <c r="J49" i="93"/>
  <c r="K8" i="88"/>
  <c r="K47" i="93" s="1"/>
  <c r="K48" i="93" s="1"/>
  <c r="L63" i="104"/>
  <c r="L9" i="91"/>
  <c r="L62" i="104"/>
  <c r="L9" i="90"/>
  <c r="L58" i="90"/>
  <c r="K61" i="104"/>
  <c r="K66" i="104" s="1"/>
  <c r="J67" i="126" l="1"/>
  <c r="K62" i="126"/>
  <c r="K62" i="88"/>
  <c r="N64" i="104"/>
  <c r="N51" i="92"/>
  <c r="O64" i="104" s="1"/>
  <c r="P64" i="104" s="1"/>
  <c r="N9" i="92"/>
  <c r="L62" i="120"/>
  <c r="K66" i="120"/>
  <c r="N65" i="104"/>
  <c r="N51" i="105"/>
  <c r="O65" i="104" s="1"/>
  <c r="P65" i="104" s="1"/>
  <c r="N9" i="105"/>
  <c r="M63" i="104"/>
  <c r="M9" i="91"/>
  <c r="M49" i="91"/>
  <c r="M62" i="104"/>
  <c r="M58" i="90"/>
  <c r="M9" i="90"/>
  <c r="L61" i="104" l="1"/>
  <c r="L66" i="104" s="1"/>
  <c r="L8" i="88"/>
  <c r="L62" i="88" s="1"/>
  <c r="K67" i="126"/>
  <c r="L62" i="126"/>
  <c r="K49" i="93"/>
  <c r="M62" i="120"/>
  <c r="L66" i="120"/>
  <c r="N63" i="104"/>
  <c r="N9" i="91"/>
  <c r="N49" i="91"/>
  <c r="O63" i="104" s="1"/>
  <c r="P63" i="104" s="1"/>
  <c r="N58" i="90"/>
  <c r="O62" i="104" s="1"/>
  <c r="P62" i="104" s="1"/>
  <c r="N9" i="90"/>
  <c r="N62" i="104"/>
  <c r="M8" i="88" l="1"/>
  <c r="M62" i="88" s="1"/>
  <c r="N8" i="88" s="1"/>
  <c r="L67" i="126"/>
  <c r="M62" i="126"/>
  <c r="M61" i="104"/>
  <c r="M66" i="104" s="1"/>
  <c r="N62" i="120"/>
  <c r="M66" i="120"/>
  <c r="N61" i="104" l="1"/>
  <c r="N66" i="104" s="1"/>
  <c r="N62" i="88"/>
  <c r="O61" i="104" s="1"/>
  <c r="P61" i="104" s="1"/>
  <c r="P66" i="104" s="1"/>
  <c r="M67" i="126"/>
  <c r="N62" i="126"/>
  <c r="O62" i="120"/>
  <c r="N66" i="120"/>
  <c r="O66" i="104" l="1"/>
  <c r="N67" i="126"/>
  <c r="O62" i="126"/>
  <c r="S66" i="126" s="1"/>
  <c r="S67" i="126" s="1"/>
  <c r="P62" i="120"/>
  <c r="P66" i="120" s="1"/>
  <c r="O66" i="120"/>
  <c r="H46" i="106"/>
  <c r="R66" i="104"/>
  <c r="O67" i="126" l="1"/>
  <c r="P62" i="126"/>
  <c r="P67" i="126" s="1"/>
  <c r="A205" i="11" l="1"/>
  <c r="A205" i="11" a="1"/>
  <c r="J65" i="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tc={13832CAA-C899-44F5-87EB-E80430C2489C}</author>
    <author>tc={9D41BFD6-D382-45DD-A3DF-8F003CF62CE0}</author>
    <author>tc={8098E43C-8494-47F6-B97C-9B439D0D45F1}</author>
    <author>tc={741F8D55-4ABA-4325-A4D6-D62B30E907E8}</author>
    <author>tc={FC786053-8760-4C45-A8ED-973693BABAF3}</author>
    <author>Eduardo Cuevas</author>
    <author>USER</author>
  </authors>
  <commentList>
    <comment ref="B175" authorId="0" shapeId="0" xr:uid="{13832CAA-C899-44F5-87EB-E80430C248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Sueldo mensual</t>
      </text>
    </comment>
    <comment ref="B176" authorId="1" shapeId="0" xr:uid="{9D41BFD6-D382-45DD-A3DF-8F003CF62C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Rendiciones de gastos viajes Viña - Stgo</t>
      </text>
    </comment>
    <comment ref="B177" authorId="2" shapeId="0" xr:uid="{8098E43C-8494-47F6-B97C-9B439D0D45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Rendiciones</t>
      </text>
    </comment>
    <comment ref="B178" authorId="3" shapeId="0" xr:uid="{741F8D55-4ABA-4325-A4D6-D62B30E907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Pago de bonificación mediante acuerdo ER</t>
      </text>
    </comment>
    <comment ref="B180" authorId="4" shapeId="0" xr:uid="{FC786053-8760-4C45-A8ED-973693BABA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Bono anual</t>
      </text>
    </comment>
    <comment ref="B247" authorId="5" shapeId="0" xr:uid="{266210BB-3D32-4374-A337-DBF62A136127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F/3544 contraolador cloud enero a junio 2024</t>
        </r>
      </text>
    </comment>
    <comment ref="C333" authorId="6" shapeId="0" xr:uid="{40349302-4B4C-48E2-BE34-B394848206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Serv. Aaeo of.1502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45" authorId="0" shapeId="0" xr:uid="{BD767537-D78D-42F7-BB6C-89F0BC8AE6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G161" authorId="0" shapeId="0" xr:uid="{58086690-3B80-443C-9DD2-684807219A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E177" authorId="0" shapeId="0" xr:uid="{64C10120-5B17-4C67-B8E6-32B6F18B74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E278" authorId="0" shapeId="0" xr:uid="{ADB85B58-FBE8-4D28-B87B-7ADBA2BFAA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Saldo F/arts.Redco</t>
        </r>
      </text>
    </comment>
    <comment ref="H280" authorId="0" shapeId="0" xr:uid="{9E6192FC-9FF7-4BF7-8F56-13E222DE9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I280" authorId="0" shapeId="0" xr:uid="{0623A687-2531-4643-BAE7-ABAEE2695D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D285" authorId="0" shapeId="0" xr:uid="{4517EBA8-3AC6-4999-9BDB-B0A4820D79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Pago semestral
Expansor wifi
</t>
        </r>
      </text>
    </comment>
    <comment ref="H290" authorId="0" shapeId="0" xr:uid="{6B8B32CD-4EB0-41BF-A150-D4A3DE62DC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I290" authorId="0" shapeId="0" xr:uid="{4AF80805-A25A-4B0E-B3E8-0D9A8D27BD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E400" authorId="0" shapeId="0" xr:uid="{2790477D-1D81-4FCC-8289-4D9F173EE4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P.Aguiluz rend.viaje</t>
        </r>
      </text>
    </comment>
    <comment ref="D404" authorId="0" shapeId="0" xr:uid="{223E5D11-E8E4-4087-A9ED-185D5A80BE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Aquifer SAC (percy Sulca)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tc={AE741CE9-4C12-4F65-8AC3-93DE1C5D3B4A}</author>
    <author>tc={B5846024-BFFF-44E5-85EB-73663EEFADA9}</author>
    <author>tc={8EF46716-F1C0-4618-A9BC-1A1C67C8D226}</author>
    <author>victor.fernandez@hsconsulting.com.pe</author>
    <author>tc={BFDB57DE-6D4E-4BE9-99B7-90A85858D922}</author>
    <author>tc={E9C82FAE-9DCB-4387-9719-48E69D7B057B}</author>
    <author>tc={57300174-FF79-4F7E-8099-51B8E9033AB9}</author>
    <author>tc={13DB442E-CC51-4751-A997-2E4A2DBC96F1}</author>
    <author>Eduardo Cuevas</author>
  </authors>
  <commentList>
    <comment ref="B66" authorId="0" shapeId="0" xr:uid="{EE65FE57-8DFE-4CC4-A121-5C004A42F0DF}">
      <text>
        <r>
          <rPr>
            <b/>
            <sz val="9"/>
            <color indexed="81"/>
            <rFont val="Tahoma"/>
            <family val="2"/>
          </rPr>
          <t>VFA:</t>
        </r>
        <r>
          <rPr>
            <sz val="9"/>
            <color indexed="81"/>
            <rFont val="Tahoma"/>
            <family val="2"/>
          </rPr>
          <t xml:space="preserve">
TODOS LOS MOVIMIENTOS A DOLARES</t>
        </r>
      </text>
    </comment>
    <comment ref="B72" authorId="1" shapeId="0" xr:uid="{AE741CE9-4C12-4F65-8AC3-93DE1C5D3B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Ingresos NETOS por facturas</t>
      </text>
    </comment>
    <comment ref="B93" authorId="2" shapeId="0" xr:uid="{B5846024-BFFF-44E5-85EB-73663EEFAD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Considerar ingresos por concepto de IGV de facturas separados del ingreso NETO</t>
      </text>
    </comment>
    <comment ref="B105" authorId="3" shapeId="0" xr:uid="{8EF46716-F1C0-4618-A9BC-1A1C67C8D2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Considerar sueldos líquidos para no afectar flujo del mes (NO BRUTOS)</t>
      </text>
    </comment>
    <comment ref="E123" authorId="4" shapeId="0" xr:uid="{3B51F0E0-300E-4F1E-A329-95C75F97E8E0}">
      <text>
        <r>
          <rPr>
            <sz val="11"/>
            <color theme="1"/>
            <rFont val="Calibri"/>
            <family val="2"/>
            <scheme val="minor"/>
          </rPr>
          <t>victor.fernandez@hsconsulting.com.pe:
Se pago parte de su sueldo de febrero en marzo ($ 718)</t>
        </r>
      </text>
    </comment>
    <comment ref="B185" authorId="5" shapeId="0" xr:uid="{BFDB57DE-6D4E-4BE9-99B7-90A85858D9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Separar por viaje</t>
      </text>
    </comment>
    <comment ref="M230" authorId="4" shapeId="0" xr:uid="{82D42E5A-25B5-49FF-979D-AF88DD9C1BC6}">
      <text>
        <r>
          <rPr>
            <sz val="11"/>
            <color theme="1"/>
            <rFont val="Calibri"/>
            <family val="2"/>
            <scheme val="minor"/>
          </rPr>
          <t xml:space="preserve">
$ 6,584 Stand Perumin</t>
        </r>
      </text>
    </comment>
    <comment ref="N230" authorId="4" shapeId="0" xr:uid="{B25E8F66-EFB8-462E-9304-80D8B7CEF3D4}">
      <text>
        <r>
          <rPr>
            <sz val="11"/>
            <color theme="1"/>
            <rFont val="Calibri"/>
            <family val="2"/>
            <scheme val="minor"/>
          </rPr>
          <t>victor.fernandez@hsconsulting.com.pe:
S/ 10,000 almeurzo navideño y vales de regalo
S/ 28237 gastos aduanas cables</t>
        </r>
      </text>
    </comment>
    <comment ref="B250" authorId="6" shapeId="0" xr:uid="{E9C82FAE-9DCB-4387-9719-48E69D7B05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Empresas Relacionadas</t>
      </text>
    </comment>
    <comment ref="B252" authorId="7" shapeId="0" xr:uid="{57300174-FF79-4F7E-8099-51B8E9033A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Préstamo desde redco chile</t>
      </text>
    </comment>
    <comment ref="B253" authorId="8" shapeId="0" xr:uid="{13DB442E-CC51-4751-A997-2E4A2DBC96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Prestamos E Rubio</t>
      </text>
    </comment>
    <comment ref="G276" authorId="9" shapeId="0" xr:uid="{789CB36B-9ECE-4D1E-8346-C05270760E61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Consultar con VF si monto considera detracciones y 12 kusd retenidos por tema de tarjeta usado por 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victor.fernandez@hsconsulting.com.pe</author>
    <author>Eduardo Cuevas</author>
  </authors>
  <commentList>
    <comment ref="B62" authorId="0" shapeId="0" xr:uid="{805A758A-DE60-4E83-AA6E-A61214CCC0AD}">
      <text>
        <r>
          <rPr>
            <sz val="11"/>
            <color indexed="8"/>
            <rFont val="Helvetica Neue"/>
            <family val="2"/>
          </rPr>
          <t>VFA:
TODOS LOS MOVIMIENTOS A DOLARES</t>
        </r>
      </text>
    </comment>
    <comment ref="M158" authorId="1" shapeId="0" xr:uid="{EC4460DF-8917-4449-A3E7-686501A56500}">
      <text>
        <r>
          <rPr>
            <sz val="11"/>
            <color indexed="8"/>
            <rFont val="Helvetica Neue"/>
            <family val="2"/>
          </rPr>
          <t>victor.fernandez@hsconsulting.com.pe:
$ 6,584 Stand Perumin</t>
        </r>
      </text>
    </comment>
    <comment ref="N158" authorId="1" shapeId="0" xr:uid="{C8EFC976-2527-420A-825B-69ECFC1032AF}">
      <text>
        <r>
          <rPr>
            <sz val="11"/>
            <color indexed="8"/>
            <rFont val="Helvetica Neue"/>
            <family val="2"/>
          </rPr>
          <t>victor.fernandez@hsconsulting.com.pe:
S/ 10,000 almeurzo navideño y vales de regalo
S/ 28237 gastos aduanas cables</t>
        </r>
      </text>
    </comment>
    <comment ref="G201" authorId="2" shapeId="0" xr:uid="{425EE488-5622-4F3F-9610-4BF0DD398D0E}">
      <text>
        <r>
          <rPr>
            <sz val="11"/>
            <color indexed="8"/>
            <rFont val="Helvetica Neue"/>
            <family val="2"/>
          </rPr>
          <t>Eduardo Cuevas:
Consultar con VF si monto considera detracciones y 12 kusd retenidos por tema de tarjeta usado por 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victor.fernandez@hsconsulting.com.pe</author>
    <author>Eduardo Cuevas</author>
  </authors>
  <commentList>
    <comment ref="B62" authorId="0" shapeId="0" xr:uid="{6525A4E0-5581-44A9-8C79-51B46F9721B7}">
      <text>
        <r>
          <rPr>
            <sz val="11"/>
            <color indexed="8"/>
            <rFont val="Helvetica Neue"/>
            <family val="2"/>
          </rPr>
          <t>VFA:
TODOS LOS MOVIMIENTOS A DOLARES</t>
        </r>
      </text>
    </comment>
    <comment ref="M153" authorId="1" shapeId="0" xr:uid="{A1BEF677-3E9B-45A1-92E3-952CCE9CD21C}">
      <text>
        <r>
          <rPr>
            <sz val="11"/>
            <color indexed="8"/>
            <rFont val="Helvetica Neue"/>
            <family val="2"/>
          </rPr>
          <t>victor.fernandez@hsconsulting.com.pe:
$ 6,584 Stand Perumin</t>
        </r>
      </text>
    </comment>
    <comment ref="N153" authorId="1" shapeId="0" xr:uid="{4A80BCF2-BE6B-4050-AFC2-C763110C41EB}">
      <text>
        <r>
          <rPr>
            <sz val="11"/>
            <color indexed="8"/>
            <rFont val="Helvetica Neue"/>
            <family val="2"/>
          </rPr>
          <t>victor.fernandez@hsconsulting.com.pe:
S/ 10,000 almeurzo navideño y vales de regalo
S/ 28237 gastos aduanas cables</t>
        </r>
      </text>
    </comment>
    <comment ref="G196" authorId="2" shapeId="0" xr:uid="{E15805B0-E85E-4A10-B345-25F2AB077EEA}">
      <text>
        <r>
          <rPr>
            <sz val="11"/>
            <color indexed="8"/>
            <rFont val="Helvetica Neue"/>
            <family val="2"/>
          </rPr>
          <t>Eduardo Cuevas:
Consultar con VF si monto considera detracciones y 12 kusd retenidos por tema de tarjeta usado por 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</authors>
  <commentList>
    <comment ref="B18" authorId="0" shapeId="0" xr:uid="{C103D498-7B00-42A0-A3C9-F69AE6D2FC40}">
      <text>
        <r>
          <rPr>
            <b/>
            <sz val="9"/>
            <color indexed="81"/>
            <rFont val="Tahoma"/>
            <family val="2"/>
          </rPr>
          <t>VFA:</t>
        </r>
        <r>
          <rPr>
            <sz val="9"/>
            <color indexed="81"/>
            <rFont val="Tahoma"/>
            <family val="2"/>
          </rPr>
          <t xml:space="preserve">
REDTEC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US$ 68.420
</t>
        </r>
      </text>
    </comment>
    <comment ref="D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US$25.265</t>
        </r>
      </text>
    </comment>
    <comment ref="E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US$37.895
</t>
        </r>
      </text>
    </comment>
    <comment ref="J5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US$22.500
</t>
        </r>
      </text>
    </comment>
    <comment ref="M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US$103.542
</t>
        </r>
      </text>
    </comment>
    <comment ref="L7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US$13.400</t>
        </r>
      </text>
    </comment>
    <comment ref="C39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US$ 68.420
</t>
        </r>
      </text>
    </comment>
    <comment ref="D39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US$25.265</t>
        </r>
      </text>
    </comment>
    <comment ref="E3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US$37.895
</t>
        </r>
      </text>
    </comment>
    <comment ref="J3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US$22.500
</t>
        </r>
      </text>
    </comment>
    <comment ref="M4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US$103.542
</t>
        </r>
      </text>
    </comment>
    <comment ref="L4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US$13.400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C299B-CF42-4EAF-BE53-480346261E51}" keepAlive="1" name="Consulta - Gasto Brasil USD" description="Conexión a la consulta 'Gasto Brasil USD' en el libro." type="5" refreshedVersion="0" background="1" saveData="1">
    <dbPr connection="Provider=Microsoft.Mashup.OleDb.1;Data Source=$Workbook$;Location=&quot;Gasto Brasil USD&quot;;Extended Properties=&quot;&quot;" command="SELECT * FROM [Gasto Brasil USD]"/>
  </connection>
  <connection id="2" xr16:uid="{1CDADDB9-9767-4F0E-ACBD-1E4AEB9747B0}" keepAlive="1" name="Consulta - Gasto BVI USD" description="Conexión a la consulta 'Gasto BVI USD' en el libro." type="5" refreshedVersion="0" background="1" saveData="1">
    <dbPr connection="Provider=Microsoft.Mashup.OleDb.1;Data Source=$Workbook$;Location=&quot;Gasto BVI USD&quot;;Extended Properties=&quot;&quot;" command="SELECT * FROM [Gasto BVI USD]"/>
  </connection>
  <connection id="3" xr16:uid="{629E0957-D012-45AF-99BF-9B2815EAD407}" keepAlive="1" name="Consulta - Gasto Consolidado" description="Conexión a la consulta 'Gasto Consolidado' en el libro." type="5" refreshedVersion="8" background="1" saveData="1">
    <dbPr connection="Provider=Microsoft.Mashup.OleDb.1;Data Source=$Workbook$;Location=&quot;Gasto Consolidado&quot;;Extended Properties=&quot;&quot;" command="SELECT * FROM [Gasto Consolidado]"/>
  </connection>
  <connection id="4" xr16:uid="{8445747E-17F1-456B-9F27-79B9F7106CB0}" keepAlive="1" name="Consulta - Gasto Consolidado (2)" description="Conexión a la consulta 'Gasto Consolidado (2)' en el libro." type="5" refreshedVersion="8" background="1" saveData="1">
    <dbPr connection="Provider=Microsoft.Mashup.OleDb.1;Data Source=$Workbook$;Location=&quot;Gasto Consolidado (2)&quot;;Extended Properties=&quot;&quot;" command="SELECT * FROM [Gasto Consolidado (2)]"/>
  </connection>
  <connection id="5" xr16:uid="{D308AFBB-EC7F-4312-93A9-7725AA29178D}" keepAlive="1" name="Consulta - Gasto USA USD" description="Conexión a la consulta 'Gasto USA USD' en el libro." type="5" refreshedVersion="0" background="1" saveData="1">
    <dbPr connection="Provider=Microsoft.Mashup.OleDb.1;Data Source=$Workbook$;Location=&quot;Gasto USA USD&quot;;Extended Properties=&quot;&quot;" command="SELECT * FROM [Gasto USA USD]"/>
  </connection>
  <connection id="6" xr16:uid="{0DB03E25-F345-42C3-BF33-5851F6533E83}" keepAlive="1" name="Consulta - Gastos Budget 2025" description="Conexión a la consulta 'Gastos Budget 2025' en el libro." type="5" refreshedVersion="8" background="1" saveData="1">
    <dbPr connection="Provider=Microsoft.Mashup.OleDb.1;Data Source=$Workbook$;Location=&quot;Gastos Budget 2025&quot;;Extended Properties=&quot;&quot;" command="SELECT * FROM [Gastos Budget 2025]"/>
  </connection>
  <connection id="7" xr16:uid="{61A3C896-9CED-4E90-87C4-07FC5BCEC028}" keepAlive="1" name="Consulta - Gastos Chile USD" description="Conexión a la consulta 'Gastos Chile USD' en el libro." type="5" refreshedVersion="8" background="1" saveData="1">
    <dbPr connection="Provider=Microsoft.Mashup.OleDb.1;Data Source=$Workbook$;Location=&quot;Gastos Chile USD&quot;;Extended Properties=&quot;&quot;" command="SELECT * FROM [Gastos Chile USD]"/>
  </connection>
  <connection id="8" xr16:uid="{4A435A30-32EC-46AE-B4C2-2EBFE31B1707}" keepAlive="1" name="Consulta - Gastos Perú USD" description="Conexión a la consulta 'Gastos Perú USD' en el libro." type="5" refreshedVersion="8" background="1">
    <dbPr connection="Provider=Microsoft.Mashup.OleDb.1;Data Source=$Workbook$;Location=&quot;Gastos Perú USD&quot;;Extended Properties=&quot;&quot;" command="SELECT * FROM [Gastos Perú USD]"/>
  </connection>
  <connection id="9" xr16:uid="{550CA097-B02E-4571-8FBA-928D82BE3311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<sst xmlns="http://schemas.openxmlformats.org/spreadsheetml/2006/main" count="5491" uniqueCount="1930">
  <si>
    <t>INGENIERÍA REDCO LTDA.</t>
  </si>
  <si>
    <t>RESUMEN</t>
  </si>
  <si>
    <t>SALDO CTA. CTE. INICIAL</t>
  </si>
  <si>
    <t>INGRESOS OPERACIONALES</t>
  </si>
  <si>
    <t>INGRESO NO OPERACIONAL (IVA DEBITO)</t>
  </si>
  <si>
    <t>OTROS INGRESOS NO OPERACIONALES</t>
  </si>
  <si>
    <t>TOTAL INGRESOS</t>
  </si>
  <si>
    <t>SUELDOS OPERACIONALES</t>
  </si>
  <si>
    <t>HONORARIOS OPERACIONALES</t>
  </si>
  <si>
    <t>GASTOS OPERACIONALES</t>
  </si>
  <si>
    <t>ACTIVO FIJO- EQUIPOS COMPUTACIONALES</t>
  </si>
  <si>
    <t>TOTAL COSTOS OPERACIONALES</t>
  </si>
  <si>
    <t>SUELDOS ADMINISTRATIVOS</t>
  </si>
  <si>
    <t>GASTOS DE  ADMINISTRACION</t>
  </si>
  <si>
    <t>TOTAL COSTO ADMINISTRATIVO</t>
  </si>
  <si>
    <t>IMPUESTOS PPM-IVA-IMPTO.ADICIONAL</t>
  </si>
  <si>
    <t>CREDITOS BCO.CHILE</t>
  </si>
  <si>
    <t xml:space="preserve">CTA.CTE. EERR </t>
  </si>
  <si>
    <t>TOTAL OTROS FLUJOS</t>
  </si>
  <si>
    <t>TOTAL COSTOS Y FLUJOS ANUAL</t>
  </si>
  <si>
    <t xml:space="preserve">SALDO NETO FLUJO </t>
  </si>
  <si>
    <t>INGRESOS INGENIERÍA CHILE</t>
  </si>
  <si>
    <t>CLIENTE</t>
  </si>
  <si>
    <t>MONTO  $</t>
  </si>
  <si>
    <t>CPM   Plan LOM Estabilizado. PFS UG y LINK LP del Valle; El Romeral</t>
  </si>
  <si>
    <t>MEL - Contrato Servicio Enoteca</t>
  </si>
  <si>
    <t xml:space="preserve">Antofagasta Mineral </t>
  </si>
  <si>
    <t>CEOM - Servicios de ingenieria</t>
  </si>
  <si>
    <t>AMSA - Asesoria Centinela</t>
  </si>
  <si>
    <t>BHP CHILE INC S.A. Aseso.y Rev.de alto nivel Escondida UG</t>
  </si>
  <si>
    <t>IVA DEBITO FISCAL</t>
  </si>
  <si>
    <t>SUMAS</t>
  </si>
  <si>
    <t>INGRESOS EXTRAORDINARIOS</t>
  </si>
  <si>
    <t>Aportes FFMM dólares</t>
  </si>
  <si>
    <t>PERIODO 2023</t>
  </si>
  <si>
    <t>TOTAL INGRESOS MES</t>
  </si>
  <si>
    <t xml:space="preserve">TOTAL  INGRESOS + SALDO CTA.CTE. </t>
  </si>
  <si>
    <t>REMUNERACIONES OPERACIONAL</t>
  </si>
  <si>
    <t xml:space="preserve">DETALLE </t>
  </si>
  <si>
    <t>Alex Pacheco C.</t>
  </si>
  <si>
    <t>Matías Fuentes B.</t>
  </si>
  <si>
    <t>Olesya Dashavskaya</t>
  </si>
  <si>
    <t>Felipe Rojas Z.</t>
  </si>
  <si>
    <t>Pedro Aguiluz P.</t>
  </si>
  <si>
    <t>Alex Figueroa</t>
  </si>
  <si>
    <t>Felipe Lira A.</t>
  </si>
  <si>
    <t>Nicolás Ayarza D.</t>
  </si>
  <si>
    <t>Cristián  Alarcón</t>
  </si>
  <si>
    <t>Emilio Sánchez</t>
  </si>
  <si>
    <t>Daniela Oyarzo E.</t>
  </si>
  <si>
    <t>Nicolás Sanzana</t>
  </si>
  <si>
    <t>Gerson Alfaro</t>
  </si>
  <si>
    <t>Eduardo Cuevas</t>
  </si>
  <si>
    <t>Mauricio Melendez</t>
  </si>
  <si>
    <t>Isidora Figueroa</t>
  </si>
  <si>
    <t>Diego Muñoz</t>
  </si>
  <si>
    <t>Freddy Díaz</t>
  </si>
  <si>
    <t>Jonathan Galvez</t>
  </si>
  <si>
    <t>Marcelo Mendoza</t>
  </si>
  <si>
    <t>Victor Mohana Tapia</t>
  </si>
  <si>
    <t>Roxana Avilés</t>
  </si>
  <si>
    <t xml:space="preserve">Joél Pérez </t>
  </si>
  <si>
    <t>José Pizarro</t>
  </si>
  <si>
    <t>Claudio Hernandez</t>
  </si>
  <si>
    <t>Pablo Quiero</t>
  </si>
  <si>
    <t>Matías Cid Uslar</t>
  </si>
  <si>
    <t>Impuesto Unico Trabajadores</t>
  </si>
  <si>
    <t>Aguinaldos</t>
  </si>
  <si>
    <t>Subtotal</t>
  </si>
  <si>
    <t>Cotizaciones Previsionales</t>
  </si>
  <si>
    <t>HONORARIOS OPERACIONAL</t>
  </si>
  <si>
    <t>Patricio Vegara (EEUU)</t>
  </si>
  <si>
    <t>Osvaldo Ulloa</t>
  </si>
  <si>
    <t>Ricardo Miranda</t>
  </si>
  <si>
    <t xml:space="preserve">Ricardo Miranda M. </t>
  </si>
  <si>
    <t>Freddy Centeno</t>
  </si>
  <si>
    <t>Alejandro Espinosa Factura 35 dic.2023</t>
  </si>
  <si>
    <t>Rodrigo Godoy</t>
  </si>
  <si>
    <t>José Mamani</t>
  </si>
  <si>
    <t>Impto. 10% Retenidos Honorarios</t>
  </si>
  <si>
    <t>Tarjeta de crédito</t>
  </si>
  <si>
    <t xml:space="preserve">GASTOS OPERACIONALES </t>
  </si>
  <si>
    <t>Latam Pasajes aereos:</t>
  </si>
  <si>
    <t>Americo Zuzunaga</t>
  </si>
  <si>
    <t>ERubio-MFuentes Lima-Stgo-Lima</t>
  </si>
  <si>
    <t>Clinton Yahuira pjes Latam</t>
  </si>
  <si>
    <t>Claudio Hernández Lima-Stgo-Lima</t>
  </si>
  <si>
    <t>Cynthia y OSCAR Lima-Stgo-Lima</t>
  </si>
  <si>
    <t>Andrés Budini Lima-Stgo-Lima</t>
  </si>
  <si>
    <t>A.Espinoza Stgo-Lima-Stgo.</t>
  </si>
  <si>
    <t>A.Z-P.V-F.R.-R.P. Stgo-Calama-Stgo</t>
  </si>
  <si>
    <t>N.Rumino Stgo -Calama-Stgo</t>
  </si>
  <si>
    <t>R.P.-A.Z-P.V.-F.R.-N.R Antofagasta AMSA</t>
  </si>
  <si>
    <t>A.Zuzunaga Lima-Sgo-Lima</t>
  </si>
  <si>
    <t>Pasajes aereos Sky:</t>
  </si>
  <si>
    <t>Nelson Rumino La Serena</t>
  </si>
  <si>
    <t>M-Fuentes gtos. viaje EEUU Phoenix</t>
  </si>
  <si>
    <t>Hotel Cumbres estdai A. Schettino- A. Zuzunaga</t>
  </si>
  <si>
    <t>Uber Cabifyc Mfuentes</t>
  </si>
  <si>
    <t>Doña Tina Almuerzo Redco fin de año</t>
  </si>
  <si>
    <t>Pasajes aereos E-Destino</t>
  </si>
  <si>
    <t>Almuerzos/combustible E.Rubio</t>
  </si>
  <si>
    <t>TC US$ viajes  Internacionales E.Rubio</t>
  </si>
  <si>
    <t>TC US$ viajes  Internacionales M.Fuentes</t>
  </si>
  <si>
    <t>Comisón TC. Compras Internacionales</t>
  </si>
  <si>
    <t>American Airlines pasajes</t>
  </si>
  <si>
    <t>Hotel Costa Real La Serena (R.P-F.M.-N.R)</t>
  </si>
  <si>
    <t>Maihue máquina agua</t>
  </si>
  <si>
    <t xml:space="preserve">Gastos menores </t>
  </si>
  <si>
    <t>Boletas de garantía CMP Comisión+i</t>
  </si>
  <si>
    <t>ATX Mexico (M365 Business Standard-simple-Oficce 365)</t>
  </si>
  <si>
    <t>SGS MINERALS S.A. 50%</t>
  </si>
  <si>
    <t>Trompa Producciones Servicio Publicitario mensual</t>
  </si>
  <si>
    <t>Trompa Producciones diciembre - febrero</t>
  </si>
  <si>
    <t>Trompa Producciones pendon-volantes</t>
  </si>
  <si>
    <t>ACHS examen de altura RM</t>
  </si>
  <si>
    <t>Asesorías BIBA Ltda. Controlador cloud</t>
  </si>
  <si>
    <t>Mario Correa Arriendo dpto. 3 dormitorios+gtos.comunes+ serv.</t>
  </si>
  <si>
    <t>Hotel Acacias (Taller de Gestión Estrategica)</t>
  </si>
  <si>
    <t>DHL EXPRESS (CHILE) LIMITADA</t>
  </si>
  <si>
    <t>CONSTRUCCION SERVI TRES SPA</t>
  </si>
  <si>
    <t>ACTIVO FIJO</t>
  </si>
  <si>
    <t>SUELDOS DE ADMINISTRACION</t>
  </si>
  <si>
    <t xml:space="preserve">Gladys Myriam Muñoz </t>
  </si>
  <si>
    <t>Reemplazo serv aseo of (vacaciones Gladys)</t>
  </si>
  <si>
    <t>Aguinaldo</t>
  </si>
  <si>
    <t>GASTOS DE ADMINISTRACION</t>
  </si>
  <si>
    <t>Gastos Bancarios</t>
  </si>
  <si>
    <t>ENTEL Red fija e internet</t>
  </si>
  <si>
    <t>Transp. Nueva Apoquindo  Ltda.</t>
  </si>
  <si>
    <t>Salcedo &amp; Cia.  Limitada (Asesoria Tributaria)</t>
  </si>
  <si>
    <t>Seguro de Vida y Salud METLIFE REDCO</t>
  </si>
  <si>
    <t>Software DEFONTANA (Implementacion + 3M servicio)</t>
  </si>
  <si>
    <t>Nespresso  Chile S.A.</t>
  </si>
  <si>
    <t>IMPUESTOS</t>
  </si>
  <si>
    <t>IMPTO.ADICIONAL 20%</t>
  </si>
  <si>
    <t>CREDITO BCO.CHILE</t>
  </si>
  <si>
    <t>Dividendo Hipotecario Of.</t>
  </si>
  <si>
    <t>GTOS. EXTRAORDINARIOS DIRECTOR REDCO</t>
  </si>
  <si>
    <t xml:space="preserve">Seguro Camioneta/Tag  </t>
  </si>
  <si>
    <t>Seguro de vida E.R. Colmena</t>
  </si>
  <si>
    <t>Forum Crédito  cmta. Ford Ranger Raptor</t>
  </si>
  <si>
    <t xml:space="preserve">CUENTA CORRIENTE EERR </t>
  </si>
  <si>
    <t xml:space="preserve">TOTAL COSTOS Y FLUJOS </t>
  </si>
  <si>
    <t>Fecha</t>
  </si>
  <si>
    <t>Carlos Puga</t>
  </si>
  <si>
    <t>INGENIERIA REDCO LIMITADA</t>
  </si>
  <si>
    <t>RUT 76.063.790-4</t>
  </si>
  <si>
    <t>DÓLAR</t>
  </si>
  <si>
    <t>FACTURACIONES E INGRESOS AÑO 2024</t>
  </si>
  <si>
    <t>INGRESOS  NETOS  US$</t>
  </si>
  <si>
    <t>F.EMISION</t>
  </si>
  <si>
    <t>FACTURA</t>
  </si>
  <si>
    <t>PROYECTO</t>
  </si>
  <si>
    <t>MONTO NETO $</t>
  </si>
  <si>
    <t>IVA</t>
  </si>
  <si>
    <t>5% RETENCION</t>
  </si>
  <si>
    <t xml:space="preserve">PENDIENTE </t>
  </si>
  <si>
    <t>TOTAL PAGADO</t>
  </si>
  <si>
    <t>FECHA PAGO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</si>
  <si>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</si>
  <si>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</si>
  <si>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</si>
  <si>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</si>
  <si>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</si>
  <si>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</si>
  <si>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</si>
  <si>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</si>
  <si>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SEPIEMBRE</t>
  </si>
  <si>
    <t>OCTUBRE</t>
  </si>
  <si>
    <t xml:space="preserve">NOVIEMBRE </t>
  </si>
  <si>
    <t>DICIEMBRE</t>
  </si>
  <si>
    <t>COMPAÑÍA MINERA LOMAS BAYAS</t>
  </si>
  <si>
    <t>EdP03 Servicio Consultoría Planificación LOA UP</t>
  </si>
  <si>
    <t>ANTOFAGASTA MINERAL S.A.</t>
  </si>
  <si>
    <t xml:space="preserve">EdP04 Implementación Herramientas </t>
  </si>
  <si>
    <t xml:space="preserve">EdP05 Implementación Herramientas </t>
  </si>
  <si>
    <t>CIA. MINERA DEL PACIFICO S.A.</t>
  </si>
  <si>
    <t>OTIC CCHC Workshop Planif.Estratégica  y Optim.</t>
  </si>
  <si>
    <t>EdP14 Ing. Básico Proy. Algarrobo Finos</t>
  </si>
  <si>
    <t>Edp14 Desarrollo Estudio Minería FEL2 A</t>
  </si>
  <si>
    <t>CODELCO  29-12-23</t>
  </si>
  <si>
    <t>Edp01 Ing.Exploratoria proy. Cluster Toki Subterráneo</t>
  </si>
  <si>
    <t>CODELCO 29-12-23</t>
  </si>
  <si>
    <t>Edp02 Ing.Exploratoria proy. Cluster Toki Subterráneo</t>
  </si>
  <si>
    <t>CODELCO</t>
  </si>
  <si>
    <t>Edp03 Estudio Proyecto Explotación Falla Oeste Nivel 1</t>
  </si>
  <si>
    <t>EdP01 Serv.Estudios Extención Panel Central</t>
  </si>
  <si>
    <t>EdP09 Estudio Estabilización y Optim. de Romeral</t>
  </si>
  <si>
    <t>CIA. SIDERURGICA HUACHIPATO S.A.</t>
  </si>
  <si>
    <t>EdP01  Estudio Plan largo  Plazo Mina Guarello</t>
  </si>
  <si>
    <t>EdP01 Serv. Estudio Compromiso PND de Nvo. Sist.TTE</t>
  </si>
  <si>
    <t>Edp15 Desarrollo Estudio Minería FEL2 A</t>
  </si>
  <si>
    <t>EdP10 Estudio Estabilización y Optim. de Romeral</t>
  </si>
  <si>
    <t>Edp03 Ing.Exploratoria proy. Cluster Toki Subterráneo</t>
  </si>
  <si>
    <t>EdP01 Plan LOM Estabilizado. PFS UG y LINK LP del Valle; El Romeral</t>
  </si>
  <si>
    <t>Edp01 Estudio Proyecto Explotación Falla Oeste Nivel 1</t>
  </si>
  <si>
    <t>Edp02 Estudio Proyecto Explotación Falla Oeste Nivel 1</t>
  </si>
  <si>
    <t>EdP02 Serv.Estudios Extención Panel Central</t>
  </si>
  <si>
    <t>EdP03 Serv.Estudios Extención Panel Central</t>
  </si>
  <si>
    <t>EdP01 Serv.Capacitación y Contsrucc. Modelos Prep.minera ( Deswik)</t>
  </si>
  <si>
    <t>CIA.MINERA DEL PACIFICO S.A.</t>
  </si>
  <si>
    <t>EdP02 Plan LOM Estabilizado. PFS UG y LINK LP del Valle; El Romeral</t>
  </si>
  <si>
    <t>F.Estimada pago</t>
  </si>
  <si>
    <t>EdP02 Serv. Estudio Compromiso PND de Nvo. Sist.TTE</t>
  </si>
  <si>
    <t>EdP02 Estudio Plan largo  Plazo Mina Guarello</t>
  </si>
  <si>
    <t>EdP03  Estudio Plan largo  Plazo Mina Guarello</t>
  </si>
  <si>
    <t>Edp16 Desarrollo Estudio Minería FEL2 A</t>
  </si>
  <si>
    <t>CONS.Y OP.MINERAS Y SERV CEOMS SPA</t>
  </si>
  <si>
    <t>EdP01 Servicios de asesoría Minera</t>
  </si>
  <si>
    <t>EdP02 Serv.Capacitación y Contsrucc. Modelos Prep.minera ( Deswik)</t>
  </si>
  <si>
    <t>Edp17 Desarrollo Estudio Minería FEL2 A</t>
  </si>
  <si>
    <t>TOTAL</t>
  </si>
  <si>
    <t>INGRESOS ENERO 2024</t>
  </si>
  <si>
    <t>FECHA EMISION</t>
  </si>
  <si>
    <t>INGRESOS FEBRERO 2024</t>
  </si>
  <si>
    <t>INGRESOS MARZO 2024</t>
  </si>
  <si>
    <t>EdP01 Serv.Capacitación y Contsrucc.&gt;Modelos</t>
  </si>
  <si>
    <t>INGRESOS ABRIL 2024</t>
  </si>
  <si>
    <t>Crédito</t>
  </si>
  <si>
    <t>UF 2.022,45,</t>
  </si>
  <si>
    <t xml:space="preserve"> CMP Proyecto Algarrobo Finos </t>
  </si>
  <si>
    <t>V/ 30-05-2024</t>
  </si>
  <si>
    <t>Efectivo</t>
  </si>
  <si>
    <t xml:space="preserve"> M$9.692,</t>
  </si>
  <si>
    <t xml:space="preserve"> CMP El Romeral (PFS UG y Link) </t>
  </si>
  <si>
    <t>V/ 30-08-2024</t>
  </si>
  <si>
    <t>FECHA</t>
  </si>
  <si>
    <t>MONTO $</t>
  </si>
  <si>
    <t>REDCROSS</t>
  </si>
  <si>
    <t>SUMA</t>
  </si>
  <si>
    <t>TOTAL INGRESOS REDCO CHILE</t>
  </si>
  <si>
    <t xml:space="preserve">Patente Comercial </t>
  </si>
  <si>
    <t>INGRESOS VENTAS AÑO 2021</t>
  </si>
  <si>
    <t>Codelco- Incremento Productividad Corporativa</t>
  </si>
  <si>
    <t>US$181.145</t>
  </si>
  <si>
    <t>Norilsk Nickel -Auditoria Técnica Geomecánica Minas Taimyrsky y Komsomolsky</t>
  </si>
  <si>
    <t>US$ 232.877</t>
  </si>
  <si>
    <t>Norilsk Nickel - Updating Numerical Model Taimyrsky</t>
  </si>
  <si>
    <t>US$13.400</t>
  </si>
  <si>
    <t>Norilsk Nickel Auditoría Protocolo Medición Geomecánico Mayak</t>
  </si>
  <si>
    <t>US$55.100</t>
  </si>
  <si>
    <t>Norilsk Nickel - Superv.estudios geomecánicos dentro de los límites de la mina Mayak (1-2 etapa)</t>
  </si>
  <si>
    <t>US$1.550.000</t>
  </si>
  <si>
    <t>PFS Mayak 1 Fase</t>
  </si>
  <si>
    <t>Teck - Simulación apoyo PI y SA de QB2 y acompañamiento consultivo</t>
  </si>
  <si>
    <t>MCI - Sierra Tofo Mining District Resource Development Plan</t>
  </si>
  <si>
    <t>MEL - Contrato Marco Planning and Technical FY21 - FY22</t>
  </si>
  <si>
    <t>CEMIN -Trade off métodos de explotación Proyecto de Expansión de Pullalli</t>
  </si>
  <si>
    <t xml:space="preserve">BHP </t>
  </si>
  <si>
    <t>Soc. Exploración y Desarrollo Minero</t>
  </si>
  <si>
    <t>Compañía Minera del Pacifico S.A.</t>
  </si>
  <si>
    <t>US$95.570</t>
  </si>
  <si>
    <t>Anglo - Technical Services to Perform a Risk Assessment for RDP Planning of Los Bronces</t>
  </si>
  <si>
    <t>Minera Candelaria - Consultoria Assessment Planificación Minera Distrito Candelaria</t>
  </si>
  <si>
    <t>CMP Retención 5%  facturación</t>
  </si>
  <si>
    <t>MC Inv. NC. x Vta.2020</t>
  </si>
  <si>
    <t>Ingresos Facturación 2020</t>
  </si>
  <si>
    <t>CMP Factura 453 a pagar Enero 2021</t>
  </si>
  <si>
    <t>Cuadratura Facturación  2021</t>
  </si>
  <si>
    <t>Cuadratura Ingresosajustado</t>
  </si>
  <si>
    <t>FACTURACION VENTAS AÑO 2021</t>
  </si>
  <si>
    <t>total</t>
  </si>
  <si>
    <t>Minera Escondida Ltda.</t>
  </si>
  <si>
    <t>MC Inversiones Limitada</t>
  </si>
  <si>
    <t xml:space="preserve">Compañía Minera TECK Quebrada </t>
  </si>
  <si>
    <t>Compañía Minera Pullali</t>
  </si>
  <si>
    <t xml:space="preserve">Soc. de Exploración  y Desarrollo Minero </t>
  </si>
  <si>
    <t>BHP Chile INC</t>
  </si>
  <si>
    <t>Compañía Contractual Minera Candelaria</t>
  </si>
  <si>
    <t>AA TS Services LTD (UK)</t>
  </si>
  <si>
    <t>Norilsk Nickel Auditoría Protocolo Med. Geomecánico Mayak</t>
  </si>
  <si>
    <t>Norilsk Nickel - Superv.estudios geomecánicos mina Mayak (1-2 etapa)</t>
  </si>
  <si>
    <t>TOTAL FACTURACIO REDCO CHILE 2021</t>
  </si>
  <si>
    <t>EdP01 Asesoría Plan 2024 y Quinqueno 2024-2028</t>
  </si>
  <si>
    <t>EdP04  Estudio Plan largo  Plazo Mina Guarello</t>
  </si>
  <si>
    <t>EdP15 Ing. Básico Proy. Algarrobo Finos</t>
  </si>
  <si>
    <t>EdP03 Plan LOM Estabilizado. PFS UG y LINK LP del Valle; El Romeral</t>
  </si>
  <si>
    <t>EdP05  Estudio Plan largo  Plazo Mina Guarello</t>
  </si>
  <si>
    <t>EdP04 Plan LOM Estabilizado. PFS UG y LINK LP del Valle; El Romeral</t>
  </si>
  <si>
    <t>EdP01 Construcción Manuales Mínimos Estándares Planes Anuales</t>
  </si>
  <si>
    <t>EdP02 Asesoría Plan 2024 y Quinqueno 2024-2028</t>
  </si>
  <si>
    <t>CIA.CONTRACTUAL MINERA CANDELARIA</t>
  </si>
  <si>
    <t>EdP01 Servicios de Ingeniería de Valor Proyecto CUGEP</t>
  </si>
  <si>
    <t>Edp18 Desarrollo Estudio Minería FEL2 A</t>
  </si>
  <si>
    <t>Cristóbal Ventura</t>
  </si>
  <si>
    <t>Crédito Bco.Chile - Pmo. Redco Perú</t>
  </si>
  <si>
    <t>Rescate Fondos Mutuos</t>
  </si>
  <si>
    <t>Otros Ingresos No Operacioanles (dev.proveedor)</t>
  </si>
  <si>
    <t>INGRESOS MAYO 2024</t>
  </si>
  <si>
    <t>Ricardo Miranda reembolso TAG y Combustible mayo</t>
  </si>
  <si>
    <t>Ricardo Miranda difrencia TAG abril</t>
  </si>
  <si>
    <t>Mario Correa Arriendo dpto. Gtos.básicos + gtos. Comunes 2 meses</t>
  </si>
  <si>
    <t>Tag autorpista Camoneta Ranger</t>
  </si>
  <si>
    <t>AMSA -  Construcción Manuales Minimo Standares</t>
  </si>
  <si>
    <t>Rescate  FFMM pesos</t>
  </si>
  <si>
    <t>Contribuciones Bs. Rs</t>
  </si>
  <si>
    <t>SUMAS CTAS. CTES.BCO.CHLE  PESOS</t>
  </si>
  <si>
    <t>Inv. y Asesorías Huerquehue SpA</t>
  </si>
  <si>
    <t>Mario Correa Arriendo dpto. 3 dormitorios+gtos.comunes+ serv. Mayo</t>
  </si>
  <si>
    <t>Comunidad Edificio kennedy  mayo</t>
  </si>
  <si>
    <t>ENTEL PCS Moviles mayo</t>
  </si>
  <si>
    <t>ENEL mayo</t>
  </si>
  <si>
    <t>Fundación Arturo López Pérez mayo</t>
  </si>
  <si>
    <t>Back Office - REDCROSS (transferido)</t>
  </si>
  <si>
    <t>BHP CHILE INC</t>
  </si>
  <si>
    <t>EdP01 Análisis de confiabilidad e Identificación de cuellos de botella de Plan 2YB25</t>
  </si>
  <si>
    <t>Boletas de garantía CMP intereses</t>
  </si>
  <si>
    <t>IMPTO.TIMBRE Y ESTAMPILLA</t>
  </si>
  <si>
    <t>Edp19 Desarrollo Estudio Minería FEL2 A</t>
  </si>
  <si>
    <t>M. Candelaria Servicios de Ingeniería de Valor Proyecto CUGEP</t>
  </si>
  <si>
    <t>Id</t>
  </si>
  <si>
    <t xml:space="preserve">De </t>
  </si>
  <si>
    <t>Para</t>
  </si>
  <si>
    <t>Monto (KUS$)</t>
  </si>
  <si>
    <t>observación</t>
  </si>
  <si>
    <t>REDCO Chile</t>
  </si>
  <si>
    <t>REDCO Peru</t>
  </si>
  <si>
    <t>Para boleta de garantia de Hampton, proyecto Los Calatos</t>
  </si>
  <si>
    <t>Para cubrir aguinaldos y bonos de Redco Peru</t>
  </si>
  <si>
    <t>REDCO BVI</t>
  </si>
  <si>
    <t>Para cubrir sueldos e inversiones</t>
  </si>
  <si>
    <t>Para cubrir boleta de BHP</t>
  </si>
  <si>
    <t xml:space="preserve">Redco Peru </t>
  </si>
  <si>
    <t>Abono prestamo</t>
  </si>
  <si>
    <t>Prestamo para pago de consultores de gestión, y gastos de Junio 24</t>
  </si>
  <si>
    <t>Cubrir gastos proyectados mes de Junio 24</t>
  </si>
  <si>
    <t>EdP05 Plan LOM Estabilizado. PFS UG y LINK LP del Valle; El Romeral</t>
  </si>
  <si>
    <t>EdP03 Asesoría Plan 2024 y Quinqueno 2024-2028</t>
  </si>
  <si>
    <t>SALDO CUENTA CORRIENTE BANCO CHILE $</t>
  </si>
  <si>
    <t>INGRESOS JUNIO 2024</t>
  </si>
  <si>
    <t>30% de 239.200 USD Pago 01 Los Bronces Mine Plan Review</t>
  </si>
  <si>
    <t xml:space="preserve">Caja Chica </t>
  </si>
  <si>
    <t>Forgat Crédito Bco.Chile 18 cuotas Julio-24 a Dic.25</t>
  </si>
  <si>
    <t>MC Inversiones Limitada - 30% de 239.200 USD Pago 01 Los Bronces Mine Plan Review</t>
  </si>
  <si>
    <t>Cubrir Donación Choshueco</t>
  </si>
  <si>
    <t>Prisa S.A. arts. Aseso y cocina</t>
  </si>
  <si>
    <t xml:space="preserve"> </t>
  </si>
  <si>
    <t>Edp20 Desarrollo Estudio Minería FEL2 A</t>
  </si>
  <si>
    <t>VRS</t>
  </si>
  <si>
    <t>CMP Mina Los Colorados dev. retención 5%</t>
  </si>
  <si>
    <t>EdP03 Serv. Estudio Compromiso PND de Nvo. Sist.TTE</t>
  </si>
  <si>
    <t>EdP16 Ing. Básico Proy. Algarrobo Finos</t>
  </si>
  <si>
    <t>INGRESOS JULIO 2024</t>
  </si>
  <si>
    <t>INGRESOS AGOSTO 2024</t>
  </si>
  <si>
    <t>EdP04 Asesoría Plan 2024 y Quinqueno 2024-2028</t>
  </si>
  <si>
    <t>EdP02 Construcción Manuales Mínimos Estándares Planes Anuales</t>
  </si>
  <si>
    <t>EdP01 Servicio Optimización Sondajes para DRT mediante DRX</t>
  </si>
  <si>
    <t>EdP01 Servicio Optimización Sondajes para DSL mediante DRX</t>
  </si>
  <si>
    <t>EdP01 Actualización evaluación técnica Proy. Mejoras Op. CNN</t>
  </si>
  <si>
    <t>MANTOS COPPER  S.A.</t>
  </si>
  <si>
    <t>EdP01 Estimación Confiabilidda de Planes Mineros</t>
  </si>
  <si>
    <t>Maximo Leclerc REDTEC</t>
  </si>
  <si>
    <t>CMP S.A. -Actualización evaluación técnica Proy. Mejoras Op. CNN</t>
  </si>
  <si>
    <t xml:space="preserve">                                                    </t>
  </si>
  <si>
    <t>HONORARIOS EXTERNOS OPERACIONAL</t>
  </si>
  <si>
    <t>Cristián Villarroel</t>
  </si>
  <si>
    <t>EdP01 Consolidación LOM 2024 en CNN y MLC</t>
  </si>
  <si>
    <t>EdP01 Estudio Implem. Mina UG-SLS en ROM y Consoli.LOM 2024 en CNN y MLC</t>
  </si>
  <si>
    <t>EdP03 Construcción Manuales Mínimos Estándares Planes Anuales</t>
  </si>
  <si>
    <t>EdP05 Asesoría Plan 2024 y Quinqueno 2024-2028</t>
  </si>
  <si>
    <t>EdP02 Serv.Ingeniería valor proyecto CUGEP</t>
  </si>
  <si>
    <t>Victoria Franz Contabilidad</t>
  </si>
  <si>
    <t>Javier  Salazar</t>
  </si>
  <si>
    <t>EdP01 Estrategia Minera MLC Brownfield y TN Modular</t>
  </si>
  <si>
    <t>EdP01 Analisis confiabilidad de cuellos de botella del LoA 2025-26</t>
  </si>
  <si>
    <t>Mantoverde S.A.</t>
  </si>
  <si>
    <t>EdP01 Ampl. Servicio Consultoría Planificación LOA UP</t>
  </si>
  <si>
    <t>EdP02/A Estudio Implem. Mina UG-SLS en ROM y Consoli.LOM 2024 en CNN y MLC</t>
  </si>
  <si>
    <t>EdP06  Estudio Plan largo  Plazo Mina Guarello</t>
  </si>
  <si>
    <t>SUMA GASTOS DE ADMINISTRACION</t>
  </si>
  <si>
    <t>SUMA HONORARIOS EXTERNOS OP. US$</t>
  </si>
  <si>
    <t>SUMA HONORARIOS OPERACIONAL</t>
  </si>
  <si>
    <t>SUMA REMUNERACIONES OPERACIONAL</t>
  </si>
  <si>
    <t>CMP S.A. Estudio Implem. Mina UG-SLS en ROM y Consoli.LOM 2024 en CNN y MLC</t>
  </si>
  <si>
    <t>CMP S.A. Consolidación LOM 2024 en CNN y MLC</t>
  </si>
  <si>
    <t>BHP Chile INC S. A. Analisis confiabilidad de cuellos de botella del LoA 2025-26</t>
  </si>
  <si>
    <t>Dev. Bta. Garantía CMP</t>
  </si>
  <si>
    <t>Rodrigo Báez</t>
  </si>
  <si>
    <t>E.Rubio Fdos x rendir gtos. viaje Suecia</t>
  </si>
  <si>
    <t>2do. Ant.Pago 02 Los Bronces Mine Plan Review</t>
  </si>
  <si>
    <t>EdP03 Serv.Capacitación y Contsrucc. Modelos Prep.minera ( Deswik)</t>
  </si>
  <si>
    <t>EdP2 Estrategia Minera MLC Brownfield y TN Modular</t>
  </si>
  <si>
    <t>EdP02 Servicio de Apoyo a Gerencia de Minería 2024-2025</t>
  </si>
  <si>
    <t>EdP01 Servicio de Apoyo a Gerencia de Minería 2024-2024</t>
  </si>
  <si>
    <t>INGRESOS SEPTIEMBRE 2024</t>
  </si>
  <si>
    <t>Ricardo Miranda D.</t>
  </si>
  <si>
    <t>Cristóbal Poblete</t>
  </si>
  <si>
    <t>Alberto Reinao (Procesos Defontana)</t>
  </si>
  <si>
    <t>Dagoberto Cabañas</t>
  </si>
  <si>
    <t>Escudero Lobos y Paredes Abogados (laboral)</t>
  </si>
  <si>
    <t>ERubio reembolso facts.vrs.</t>
  </si>
  <si>
    <t>EdP02 EstImación confiabilidad de planes mineros</t>
  </si>
  <si>
    <t>EdP02 Analisis confiabilidad de cuellos de botella del LoA 2025-26</t>
  </si>
  <si>
    <t>EdP04 Construcción Manuales Mínimos Estándares Planes Anuales</t>
  </si>
  <si>
    <t>EdP03 Serv.Ingeniería valor proyecto CUGEP</t>
  </si>
  <si>
    <t>3er. Ant. Los Bronces Mine Plan Review</t>
  </si>
  <si>
    <t>EdP07 Plan LOM Estabilizado. PFS UG y LINK LP del Valle; El Romeral</t>
  </si>
  <si>
    <t>EdP06 Plan LOM Estabilizado. PFS UG y LINK LP del Valle; El Romeral</t>
  </si>
  <si>
    <t>CMP S.A. -Estrategia Minera MLC Brownfield y TN Modular</t>
  </si>
  <si>
    <t>Lomas Bayas Ampl. Servicio Consultoría Planificación LOA UP</t>
  </si>
  <si>
    <t>SCM MINERA LUMINA COPPER CHILE</t>
  </si>
  <si>
    <t>EdP3 Estrategia Minera MLC Brownfield y TN Modular</t>
  </si>
  <si>
    <t>EdP03 EstImación confiabilidad de planes mineros</t>
  </si>
  <si>
    <t>EdP04 EstImación confiabilidad de planes mineros</t>
  </si>
  <si>
    <t>EdP17 Ing. Básico Proy. Algarrobo Finos</t>
  </si>
  <si>
    <t>EdP03/A Estudio Implem. Mina UG-SLS en ROM y Consoli.LOM 2024 en CNN y MLC</t>
  </si>
  <si>
    <t>EdP04/A Estudio Implem. Mina UG-SLS en ROM y Consoli.LOM 2024 en CNN y MLC</t>
  </si>
  <si>
    <t>EdP03 Analisis confiabilidad de cuellos de botella del LoA 2025-26</t>
  </si>
  <si>
    <t>Erick Sanhueza Correa</t>
  </si>
  <si>
    <t>INSTRUCCIONES PAGO SERV. EXTR. US$</t>
  </si>
  <si>
    <t>EdP02 Servicios de Asesorìa y Estudios de Ingeniería</t>
  </si>
  <si>
    <t>EdP01 Estudio análisis opciones de vaciado mineral mina subterránea vía rajo</t>
  </si>
  <si>
    <t>EdP02 Estudio análisis opciones de vaciado mineral mina subterránea vía rajo</t>
  </si>
  <si>
    <t>EdP4 Estrategia Minera MLC Brownfield y TN Modular</t>
  </si>
  <si>
    <t>Hotel Hotech SpA/ Hotelera Serena Suit</t>
  </si>
  <si>
    <t>DSIGNOS implementación of. 1502 R+Ingineering</t>
  </si>
  <si>
    <t>EdP01 ServicIos de Asesorìa y Estudios de Ingeniería</t>
  </si>
  <si>
    <t>SCM MINERA LUMINA COPPER ServicIos de Asesorìa y Estudios de Ingeniería</t>
  </si>
  <si>
    <t>EdP03 Servicio de Apoyo a Gerencia de Minería 2024-2025</t>
  </si>
  <si>
    <t>Dev.Cta.Cte. Redtec</t>
  </si>
  <si>
    <t>Dev.Cta.Cte. Redcross</t>
  </si>
  <si>
    <t>R + Ingineering Arriendo of. Dic + gtia. Of. 1502</t>
  </si>
  <si>
    <t>Accor Chile (Hotel Nova capacitación Redco)+ Dic. Hotel Double Tree almuerzo fin año</t>
  </si>
  <si>
    <t>Cristian Caviedes</t>
  </si>
  <si>
    <t>Darwin Varas</t>
  </si>
  <si>
    <t>Germán Soto</t>
  </si>
  <si>
    <t>Eduardo Morales</t>
  </si>
  <si>
    <t>Carolina Arcos</t>
  </si>
  <si>
    <t>EdP05/A Estudio Implem. Mina UG-SLS en ROM y Consoli.LOM 2024 en CNN y MLC</t>
  </si>
  <si>
    <t>MINERA ESCONDIDA LTDA.</t>
  </si>
  <si>
    <t>CIA.MINERA CIERRA NORTE S.A.</t>
  </si>
  <si>
    <t>EdP01 Scoping Study royecto Sierra Norte</t>
  </si>
  <si>
    <t>EdP02 Scoping Study royecto Sierra Norte</t>
  </si>
  <si>
    <t xml:space="preserve">Pago tarjeta de crédito a </t>
  </si>
  <si>
    <t>EdP01 Análisis de Factibilidad Minera Mejoras Op. CNN y Desarr Caso Exp.</t>
  </si>
  <si>
    <t>CIA.MINERA SIERRA NORTE</t>
  </si>
  <si>
    <t>EdP02 Servicio Optimización Sondajes para DRT mediante DRX</t>
  </si>
  <si>
    <t>EdP02 Servicio Optimización Sondajes para DSL mediante DRX</t>
  </si>
  <si>
    <t>Cynthia Ordoñez (RRHH)</t>
  </si>
  <si>
    <t>OPERACION</t>
  </si>
  <si>
    <t>t/c</t>
  </si>
  <si>
    <t>$</t>
  </si>
  <si>
    <t>MONTO UF</t>
  </si>
  <si>
    <t>MONTO US$</t>
  </si>
  <si>
    <t>VENCIMIENTO</t>
  </si>
  <si>
    <t>1er cobro intereses</t>
  </si>
  <si>
    <t xml:space="preserve"> Intereses $</t>
  </si>
  <si>
    <t>CRÉDITO</t>
  </si>
  <si>
    <t>CMP</t>
  </si>
  <si>
    <t>-</t>
  </si>
  <si>
    <t>Estudio para la Imple. Mina UG-SLS en Romeral” y “Consolidación LOM 2024 para Cerro Negro Norte y M. Colorados</t>
  </si>
  <si>
    <t>Estrategia Minera para MLC Brownfield y TN Modular” Proyecto FEL 2A Continuidad Ope. Valle Huasco</t>
  </si>
  <si>
    <t>Inversiones SPB Limitada Comisión corretaje arr.of.1502</t>
  </si>
  <si>
    <t>Sally Bendersky capacitación liderazgo gerente</t>
  </si>
  <si>
    <t>Luis Miranda Vasquéz asesoría prev. de riesgos</t>
  </si>
  <si>
    <t>Leonel Robledo eval.escenarios estrategico  proyecto Los Bronces</t>
  </si>
  <si>
    <t>Comisión Minera cuotas sociales R.Miranda-F.Rojas.</t>
  </si>
  <si>
    <t>Freddy Díaz reintegro impuesto único dic</t>
  </si>
  <si>
    <t>Diego Muñoz Bono premio</t>
  </si>
  <si>
    <t>Gerson Alfaro Bono premio</t>
  </si>
  <si>
    <t>Victor Mohana Tapia Bono premio</t>
  </si>
  <si>
    <t>EdP01 fy24-25 Servicio Enoteca</t>
  </si>
  <si>
    <t>INVERSIONES FFMM PESOS Y DÓLAR</t>
  </si>
  <si>
    <t xml:space="preserve">FECHA </t>
  </si>
  <si>
    <t>APORTE M$</t>
  </si>
  <si>
    <t>RESCATE M$</t>
  </si>
  <si>
    <t>Inicial 01-01-24</t>
  </si>
  <si>
    <t>SALDO CAPITAL</t>
  </si>
  <si>
    <t>INTERESES/D.CAMBIO</t>
  </si>
  <si>
    <t>SALDO FFMM AL 31-12-24</t>
  </si>
  <si>
    <t>FACTURACIONES E INGRESOS AÑO 2025</t>
  </si>
  <si>
    <t>TOTAL INGRESOS 2024</t>
  </si>
  <si>
    <t>CIA. CONTRACTUAL MINERA CANDELARIA LTDA</t>
  </si>
  <si>
    <t>EdP01 Serv. Apoyo a la Documentación de Pract.Planif. CP y su normativa interna</t>
  </si>
  <si>
    <t>EdP01 Serv. Estudio de Modif. Para Actualización</t>
  </si>
  <si>
    <t>EdP01 Servicio Estándar y Procedimiento Cierre Topográfico</t>
  </si>
  <si>
    <t>EdP02 Servicio Estándar y Procedimiento Cierre Topográfico</t>
  </si>
  <si>
    <t>BTA.GTIA</t>
  </si>
  <si>
    <t>60 DÍAS</t>
  </si>
  <si>
    <t>60 DIAS</t>
  </si>
  <si>
    <t>37 DIAS</t>
  </si>
  <si>
    <t>TOTAL FACTURACION 2024</t>
  </si>
  <si>
    <t>PBG RENTAS INMOBILIARIAS LIMITADA</t>
  </si>
  <si>
    <t>Recuperación arreglor of 1502, electricidad- gasfitería</t>
  </si>
  <si>
    <t>SCM MINERIA LUMINA COPPER CHILE</t>
  </si>
  <si>
    <t>EdP03 Servicio Asesoría y Estudio de Ingeniería</t>
  </si>
  <si>
    <t>Claudio Delgado Soto</t>
  </si>
  <si>
    <t>Bastian Astudillo Quilaqueo</t>
  </si>
  <si>
    <t>Cristobal Concha Yutronic</t>
  </si>
  <si>
    <t>REDTEC</t>
  </si>
  <si>
    <t>CIA.MINERA SIERRA NORTE S.A.</t>
  </si>
  <si>
    <t>EdP01 Scoping Study proyecto Sierra Norte</t>
  </si>
  <si>
    <t>EdP02 Scoping Study Proyecto Sierra Norte</t>
  </si>
  <si>
    <t>Luis Bernal</t>
  </si>
  <si>
    <t>Cesar Orellana</t>
  </si>
  <si>
    <t>EdP06/A Estudio Implem. Mina UG-SLS en ROM y Consoli.LOM 2024 en CNN y MLC</t>
  </si>
  <si>
    <t>ANTOFAGASTA MINERALS S.A.</t>
  </si>
  <si>
    <t>EdP02/B Estudio Implem. Mina UG-SLS en ROM y Consoli.LOM 2024 en CNN y MLC</t>
  </si>
  <si>
    <t>EdP04 Servicio de Apoyo a Gerencia de Minería 2024-2025</t>
  </si>
  <si>
    <t>FACT. REDTEC</t>
  </si>
  <si>
    <t xml:space="preserve">FACT. REDTEC </t>
  </si>
  <si>
    <t>EdP01/A Estudio Implem. Mina UG-SLS en ROM y Consoli.LOM 2024 en CNN y MLC</t>
  </si>
  <si>
    <t>FLUJO EFECTIVO OPERACIONAL DE ENERO A DICIEMBRE 2025</t>
  </si>
  <si>
    <t>ESTIMACION</t>
  </si>
  <si>
    <t>REAL</t>
  </si>
  <si>
    <t xml:space="preserve">  REAL</t>
  </si>
  <si>
    <t>SDO.CTA.CTE. BCO. CHILE  CLP 01-01-25</t>
  </si>
  <si>
    <t>SDO.CTA.CTE. BCO. CHILE  DOLARES  01-01-25</t>
  </si>
  <si>
    <t>CMP S.A.  Analisis de Factibilidad Minera mejoras OP CNN y Desarr caso Exp</t>
  </si>
  <si>
    <t>Otros ingresos vrs. (recup.gtos of,1502)</t>
  </si>
  <si>
    <t>Benjamin Baeza</t>
  </si>
  <si>
    <t>Isabel Marchant A.</t>
  </si>
  <si>
    <t>Reemboslo Gtos. Viaje personal Rredco</t>
  </si>
  <si>
    <t>Reemboslo Gtos. Viaje Juan Rivera</t>
  </si>
  <si>
    <t>Max Leclerc  (Comercial Redtec)</t>
  </si>
  <si>
    <t>Bonos Anuales 2024</t>
  </si>
  <si>
    <t>Gastos Comunes oficina 1502 + estac-Edif. Kennedy + Enel+aseo</t>
  </si>
  <si>
    <t>CTA.CTE. BVI (Pago suecos)</t>
  </si>
  <si>
    <t>Fact.Redco Perú  (US$100.000)-   Dev. Cta.cte. Redco perú</t>
  </si>
  <si>
    <t>AMSA - Servicio de Apoyo a Gerencia de Minería 2024-2025</t>
  </si>
  <si>
    <t xml:space="preserve">CODELCO EdP01 Serv. Apoyo documentación pract.planif. </t>
  </si>
  <si>
    <t>CODELCO EdP01 Serv. Estudio de modif. Para actualización</t>
  </si>
  <si>
    <t>CODELCO EdP01 y EDP02 Serv. Estandar y Procesamiento cierre topográfico</t>
  </si>
  <si>
    <t>MANTOS COPPER   Estimación Confiabilidad de Planes Mineros</t>
  </si>
  <si>
    <t>PRESTAMO/ devolucion CTA.CTE. BVI</t>
  </si>
  <si>
    <t>Redtec fact. devolución Codelco DRT y DSL mediante DRX</t>
  </si>
  <si>
    <t>Gtos. personal Redco gtos vrs. (arriedo cancha)</t>
  </si>
  <si>
    <t>2 Alumnos práctica porfesional</t>
  </si>
  <si>
    <t>Compra Kardek RRHH</t>
  </si>
  <si>
    <t>COMPRA 1 CAMIONETA CHEVROLET ( R+) ANT. 20% + 50% Permiso circulaicón</t>
  </si>
  <si>
    <t>Cintamatrix juego toner impresora</t>
  </si>
  <si>
    <t>EMPRESA</t>
  </si>
  <si>
    <t>REDCO CHILE</t>
  </si>
  <si>
    <t>REDCO PERU</t>
  </si>
  <si>
    <t>REDCO BRASIL</t>
  </si>
  <si>
    <t>REDCO USA</t>
  </si>
  <si>
    <t>KUS$ FFMM</t>
  </si>
  <si>
    <t>HONORARIOS FIJO MENSUAL</t>
  </si>
  <si>
    <t>Juan De Vera</t>
  </si>
  <si>
    <t>Aquifer SAC (Percy  Sulca O.) US$ 5.280</t>
  </si>
  <si>
    <t>Comunidad Edificio Torre Kennedy of.1302-1304</t>
  </si>
  <si>
    <t>Comunidad Edificio Torre Kennedy of 1502</t>
  </si>
  <si>
    <t>SUMA HONORARIOS EXT. OP. US$</t>
  </si>
  <si>
    <t>OTROS PAGOS EERR</t>
  </si>
  <si>
    <t>SUMA OTROS PAGOS EERR</t>
  </si>
  <si>
    <t>SUMA PAGOS SERVICIOS BANCONEXION</t>
  </si>
  <si>
    <t xml:space="preserve">                                          </t>
  </si>
  <si>
    <t xml:space="preserve">                                                                                             </t>
  </si>
  <si>
    <t xml:space="preserve">                         </t>
  </si>
  <si>
    <t>EdP05 Servicio de Apoyo a Gerencia de Minería 2024-2025</t>
  </si>
  <si>
    <t>EdP02 Análisis de Factibilidad Minera Mejoras Op. CNN y Desarr Caso Exp.</t>
  </si>
  <si>
    <t>EdP07/A Estudio Implem. Mina UG-SLS en ROM y Consoli.LOM 2024 en CNN y MLC</t>
  </si>
  <si>
    <t>EdP5 Estrategia Minera MLC Brownfield y TN Modular</t>
  </si>
  <si>
    <t>EdP01 Trade O Tecnológico nueva generación de Distrito</t>
  </si>
  <si>
    <t>CIA. MINERA CERRO COLORADO LTDA.</t>
  </si>
  <si>
    <t>EdP01 Diseño de medidas de cierre para los Botaderos de Lastre Quebrada Parca</t>
  </si>
  <si>
    <t>ANGLO AMERICAN SUR S.A.</t>
  </si>
  <si>
    <t>EdP01 Ingeniería para utilización Técnología HDD Captación Aguas Claras</t>
  </si>
  <si>
    <t>MC INVERSIONES LIMITADA</t>
  </si>
  <si>
    <t>SALDO + adic. US$7.000 Los Bronces Mine Plan Review</t>
  </si>
  <si>
    <t>Evelyn Quezada</t>
  </si>
  <si>
    <t>Fernando Rodriguez</t>
  </si>
  <si>
    <t>Martín Figueroa</t>
  </si>
  <si>
    <t>Rodrigo Valdes</t>
  </si>
  <si>
    <t>Cristian Cavieres</t>
  </si>
  <si>
    <t>Adecco RRHH (contador RRHH)</t>
  </si>
  <si>
    <t>Ana Prat tarjetas visita</t>
  </si>
  <si>
    <t xml:space="preserve">Reembolso gastos regalos jardin E.R. </t>
  </si>
  <si>
    <t>BpM Consultants SpA (C.Castañeda)</t>
  </si>
  <si>
    <t>Exequiel Adonis rep.vrs. of</t>
  </si>
  <si>
    <t>Sinncronia Spa.( E.Molina)</t>
  </si>
  <si>
    <t>GeoVictoria (reloj control)</t>
  </si>
  <si>
    <t>Com Mauricio Pastenes ropa corporativa</t>
  </si>
  <si>
    <t>Asesoría Biba expansor internet ofs</t>
  </si>
  <si>
    <t>CODELCO Servicio Optimización Sondajes para DSL mediante DRX - FACT. REDTEC.</t>
  </si>
  <si>
    <t>REDTEC-REDCO</t>
  </si>
  <si>
    <t>FACTURACION ENERO 2025</t>
  </si>
  <si>
    <t>FACTURACION POR CUENTA DE REDTEC</t>
  </si>
  <si>
    <t>FACTURACION DICIEMBRE 2024</t>
  </si>
  <si>
    <t>FACTURA PENDIENTE DE PAGO</t>
  </si>
  <si>
    <t xml:space="preserve">PENDIENTE DE COBRO </t>
  </si>
  <si>
    <t>FACTURACION FEBRERO 2025</t>
  </si>
  <si>
    <t>FACTURACION MARZO 2025</t>
  </si>
  <si>
    <t>INGRESOOS POR PERCIBIR MARZO 2025</t>
  </si>
  <si>
    <t>EdP02/B  Estudio Implem. Mina UG-SLS en ROM y Consoli.LOM 2024 en CNN y MLC</t>
  </si>
  <si>
    <t>Freddy Díaz (planos)</t>
  </si>
  <si>
    <t>Anna Sultseva traductora ruso</t>
  </si>
  <si>
    <t>MEL - EdP01 fy24-25 Servicio Enoteca  Redtec</t>
  </si>
  <si>
    <t>AMSA - Trade O Tecnológico nueva generación de Distrito</t>
  </si>
  <si>
    <t>CIA.MINERA CERRO COLORADO Diseño medidas de cierre Botadeeros Lastre</t>
  </si>
  <si>
    <t>ANGLO AMERICAN SUR Ing.tilizació Tecnología  HDD Capt.Aguas Claras</t>
  </si>
  <si>
    <t>CODELCO Servicio Opti. Sondajes para DRT mediante DRX- FACT. REDTEC</t>
  </si>
  <si>
    <t>MC Inversiones Saldo + adic. Los Bronces Mine Plan Review</t>
  </si>
  <si>
    <t>SALDO FLUJO CAJA AL 31-03-2025</t>
  </si>
  <si>
    <t>PPM  1%</t>
  </si>
  <si>
    <t>Fernando Contador Comercial</t>
  </si>
  <si>
    <t xml:space="preserve">SUMAS CTAS. CTES.BCO.CHLE  DOLARES </t>
  </si>
  <si>
    <t>RESULTADO OPERACIONAL CONSULTORIA REDCO</t>
  </si>
  <si>
    <t>CHILE</t>
  </si>
  <si>
    <t>COSTOS OPERACIONALES</t>
  </si>
  <si>
    <t>COSTOS ADMINISTRATIVOS</t>
  </si>
  <si>
    <t>CREDITO FINANCIAMIENTO</t>
  </si>
  <si>
    <t>CREDITO VEHICULOS</t>
  </si>
  <si>
    <t>ACTIVO: REMODELACION PROP.AJENA OF. 1502</t>
  </si>
  <si>
    <t>MEJORAS PROP. AJENA:  REMODELACION OF. 1502</t>
  </si>
  <si>
    <t>SALDO CTA. CTE. INICIAL 01-01-2025</t>
  </si>
  <si>
    <t>CREDITO HIPOTECARIO</t>
  </si>
  <si>
    <t>TOTAL PAGOS CTA.CTE. EERR</t>
  </si>
  <si>
    <t>CTA. CTE. REDTEC - DEV. FACTURACION POR REDCO</t>
  </si>
  <si>
    <t>CTA. CTE. BVI - PAGO SUECOS</t>
  </si>
  <si>
    <t>TOTAL OTROS COSTOS NO OPERACIONALES</t>
  </si>
  <si>
    <t>RESULTADO NO OPERACIONAL</t>
  </si>
  <si>
    <t>TOTAL COSTOS ADMINISTRATIVOS</t>
  </si>
  <si>
    <t>SUELDOS ADMINISTRACION</t>
  </si>
  <si>
    <t>Back Office - REDCROSS</t>
  </si>
  <si>
    <t>OTROS EGRESOS NO OPERACIONALES</t>
  </si>
  <si>
    <t xml:space="preserve">OTROS EGRESOS CTA.CTE. EERR </t>
  </si>
  <si>
    <t>SALDO FLUJO REDCO MENSUAL</t>
  </si>
  <si>
    <t>FLUJO OPERACIONAL MENSUAL 2025</t>
  </si>
  <si>
    <t>INGRESO CTA. CTE. EERR REDCO PERU</t>
  </si>
  <si>
    <t>DEV/APORTE FFMM BANCHILE</t>
  </si>
  <si>
    <t xml:space="preserve">SALDO FLUJO REDCO  + SALDO INCIAL </t>
  </si>
  <si>
    <t>INGRESO IVA DEBITO FACTURACION</t>
  </si>
  <si>
    <t>DEVOLUCION BOLETA D EGARANTIA CMP</t>
  </si>
  <si>
    <t>SALDO FLUJO CAJA MENSUAL</t>
  </si>
  <si>
    <t>TOTAL INGRESOS OPERACIONALES 2025</t>
  </si>
  <si>
    <t>TOTAL INGRESOS OPERACIONALES PEND. 2024</t>
  </si>
  <si>
    <t>INGRESO CTA.CTE. BVI (Suecos - R +)</t>
  </si>
  <si>
    <t>CODELCO EdP01 Estudio análisis opciones de vaciado mineral mina subte.</t>
  </si>
  <si>
    <t>BHP Chile INC S.A. Análisis de confiabi. e Identif.cuellos de botella Plan 2YB25</t>
  </si>
  <si>
    <t>TOTAL EGRESOS NO OPERACIONALES</t>
  </si>
  <si>
    <t>T/C</t>
  </si>
  <si>
    <t>SOL / DÓLAR</t>
  </si>
  <si>
    <t>SALDO INICIAL EN CUENTA</t>
  </si>
  <si>
    <t>INGRESOS NETOS INGENIERÍA PERU</t>
  </si>
  <si>
    <t>CLIENTES</t>
  </si>
  <si>
    <t>MINSUR S. A.</t>
  </si>
  <si>
    <t>MINERA HAMPTON PERU S.A.C.</t>
  </si>
  <si>
    <t>MARCOBRE S.A.C.</t>
  </si>
  <si>
    <t>COMPAÑIA MINERA COIMOLACHE S.A.</t>
  </si>
  <si>
    <t>SOCIEDAD MINERA CORONA</t>
  </si>
  <si>
    <t>CORIPUNO</t>
  </si>
  <si>
    <t>TOTAL INGRESOS REDCO PERU</t>
  </si>
  <si>
    <t>TRANSFERENCIA A CUENTA</t>
  </si>
  <si>
    <t>INGRESOS POR IGV</t>
  </si>
  <si>
    <t>PRESTAMOS</t>
  </si>
  <si>
    <t>PERIODO 2024</t>
  </si>
  <si>
    <t xml:space="preserve">TOTAL  INGRESOS </t>
  </si>
  <si>
    <t xml:space="preserve">REMUNERACIONES </t>
  </si>
  <si>
    <t>BARRERA VERGARA JORMAN IVAN</t>
  </si>
  <si>
    <t>BARRERA VERGARA JORMAN IVAN (BONO)</t>
  </si>
  <si>
    <t>CATALAN CORDOVA, CARLOS EDUARDO</t>
  </si>
  <si>
    <t>CATALAN CORDOVA, CARLOS EDUARDO (BONO)</t>
  </si>
  <si>
    <t>CORI CORDOVA RODRIGO ALVARO</t>
  </si>
  <si>
    <t>CORI CORDOVA RODRIGO ALVARO (BONO)</t>
  </si>
  <si>
    <t>ESPINOZA GUZMAN, GINO SEGUNDO</t>
  </si>
  <si>
    <t>RIOS MORI, KEVIN PERCY</t>
  </si>
  <si>
    <t>RIOS MORI, KEVIN PERCY (BONO)</t>
  </si>
  <si>
    <t>TORRES CALLUPE, EDWARD CRISTIAN</t>
  </si>
  <si>
    <t>TORRES CALLUPE, EDWARD CRISTIAN (BONO)</t>
  </si>
  <si>
    <t>MANDUJANO LOPEZ, JHONATAN FREDY</t>
  </si>
  <si>
    <t>PACHECO CENTENO JOHNNY</t>
  </si>
  <si>
    <t>ARIAS CARLOS, VICTOR ALBERTO</t>
  </si>
  <si>
    <t>TADEO FABIAN ARNOLD ISAIAS</t>
  </si>
  <si>
    <t>TADEO FABIAN ARNOLD ISAIAS (BONO)</t>
  </si>
  <si>
    <t>ORNA HUAMÁN JAROLD CHRIS</t>
  </si>
  <si>
    <t>ORNA HUAMÁN JAROLD CHRIS (DELTA)</t>
  </si>
  <si>
    <t>SANCHEZ TRUJILLO EDUARDO</t>
  </si>
  <si>
    <t>HUAYNATE MEZA JHONATAN RICHARD</t>
  </si>
  <si>
    <t>LAMA ESTRATI, EDUARDO</t>
  </si>
  <si>
    <t>CHUMPITAZ BARBOZA LUIS ALBERTO</t>
  </si>
  <si>
    <t>VILLANUEVA PANOCA, MATEO ROLANDO</t>
  </si>
  <si>
    <t>SORRENTINO CARBONI RUI CARLOS</t>
  </si>
  <si>
    <t>RENZO MANUEL MISARI</t>
  </si>
  <si>
    <t>LIVIA ESTRADA JOSEPH MIGUEL</t>
  </si>
  <si>
    <t xml:space="preserve">SUELDOS                       </t>
  </si>
  <si>
    <t>BENEFICIOS SOCIALES</t>
  </si>
  <si>
    <t xml:space="preserve">HONORARIOS </t>
  </si>
  <si>
    <t>MARIN CHUJANDAMA FELIPE</t>
  </si>
  <si>
    <t>OFIR EDUARDO HUATUCO LOZANO</t>
  </si>
  <si>
    <t>CARDENAS PORRAS VICTOR</t>
  </si>
  <si>
    <t>JOSEPH LIVIA ESTRADA</t>
  </si>
  <si>
    <t>PALOMINO AVAL MANUEL</t>
  </si>
  <si>
    <t>MORANTE CARLOS</t>
  </si>
  <si>
    <t>KENARY MELGAR MONTERO</t>
  </si>
  <si>
    <t>HUAMAN MARTIN MARIA</t>
  </si>
  <si>
    <t xml:space="preserve">HONORARIOS PROFESIONALES      </t>
  </si>
  <si>
    <t xml:space="preserve">SERVICIO DE ASESORIA LEGAL    </t>
  </si>
  <si>
    <t xml:space="preserve">SERVICIO CONTABLE             </t>
  </si>
  <si>
    <t>SERVICIOS SGS</t>
  </si>
  <si>
    <t>Instalación Software Risk pago a YURY ALMEYDA</t>
  </si>
  <si>
    <t>PASAJES AEREOS</t>
  </si>
  <si>
    <t>VIAJE EDUARDO LAMA RENSO MISARI - VIAJE A CHILE</t>
  </si>
  <si>
    <t>ALIMENTACION Y HOTELES</t>
  </si>
  <si>
    <t>JAROLD ORNA - VIATICOS A CHILE</t>
  </si>
  <si>
    <t>EDUARDO LAMA - VIATICOS A CHILE</t>
  </si>
  <si>
    <t>JORMAN BARRERA - VIATICOS A CANADA</t>
  </si>
  <si>
    <t>FACTORING</t>
  </si>
  <si>
    <t>APERTURA CARTA FIANZA</t>
  </si>
  <si>
    <t>CUENTA GARANTIA FACTORING</t>
  </si>
  <si>
    <t>CAPACITACION PERSONAL</t>
  </si>
  <si>
    <t>GASTOS CARTA FIANZA</t>
  </si>
  <si>
    <t>GASTOS ADMINISTRACION</t>
  </si>
  <si>
    <t>TARJETA DE CREDITO EMPRESARIAL</t>
  </si>
  <si>
    <t>GASTOS BANCARIOS</t>
  </si>
  <si>
    <t>ALQUILER OFICINA</t>
  </si>
  <si>
    <t>SEGUROS</t>
  </si>
  <si>
    <t>OTROS GASTOS</t>
  </si>
  <si>
    <t>ACTIVOS</t>
  </si>
  <si>
    <t>COMPRA EQUIPOS DE COMPUTO</t>
  </si>
  <si>
    <t>COMPRAS REDTEC GLOBAL</t>
  </si>
  <si>
    <t>COMPRA DE SOFTWARE</t>
  </si>
  <si>
    <t>PAGO IMPUESTO MENSUAL</t>
  </si>
  <si>
    <t>IGV</t>
  </si>
  <si>
    <t>IGV NO DOMICILIADO (CREDITO POSTERIOR)</t>
  </si>
  <si>
    <t>RENTA</t>
  </si>
  <si>
    <t xml:space="preserve"> -     </t>
  </si>
  <si>
    <t>PLANILLA</t>
  </si>
  <si>
    <t>CUENTA CORRIENTE EE.RR</t>
  </si>
  <si>
    <t>REDCO Cuenta Corriente EERR</t>
  </si>
  <si>
    <t>REDCO Consultants (BVI)</t>
  </si>
  <si>
    <t>REDCROSS Servicios BackOffice</t>
  </si>
  <si>
    <t>COMPRA DE MONEDA EXTRANJERA</t>
  </si>
  <si>
    <t>COSTO REMUNERACIONES</t>
  </si>
  <si>
    <t>COSTO HONORARIOS</t>
  </si>
  <si>
    <t>SUMA GASTOS FIJOS  MES</t>
  </si>
  <si>
    <t>TOTAL GASTO MENSUAL</t>
  </si>
  <si>
    <t>SALDO NETO</t>
  </si>
  <si>
    <t>SALDO FINAL EN CUENTA</t>
  </si>
  <si>
    <t>INGENIERIA REDCO GLOBAL PERU SAC</t>
  </si>
  <si>
    <t>INGRESO FACTURACION EERR</t>
  </si>
  <si>
    <t>ACTIVO: EQUIPOS-ACTIVO REDTEC</t>
  </si>
  <si>
    <t>SERVICIO HOMOLOGACION-CERTIFICACION</t>
  </si>
  <si>
    <t>Total</t>
  </si>
  <si>
    <t>US$</t>
  </si>
  <si>
    <t>LPCTV_REDCO_SP002_M01_SERV - CTV</t>
  </si>
  <si>
    <t>LPCAJ_REDCO_SP003_M01_SERV</t>
  </si>
  <si>
    <t>Mineração Corumbaense</t>
  </si>
  <si>
    <t>LPCTV_REDCO_SP002_M01_DESP</t>
  </si>
  <si>
    <t>LPCAJ_REDCO_SP003_M01_DESP</t>
  </si>
  <si>
    <t>03/01/2025</t>
  </si>
  <si>
    <t>31/01/2025</t>
  </si>
  <si>
    <t>INGRESOS NETOS INGENIERÍA USA</t>
  </si>
  <si>
    <t>VP Mining LLC (invoice pagada enero 21)</t>
  </si>
  <si>
    <t xml:space="preserve">Twin Metals (invoice pagada enero 29) </t>
  </si>
  <si>
    <t>Twin Metals (invoice emitida enero 30 - pagada feb 26)</t>
  </si>
  <si>
    <t>Lunding Mining (invoice pagada 10 febrero)</t>
  </si>
  <si>
    <t>VP Mining invoice emitida y pagada el 21 febrero</t>
  </si>
  <si>
    <t>TOTAL INGRESOS REDCO USA</t>
  </si>
  <si>
    <t>INGRESOS POR IMPUESTOS</t>
  </si>
  <si>
    <t>PERIODO 2025</t>
  </si>
  <si>
    <t>APERTURA BOLETA GARANTIA</t>
  </si>
  <si>
    <t>GASTOS BOLETA GARANTIA</t>
  </si>
  <si>
    <t>IMPUESTOS A PAGAR POR FACTURAS (IVA)</t>
  </si>
  <si>
    <t>IMPUESTO POR FACTURAS EXTERIOR</t>
  </si>
  <si>
    <t>INGENIERIA REDCO BRASIL</t>
  </si>
  <si>
    <t>INGENIERIA REDCO USA</t>
  </si>
  <si>
    <t>DEVOLUCION BOLETA DE GARANTIA CMP</t>
  </si>
  <si>
    <t>SUMA TOTAL INGRESOS 2025</t>
  </si>
  <si>
    <t xml:space="preserve">RESULTADO OPERACIONAL </t>
  </si>
  <si>
    <t>ACUMULADO</t>
  </si>
  <si>
    <t>INGRESO RECUP. GASTOS</t>
  </si>
  <si>
    <t>Flujos de efectivo procedentes de (utilizados en) actividades de operación</t>
  </si>
  <si>
    <t>Otras entradas de efectivo</t>
  </si>
  <si>
    <t>Flujos de efectivo netos procedentes de (utilizados en) actividades de operación</t>
  </si>
  <si>
    <t>Flujos de efectivo (utilizados en) procedentes de actividades de financiación</t>
  </si>
  <si>
    <t xml:space="preserve">Flujos de efectivo netos(utilizados en) procedentes de actividades de financiación </t>
  </si>
  <si>
    <t>Efectivo y equivalentes al efectivo al principio del período</t>
  </si>
  <si>
    <t>MUS$</t>
  </si>
  <si>
    <t>Pago Remuneraciones</t>
  </si>
  <si>
    <t>Pago servicios Externos</t>
  </si>
  <si>
    <t>Pago viajes,ropa coorp., ases.gestión, int.bg</t>
  </si>
  <si>
    <t>Pagos Remuneraciones-otros  R+</t>
  </si>
  <si>
    <t>Ingresos operacionales</t>
  </si>
  <si>
    <t>Pagos Remuneraciones-honorarios administración</t>
  </si>
  <si>
    <t>Ingresos cuenta corriente EERR (Redco Perú)</t>
  </si>
  <si>
    <t>Pagos de créditos</t>
  </si>
  <si>
    <t>Compra activo fijo</t>
  </si>
  <si>
    <t>Pago facturación Redtec</t>
  </si>
  <si>
    <t>Otras entradas facturación por cuenta Redtec</t>
  </si>
  <si>
    <t>Ingresos por IVA  (débito-crédito)</t>
  </si>
  <si>
    <t>Aumento neto de efectivo y equivalentes al efectivo</t>
  </si>
  <si>
    <t>Clases de pagos:</t>
  </si>
  <si>
    <t xml:space="preserve">CONTROL GESTION GLOBAL FLUJO CAJA </t>
  </si>
  <si>
    <t>Ingreso por devolución boleta garantía</t>
  </si>
  <si>
    <t>Flujos de efectivo (utilizados en) procedentes de actividades EERR</t>
  </si>
  <si>
    <t>FLUJO CAJA CONSOLIDADO GESTION POR EMPRESA</t>
  </si>
  <si>
    <t>PERU</t>
  </si>
  <si>
    <t>BRASIL</t>
  </si>
  <si>
    <t>USA</t>
  </si>
  <si>
    <t>INGRESO CUENTA CORRIENTE EERR</t>
  </si>
  <si>
    <t>PAGOS DE CREDITOS</t>
  </si>
  <si>
    <t>FLUJO OPERACIONAL  ACUMULADA POR EMPRES 2025</t>
  </si>
  <si>
    <t>Egreso por cta. BVI</t>
  </si>
  <si>
    <t xml:space="preserve">FLUJO CAJA MENSUAL CONSOLIDADO </t>
  </si>
  <si>
    <t>USD</t>
  </si>
  <si>
    <t>EdP 03 Servicios de Asesoría y estudios de Ingeniería</t>
  </si>
  <si>
    <t>MINERA SPENCE S.A.</t>
  </si>
  <si>
    <t>EdP 01 Análisis factibilidad y detecc. Cuello de botella del LoA</t>
  </si>
  <si>
    <t>EdP02 Diseño medidas de cierre para los botaderos de Lastre Quebrada</t>
  </si>
  <si>
    <t>EdP01 Diseño medidas de cierre para los botaderos de Lastre Quebrada</t>
  </si>
  <si>
    <t>FACTURA N°</t>
  </si>
  <si>
    <t>NOMBRE CLIENTE</t>
  </si>
  <si>
    <t>NOMBRE PROYECTO</t>
  </si>
  <si>
    <t>MONTO NETO US$</t>
  </si>
  <si>
    <t xml:space="preserve">MONTO PENDIENTE </t>
  </si>
  <si>
    <t>MONTO PAGADO</t>
  </si>
  <si>
    <t>DETRACCION PAGADA</t>
  </si>
  <si>
    <t>E001-279</t>
  </si>
  <si>
    <t xml:space="preserve">MARCOBRE S.A.C.                         </t>
  </si>
  <si>
    <t>TEC/ECONO FASE PERFIL ACHUPALLA</t>
  </si>
  <si>
    <t xml:space="preserve">E001-288            </t>
  </si>
  <si>
    <t xml:space="preserve">MINSUR S. A.                            </t>
  </si>
  <si>
    <t>EDP 03 EVALUACIÓN DE RECURSOS MARGINALES</t>
  </si>
  <si>
    <t>E001-282</t>
  </si>
  <si>
    <t>E001-270</t>
  </si>
  <si>
    <t>EDP 02 MEIA</t>
  </si>
  <si>
    <t>E001-284</t>
  </si>
  <si>
    <t xml:space="preserve">MINERA HAMPTON PERU S.A.C.              </t>
  </si>
  <si>
    <t>LOS CALATOS</t>
  </si>
  <si>
    <t xml:space="preserve">E001-280            </t>
  </si>
  <si>
    <t xml:space="preserve">COMPAÃ‘IA MINERA COIMOLACHE S.A.        </t>
  </si>
  <si>
    <t>CAPACITACIÓN DBS_SIMPLAN</t>
  </si>
  <si>
    <t xml:space="preserve">E001-286            </t>
  </si>
  <si>
    <t xml:space="preserve">E001-287            </t>
  </si>
  <si>
    <t xml:space="preserve">E001-274            </t>
  </si>
  <si>
    <t xml:space="preserve">CORI PUNO S.R.L.                        </t>
  </si>
  <si>
    <t>MILAGROS Y VILACOTA.</t>
  </si>
  <si>
    <t>30/01/2025</t>
  </si>
  <si>
    <t xml:space="preserve">E001-289            </t>
  </si>
  <si>
    <t xml:space="preserve">E001-291            </t>
  </si>
  <si>
    <t>26/02/2025</t>
  </si>
  <si>
    <t xml:space="preserve">E001-292            </t>
  </si>
  <si>
    <t>ND</t>
  </si>
  <si>
    <t>LPCTV_REDCO_SP003_M01_SERV - CTV</t>
  </si>
  <si>
    <t>GHCAJ_REDCO_SP003_M02_SERV - CAJATI</t>
  </si>
  <si>
    <t>Seq. CAJLPCAJ_REDCO_SPOO4_M01_SERV</t>
  </si>
  <si>
    <t>LPCTV_REDCO_SP004_M01_SERV - CTV</t>
  </si>
  <si>
    <t>LPCTV_REDCO_SOP3_M2_SERV</t>
  </si>
  <si>
    <t>LPCAJ_REDCO_SP004_M02_SERV</t>
  </si>
  <si>
    <t>ND10</t>
  </si>
  <si>
    <t xml:space="preserve">CTV - DESPESAS REEMB. </t>
  </si>
  <si>
    <t>Mosaic CTV</t>
  </si>
  <si>
    <t>Mosaic CAJ</t>
  </si>
  <si>
    <t>ND-01-25</t>
  </si>
  <si>
    <t>Aura Almas Mineração S/A</t>
  </si>
  <si>
    <t>Mosaic Cajati</t>
  </si>
  <si>
    <t>Total Geral</t>
  </si>
  <si>
    <t>Three Crowns (invoice pagada marzo 14)</t>
  </si>
  <si>
    <t xml:space="preserve">VP Mining invoice 32025 emitida 11 marzo) </t>
  </si>
  <si>
    <t>EdP06 Servicio de Apoyo a Gerencia de Minería 2024-2025</t>
  </si>
  <si>
    <t>EdP08/A Estudio Implem. Mina UG-SLS en ROM y Consoli.LOM 2024 en CNN y MLC</t>
  </si>
  <si>
    <t>BHP CHILE  INC</t>
  </si>
  <si>
    <t>EdP01 Análisis de confiabilidad del Plan 2YB (2026-2027)</t>
  </si>
  <si>
    <t>Minera Spence análisis factibilidad y detecc. Cuello de botella del LoA</t>
  </si>
  <si>
    <t>Rodrigo Andrade</t>
  </si>
  <si>
    <t>Freddy Centeno (planos)</t>
  </si>
  <si>
    <t>Fabián Aguirre</t>
  </si>
  <si>
    <t>Cta. Cte. EERR Redco USA</t>
  </si>
  <si>
    <t xml:space="preserve">Comunidad Edificio kennedy  </t>
  </si>
  <si>
    <t>Inmob. Reconquista estac.199 R.V.</t>
  </si>
  <si>
    <t>Nelson Rumino acuerdo finiquito</t>
  </si>
  <si>
    <t>Reemboslo Gtos. Viaje personal Redco</t>
  </si>
  <si>
    <t xml:space="preserve">ENEL </t>
  </si>
  <si>
    <t>ENTEL PCS Moviles</t>
  </si>
  <si>
    <t xml:space="preserve">RedNegocios (Codelco) </t>
  </si>
  <si>
    <t>Chile Proveedores</t>
  </si>
  <si>
    <t>Quadrem (Sap ariba)</t>
  </si>
  <si>
    <t>Achilles (Regic)</t>
  </si>
  <si>
    <t>Dev.Cta.Cte. Redco USA</t>
  </si>
  <si>
    <t>Dev. Cta.cte. Redco Perú</t>
  </si>
  <si>
    <t>Aportes FFMM dólares (dev)</t>
  </si>
  <si>
    <t>Cta. Cte. BVI</t>
  </si>
  <si>
    <t>MiningMath Lic.vence 12-06-25</t>
  </si>
  <si>
    <t>SUMA INGRESOS</t>
  </si>
  <si>
    <t>INGRESO CTA.CTE. USA (C.Caro viaje)</t>
  </si>
  <si>
    <t>CTA. CTE. REDCO USA</t>
  </si>
  <si>
    <t>CTA. CTE. REDCO PERU</t>
  </si>
  <si>
    <t>INGRESO CTA. CTE.  REDCO PERU</t>
  </si>
  <si>
    <t>CTA. CTE. REDTEC - DEV. FACT.REDCO</t>
  </si>
  <si>
    <t>APORTE FFMM BANCHILE</t>
  </si>
  <si>
    <t>RESCATE FFMM BANCHILE</t>
  </si>
  <si>
    <t>APORTE FFMM</t>
  </si>
  <si>
    <t xml:space="preserve">-     </t>
  </si>
  <si>
    <t xml:space="preserve"> TOTAL INGRESOS</t>
  </si>
  <si>
    <t xml:space="preserve">TOTAL INGRESOS </t>
  </si>
  <si>
    <t>6,00</t>
  </si>
  <si>
    <t>Jan-25</t>
  </si>
  <si>
    <t>Apr-25</t>
  </si>
  <si>
    <t>Aug-25</t>
  </si>
  <si>
    <t>Dec-25</t>
  </si>
  <si>
    <t>CLIENTES - BM</t>
  </si>
  <si>
    <t>LPCTV_REDCO_SP002_M01_SERV - CTV-BM01-CTV</t>
  </si>
  <si>
    <t>MOSAIC - LPCAJ_REDCO_SP003_M01_SERV-BM01-CAJ</t>
  </si>
  <si>
    <t>Mineração Corumbaense-BM06</t>
  </si>
  <si>
    <t>Hotel Mercure - Devolução</t>
  </si>
  <si>
    <t>Aura Minerals</t>
  </si>
  <si>
    <t xml:space="preserve"> -   </t>
  </si>
  <si>
    <t xml:space="preserve">-   </t>
  </si>
  <si>
    <t>Nicélio José dos Santos - SM</t>
  </si>
  <si>
    <t>Maria Célia P. Fonseca - SM</t>
  </si>
  <si>
    <t>Maria Célia P. Fonseca - FERIAS (15d)</t>
  </si>
  <si>
    <t>Nicélio José dos Santos - RESCISSÃO</t>
  </si>
  <si>
    <t>Izabela Alves Camisassa</t>
  </si>
  <si>
    <t>Antônio Alberto Fróes Schettino (obrigatoriedade legal)</t>
  </si>
  <si>
    <t>JAGEO CONSULTORIA - JEANDRO</t>
  </si>
  <si>
    <t>VGR ENG - ANTONIO SCHETTINO - SERV. REF. 01/24</t>
  </si>
  <si>
    <t>CONTABILIDAD</t>
  </si>
  <si>
    <t>ANDRÉ FERREIRA - LUIS NAVARRO GEOL. SERVIÇOS</t>
  </si>
  <si>
    <t>CHRISTIANO SANTOS GOUVEIA (AURA)</t>
  </si>
  <si>
    <t>Viagem Chile - Izabela</t>
  </si>
  <si>
    <t>Viagem à Brasil - Matias, Alex, Claudio</t>
  </si>
  <si>
    <t>Viagem Chile - Enrique R.</t>
  </si>
  <si>
    <t>HOTELES</t>
  </si>
  <si>
    <t>MOSAIC - CTV</t>
  </si>
  <si>
    <t>CORUMBAENSE</t>
  </si>
  <si>
    <t>VISITA CHILE</t>
  </si>
  <si>
    <t xml:space="preserve">Visita Araxá </t>
  </si>
  <si>
    <t>Work Shop - UFMG</t>
  </si>
  <si>
    <t>ALIMENTACION</t>
  </si>
  <si>
    <t>MOSAIC - CTV - cc</t>
  </si>
  <si>
    <t>Aura Minerals -cc</t>
  </si>
  <si>
    <t>Corumbaense - cc</t>
  </si>
  <si>
    <t>Viaje Chle</t>
  </si>
  <si>
    <t>Visita a Araxá</t>
  </si>
  <si>
    <t>Almoço Institucional - UFMG - Mosaic - Redco</t>
  </si>
  <si>
    <t>DESPLAZAMIENTO TERRESTRE</t>
  </si>
  <si>
    <t>Corumbanse</t>
  </si>
  <si>
    <t>Viagem a Araxa - Mosaic, CBMM, Eurochem</t>
  </si>
  <si>
    <t>APERTURA BOLETA DE GARANTIA</t>
  </si>
  <si>
    <t>COMPRA EQUIPOS DE COMPUTO - IZABELA</t>
  </si>
  <si>
    <t>IMPOSTO TRABALHISTAS - FGTS</t>
  </si>
  <si>
    <t>IMPOSTOS TRABALHISTAS - CONT. SOCIAL</t>
  </si>
  <si>
    <t>ISS -PREFEITURA MUNICIPAL DE NOVA LIMA</t>
  </si>
  <si>
    <t>OTROS IMPUESTOS FEDERAIS - CSRF, CSLL.</t>
  </si>
  <si>
    <t>IMPOSTOS</t>
  </si>
  <si>
    <t>DARF        - 49.198.154/0001-29 -2372</t>
  </si>
  <si>
    <t>SECRETARIA DA FAZENDA</t>
  </si>
  <si>
    <t>DIFERENCIA CAMBIO</t>
  </si>
  <si>
    <t>Flujos de efectivo procedentes de (utilizados en) actividades de administración</t>
  </si>
  <si>
    <t>Gastos Administraticos</t>
  </si>
  <si>
    <t>Ingresos cuenta corriente EERR (Redco USA)</t>
  </si>
  <si>
    <t>Flujos de efectivo (utilizados en) procedentes de actividades empresas relacionadas RELACIONADAS</t>
  </si>
  <si>
    <t>Efectivo y equivalentes al efectivo al final del período 31-03-2025</t>
  </si>
  <si>
    <t>Aporte FFMM</t>
  </si>
  <si>
    <t>Egresos pago Imptos retenidos/Débito</t>
  </si>
  <si>
    <t>Flujo positivo IVA Débito Fiscal</t>
  </si>
  <si>
    <t>SALDOS CTAS.CTES. 21-03-2025</t>
  </si>
  <si>
    <t>Flujos de efectivo netos procedentes de (utilizados en) actividades no operacionales</t>
  </si>
  <si>
    <t>BM</t>
  </si>
  <si>
    <t>R$</t>
  </si>
  <si>
    <t>PIS, CONFINS,CSLL, IRRF</t>
  </si>
  <si>
    <t>BM01 - CTV</t>
  </si>
  <si>
    <t>BM01 - CAJ</t>
  </si>
  <si>
    <t>BM06</t>
  </si>
  <si>
    <t>BM01 -CTV Fase2</t>
  </si>
  <si>
    <t>BM02 - CAJ</t>
  </si>
  <si>
    <t>BM01</t>
  </si>
  <si>
    <t>BM02</t>
  </si>
  <si>
    <t>BM03</t>
  </si>
  <si>
    <t>BM04</t>
  </si>
  <si>
    <t>BM05</t>
  </si>
  <si>
    <t>Ingresos recuperación gastos</t>
  </si>
  <si>
    <t>FFMM US$</t>
  </si>
  <si>
    <t>Eduardo Rojas (solicitud P.V)</t>
  </si>
  <si>
    <t>Patricio Zuñiga</t>
  </si>
  <si>
    <t>Alex Calderon</t>
  </si>
  <si>
    <t>ENTEL PCS  Factura 51101457</t>
  </si>
  <si>
    <t>ENTEL Red fija + internet Facts.</t>
  </si>
  <si>
    <t>Fundacion Arturo Perez Lopez marzo</t>
  </si>
  <si>
    <t>Seguros BCI - seg. Camioneta ER</t>
  </si>
  <si>
    <t>EdP02 Ingeniería para utilización Técnología HDD Captación Aguas Claras</t>
  </si>
  <si>
    <t>E001-285</t>
  </si>
  <si>
    <t>CUERDA VIBRANTE GEOKON 0.250 AZUL PVC</t>
  </si>
  <si>
    <t>E001-293</t>
  </si>
  <si>
    <t>BHP Chile INC   EdP01 Análisis de confiabilidad del Plan 2YB (2026-2027)</t>
  </si>
  <si>
    <t xml:space="preserve">CODELCO  Serv. Apoyo documentación pract.planif. </t>
  </si>
  <si>
    <t>CODELCO Serv. Estudio de modif. Para actualización</t>
  </si>
  <si>
    <t>CODELCO  Serv. Estandar y Procesamiento cierre topográfico</t>
  </si>
  <si>
    <t>EdP02 Trade Off Tecnológico nueva generación</t>
  </si>
  <si>
    <t>EdP03 Trade Off Tecnológico nueva generación</t>
  </si>
  <si>
    <t>EDP Y NOMBRE DEL PROYECTO</t>
  </si>
  <si>
    <t>IMPUESTO S/NETO</t>
  </si>
  <si>
    <t xml:space="preserve">18 noviembre </t>
  </si>
  <si>
    <t xml:space="preserve">Three Crowns </t>
  </si>
  <si>
    <t xml:space="preserve">Expert Review and Assistance in LCIA Arbitration N: 204623- You Togo LLC v Mongolia </t>
  </si>
  <si>
    <t>14 marzo 2025</t>
  </si>
  <si>
    <t xml:space="preserve">31 diciembre </t>
  </si>
  <si>
    <t>Lundin Mining</t>
  </si>
  <si>
    <t>Diagnostic of Planning and Operation Gaps for UG Mining</t>
  </si>
  <si>
    <t>10 febrero 2025</t>
  </si>
  <si>
    <t>SUMA FACTURACION 2024</t>
  </si>
  <si>
    <t xml:space="preserve">7 enero </t>
  </si>
  <si>
    <t xml:space="preserve">Twin Metals </t>
  </si>
  <si>
    <t>Planning &amp; Engineering Services Birch Lake &amp; Maturi, MN pre invoice 1/2 - Nov Dec 2024</t>
  </si>
  <si>
    <t xml:space="preserve">29 enero </t>
  </si>
  <si>
    <t xml:space="preserve">16 enero </t>
  </si>
  <si>
    <t xml:space="preserve">VP Mining </t>
  </si>
  <si>
    <t xml:space="preserve">Scoping Level Mine Design and Planning for Business Case Alternatives - Resolution Copper Project </t>
  </si>
  <si>
    <t xml:space="preserve">21 enero </t>
  </si>
  <si>
    <t xml:space="preserve">30 Enero </t>
  </si>
  <si>
    <t>Planning &amp; Engineering Services Birch Lake &amp; Maturi, MN pre invoice 3 - January 2025</t>
  </si>
  <si>
    <t>26 febrero</t>
  </si>
  <si>
    <t>19 febrero</t>
  </si>
  <si>
    <t>Scoping Level Mine Design and Planning for Business Case Alternatives - Resolution Copper Project - Enero 2025</t>
  </si>
  <si>
    <t xml:space="preserve">26 marzo </t>
  </si>
  <si>
    <t xml:space="preserve">11 marzo </t>
  </si>
  <si>
    <t>Scoping Level Mine Design and Planning for Business Case Alternatives - Resolution Copper Project - Febrero 2025</t>
  </si>
  <si>
    <t>TOTAL FACTURACIÓN E INGRESOS</t>
  </si>
  <si>
    <t xml:space="preserve">Mineração Corumbaense </t>
  </si>
  <si>
    <t>BM07</t>
  </si>
  <si>
    <t>CAJA INICIAL MES ANTERIOR</t>
  </si>
  <si>
    <t>TOTAL DISPONIBLE CIERRE CAJA MENSUAL</t>
  </si>
  <si>
    <t>DEVOLUCION BOLETA GARANTIA CMP</t>
  </si>
  <si>
    <t>Twin Metals (factura #32625)</t>
  </si>
  <si>
    <t xml:space="preserve">Rodmarc Ramirez  factura  enero </t>
  </si>
  <si>
    <t xml:space="preserve">VP Mining factura enero y febrero </t>
  </si>
  <si>
    <t>Ingenieria REDCO Ltda - invoice #3</t>
  </si>
  <si>
    <t>CREDITOS</t>
  </si>
  <si>
    <t>RESULTADO OPERACIONALES</t>
  </si>
  <si>
    <t>LUPINTA WALTER</t>
  </si>
  <si>
    <t>WALTER LUPINTA - VIAJE Y ESTADIA</t>
  </si>
  <si>
    <t>VIAJE A CHILE</t>
  </si>
  <si>
    <t>EDWAR CALLUPE</t>
  </si>
  <si>
    <t>RESULTER - MARLOS MACHADO</t>
  </si>
  <si>
    <t>GABRIEL ALMEIDA D. F.</t>
  </si>
  <si>
    <t>TRANSFERENCIAS CUENTA BCO ITAU</t>
  </si>
  <si>
    <t xml:space="preserve">FORUM Crédito compra 2 camionetas (ER) ( RM) </t>
  </si>
  <si>
    <t>INGRESO CTA.CTE. BVI  (Rend. viaje P.A)</t>
  </si>
  <si>
    <t>ACTIVO FIJO+REMODELACIONES</t>
  </si>
  <si>
    <t>SALDO FLUJO MENSUAL</t>
  </si>
  <si>
    <t>SALDO FLUJO CIERRE MENSUAL</t>
  </si>
  <si>
    <t>SALDO INICIAL 01-01-2025</t>
  </si>
  <si>
    <t>Diferencia de cambio Pagos Serv. ext. US$</t>
  </si>
  <si>
    <t xml:space="preserve">E001-043             </t>
  </si>
  <si>
    <t xml:space="preserve">SIERRA POLI S.A.C.                      </t>
  </si>
  <si>
    <t xml:space="preserve">E001-104            </t>
  </si>
  <si>
    <t xml:space="preserve">SOCIEDAD MINERA CORONA S.A.             </t>
  </si>
  <si>
    <t xml:space="preserve">E001-269            </t>
  </si>
  <si>
    <t>PLAN DE MINADO MEIA YAURICOCHA</t>
  </si>
  <si>
    <t xml:space="preserve">E001-283            </t>
  </si>
  <si>
    <t>ACTUALIZACION DE DISEÑO DE LABORES</t>
  </si>
  <si>
    <t>E001-294</t>
  </si>
  <si>
    <t>OPERADORES CONCENTRADOS PERUANOS S.A.C.</t>
  </si>
  <si>
    <t>EDP 1 LA RUTA DEL VALOR PARA EL NEGOCIO MINERO DE COBRIZA</t>
  </si>
  <si>
    <t>E001-295</t>
  </si>
  <si>
    <t>E001-296</t>
  </si>
  <si>
    <t>OPERADORES CONCENTRADOS</t>
  </si>
  <si>
    <t>REEMBOLSO DE GASTOS</t>
  </si>
  <si>
    <t>PENDIENTE</t>
  </si>
  <si>
    <t>PAGADO</t>
  </si>
  <si>
    <t>EEUU</t>
  </si>
  <si>
    <t xml:space="preserve">5 marzo </t>
  </si>
  <si>
    <t xml:space="preserve">Planning &amp; Engineering Services Birch Lake &amp; Maturi, MN pre invoice 4 - February  2025 </t>
  </si>
  <si>
    <t>CIA MINERA DEL PACIFICO S.A.</t>
  </si>
  <si>
    <t>EdP01 Ing. Básico Proy. Algarrobo Finos</t>
  </si>
  <si>
    <t>EdP02 Ing. Básico Proy. Algarrobo Finos</t>
  </si>
  <si>
    <t>EdP03 Ing. Básico Proy. Algarrobo Finos</t>
  </si>
  <si>
    <t>EdP04 Ing. Básico Proy. Algarrobo Finos</t>
  </si>
  <si>
    <t>EdP05 Ing. Básico Proy. Algarrobo Finos</t>
  </si>
  <si>
    <t>Edp01 Desarrollo Estudio Minería FEL2 A</t>
  </si>
  <si>
    <t>EdP06 Ing. Básico Proy. Algarrobo Finos uf</t>
  </si>
  <si>
    <t>Edp02 Desarrollo Estudio Minería FEL2 A uf</t>
  </si>
  <si>
    <t>EdP01 Estudio Explotación Stock de Minerales de Hierro uf</t>
  </si>
  <si>
    <t>Edp03 Desarrollo Estudio Minería FEL2 A uf</t>
  </si>
  <si>
    <t>EdP07 Ing. Básico Proy. Algarrobo Finos</t>
  </si>
  <si>
    <t>EdP01  Definitivo Estudio Explotación Stock de Minerales de Hierro uf</t>
  </si>
  <si>
    <t>EdP02 Estudio Explotación Stock de Minerales de Hierro</t>
  </si>
  <si>
    <t>Edp04 Desarrollo Estudio Minería FEL2 A</t>
  </si>
  <si>
    <t>EdP08 Ing. Básico Proy. Algarrobo Finos</t>
  </si>
  <si>
    <t>EdP03 Estudio Explotación Stock de Minerales de Hierro</t>
  </si>
  <si>
    <t>EdP01 Estudio ESTABILIZACIÓN Y Optim. de Romeral</t>
  </si>
  <si>
    <t>Edp05 Desarrollo Estudio Minería FEL2 A</t>
  </si>
  <si>
    <t>EdP09 Ing. Básico Proy. Algarrobo Finos</t>
  </si>
  <si>
    <t>Edp06 Desarrollo Estudio Minería FEL2 A</t>
  </si>
  <si>
    <t>EdP10 Ing. Básico Proy. Algarrobo Finos</t>
  </si>
  <si>
    <t>EdP02 Rev. 0- Estudio ESTABILIZACIÓN Y Optim. de Romeral</t>
  </si>
  <si>
    <t>EdP04 Estudio Explotación Stock de Minerales de Hierro</t>
  </si>
  <si>
    <t>EdP03 Estudio ESTABILIZACIÓN Y Optim. de Romeral</t>
  </si>
  <si>
    <t>EdP05 Estudio Explotación Stock de Minerales de Hierro</t>
  </si>
  <si>
    <t>EdP11 Ing. Básico Proy. Algarrobo Finos</t>
  </si>
  <si>
    <t>Edp07 Desarrollo Estudio Minería FEL2 A</t>
  </si>
  <si>
    <t>EdP04 Estudio ESTABILIZACIÓN Y Optim. de Romeral</t>
  </si>
  <si>
    <t>EdP06 Estudio Explotación Stock de Minerales de Hierro</t>
  </si>
  <si>
    <t>Edp08 Desarrollo Estudio Minería FEL2 A</t>
  </si>
  <si>
    <t>EdP07 Estudio Explot.Stock de Minerales de Hierro</t>
  </si>
  <si>
    <t>EdP05 Estudio ESTABILIZACIÓN Y Optim. de Romeral</t>
  </si>
  <si>
    <t>Edp09 Desarrollo Estudio Minería FEL2 A</t>
  </si>
  <si>
    <t>Edp10 Desarrollo Estudio Minería FEL2 A</t>
  </si>
  <si>
    <t>Edp11 Desarrollo Estudio Minería FEL2 A</t>
  </si>
  <si>
    <t>EdP06 Estudio Estabilización y Optim. de Romeral</t>
  </si>
  <si>
    <t>EdP07 Estudio Estabilización y Optim. de Romeral</t>
  </si>
  <si>
    <t>EdP08 Estudio Explot.Stock de Minerales de Hierro</t>
  </si>
  <si>
    <t>EdP01 Servicio de Apoyo Construcción RDP 2023</t>
  </si>
  <si>
    <t>EdP09 Estudio Explot.Stock de Minerales de Hierro</t>
  </si>
  <si>
    <t>EdP08 Estudio Estabilización y Optim. de Romeral</t>
  </si>
  <si>
    <t>Edp12 Desarrollo Estudio Minería FEL2 A</t>
  </si>
  <si>
    <t>EdP12 Ing. Básico Proy. Algarrobo Finos</t>
  </si>
  <si>
    <t>Edp13 Desarrollo Estudio Minería FEL2 A</t>
  </si>
  <si>
    <t>EdP13 Ing. Básico Proy. Algarrobo Finos</t>
  </si>
  <si>
    <t>EdP01 Actual.evaluación técn. Proy. Mejoras Op. CNN</t>
  </si>
  <si>
    <t>STRACOM (REDTEC)</t>
  </si>
  <si>
    <t>EdP03  -  fy24-25 Servicio Enoteca - REDTEC</t>
  </si>
  <si>
    <t>EdP02 - fy24-25 Servicio Enoteca - REDTEC</t>
  </si>
  <si>
    <t>EdP01 fy24-25 Servicio Enoteca - REDETC</t>
  </si>
  <si>
    <t>EdP02 Servicio Optimización Sondajes para DRT mediante DRX - REDTEC</t>
  </si>
  <si>
    <t>EdP02 Servicio Optimización Sondajes para DSL mediante DRX - REDTEC</t>
  </si>
  <si>
    <t>FACTURA 1</t>
  </si>
  <si>
    <t>FACT 2</t>
  </si>
  <si>
    <t>INGRESO 1</t>
  </si>
  <si>
    <t>INGRESO 2</t>
  </si>
  <si>
    <t>INGRESO 3</t>
  </si>
  <si>
    <t>FACTURACION ABRIL</t>
  </si>
  <si>
    <t>FACTURAS PENDIENTES MARZO</t>
  </si>
  <si>
    <t>FACTS. PENDIENTES AL 17-04-25</t>
  </si>
  <si>
    <t>SUMA FACTS. PENDIENTES</t>
  </si>
  <si>
    <t>INGRESOS AL  01 AL 17-04-25</t>
  </si>
  <si>
    <t>TOTAL PERU</t>
  </si>
  <si>
    <t>TOTAL CHILE</t>
  </si>
  <si>
    <t>TOTAL BRASIL</t>
  </si>
  <si>
    <t>SUMA  TOTAL</t>
  </si>
  <si>
    <t>CUADRATURA ABRIL</t>
  </si>
  <si>
    <t>FACTURAS PENDIENTES A ABRIL 2025</t>
  </si>
  <si>
    <t>EdP03 Análisis de Factibilidad Minera Mejoras Op. CNN y Desarr Caso Exp.</t>
  </si>
  <si>
    <t>THE BOSTON CONSULTING GROUP CHILE LTDA</t>
  </si>
  <si>
    <t>PREST.SERV SUB-CONTRATACION PARA CODELCO-AMSA</t>
  </si>
  <si>
    <t>EdP04 Análisis de Factibilidad Minera Mejoras Op. CNN y Desarr Caso Exp.</t>
  </si>
  <si>
    <t>EdP05 Análisis de Factibilidad Minera Mejoras Op. CNN y Desarr Caso Exp.</t>
  </si>
  <si>
    <t>SALDO CUENTA CORRIENTE BANCO CHILE US$ (128.144,48)</t>
  </si>
  <si>
    <t>ATX suscripción M365 Busines F/          abril.25</t>
  </si>
  <si>
    <t>ING. REDTEC LTDA. F/9 STRATEGY AND OPTIMIZATION</t>
  </si>
  <si>
    <t>ING. REDTEC LTDA. F/10 STRATEGY AND OPTIMIZATION</t>
  </si>
  <si>
    <t>Seguros HDI - seg. Camioneta RM</t>
  </si>
  <si>
    <t>Nespresso Chile S A  Factura 331395</t>
  </si>
  <si>
    <t>Proveedores Integrales Prisa S A F/13749172 R+</t>
  </si>
  <si>
    <t>Proveedores Integrales Prisa S A F/13749174</t>
  </si>
  <si>
    <t>Cintamatrix F/106779</t>
  </si>
  <si>
    <t>Asoc. Chilena Seguridad  F/519219</t>
  </si>
  <si>
    <t>Inmobiliaria Reconquista arriendo mayo 3 UF</t>
  </si>
  <si>
    <t>Legal Prisma Ltda. F/1262</t>
  </si>
  <si>
    <t>Salcedo Compania Limitada F/7526</t>
  </si>
  <si>
    <t>Arriendo oficina 1502  mayo 2025 85 UF t.c $39.068,91</t>
  </si>
  <si>
    <t>Autopistas TAG facturas vrs. ER</t>
  </si>
  <si>
    <t>Autopistas TAG facturas vrs. RM</t>
  </si>
  <si>
    <t>Asesorías e Inv. Acción arriendo cancha mayo</t>
  </si>
  <si>
    <t>TOTAL A PAGAR  30-04-2025</t>
  </si>
  <si>
    <t>STRACON PERU S.A</t>
  </si>
  <si>
    <t>ANULADA SE EMITE LA E001-296</t>
  </si>
  <si>
    <t>E001-297</t>
  </si>
  <si>
    <t>MINERA LAS BAMBAS S.A.</t>
  </si>
  <si>
    <t>EDP 01 Escenarios FUG 2025</t>
  </si>
  <si>
    <t>E001-298</t>
  </si>
  <si>
    <t>EDP 02 Escenarios FUG 2025</t>
  </si>
  <si>
    <t>Nombre Cliente</t>
  </si>
  <si>
    <t>Nombre Proyect</t>
  </si>
  <si>
    <t>Monto NetoUS$</t>
  </si>
  <si>
    <t>Total Impuestos</t>
  </si>
  <si>
    <t>Monto Pendente</t>
  </si>
  <si>
    <t>Monto Pagado</t>
  </si>
  <si>
    <t>Fecha Pago</t>
  </si>
  <si>
    <t>ND - 07</t>
  </si>
  <si>
    <t>_LPCAJ_REDCO_SP004_M03</t>
  </si>
  <si>
    <t>Mas alto 100</t>
  </si>
  <si>
    <t>LPCTV_REDCO_SOP003_M3_DESP</t>
  </si>
  <si>
    <t>Mas alto 162</t>
  </si>
  <si>
    <t>Aura  Mineração S/A</t>
  </si>
  <si>
    <t>Mina Almas</t>
  </si>
  <si>
    <t>Aura Mineração S/A</t>
  </si>
  <si>
    <t>LPCTV_REDCO_SOP003_M4_SERV</t>
  </si>
  <si>
    <t>_LPCAJ_REDCO_SP004_M04_SERV</t>
  </si>
  <si>
    <t>Mineração Corumbaense - LHG</t>
  </si>
  <si>
    <t>Pilares</t>
  </si>
  <si>
    <t>Retenção USD</t>
  </si>
  <si>
    <t>ALEX PATRICIO FIGUEROA</t>
  </si>
  <si>
    <t>Alex Rodrigo Pacheco</t>
  </si>
  <si>
    <t>BENJAMIN RICARDO BAEZA</t>
  </si>
  <si>
    <t>Carol Andrea Valdenegro</t>
  </si>
  <si>
    <t>CAROLINA ANDREA ARCOS</t>
  </si>
  <si>
    <t>CHRISTIAN EDUARDO CAVIEDES</t>
  </si>
  <si>
    <t>Claudio  Alejandro Hernandez</t>
  </si>
  <si>
    <t>CLAUDIO ELADIO DELGADO</t>
  </si>
  <si>
    <t>CRISTIAN ADOLFO ALARCON</t>
  </si>
  <si>
    <t>CRISTOBAL POBLETE</t>
  </si>
  <si>
    <t>CRISTOBAL ALONSO CONCHA</t>
  </si>
  <si>
    <t>CRISTOBAL IGNACIO VENTURA</t>
  </si>
  <si>
    <t>Daniela Siu Ying Oyarzo</t>
  </si>
  <si>
    <t>DARWIN ALONSO VARAS</t>
  </si>
  <si>
    <t>Diego Andrés Muñoz</t>
  </si>
  <si>
    <t>Eduardo Cepeda</t>
  </si>
  <si>
    <t>Eduardo Esteban Cuevas</t>
  </si>
  <si>
    <t>EDUARDO IGNACIO MORALES</t>
  </si>
  <si>
    <t>EMILIO JOSE SANCHEZ</t>
  </si>
  <si>
    <t>Erick Nicolás Sanhueza</t>
  </si>
  <si>
    <t>FELIPE ROJAS</t>
  </si>
  <si>
    <t>FELIPE ARTURO LIRA</t>
  </si>
  <si>
    <t>FERNANDO GILBERTO RODRIGUEZ</t>
  </si>
  <si>
    <t>Freddy Esteba Díaz</t>
  </si>
  <si>
    <t>Gabriel Ojeda</t>
  </si>
  <si>
    <t>GERMAN MARCELO SOTO</t>
  </si>
  <si>
    <t>Gerson Alejandro Alfaro</t>
  </si>
  <si>
    <t>GLADYS MYRIAM MUÑOZ</t>
  </si>
  <si>
    <t>ISABEL CRISTINA MARCHANT</t>
  </si>
  <si>
    <t>Isidora  Belén Figueroa</t>
  </si>
  <si>
    <t>JAVIER IGNACIO SALAZAR</t>
  </si>
  <si>
    <t>José Ignacio Pizarro</t>
  </si>
  <si>
    <t>Marcelo Isaías Mendoza</t>
  </si>
  <si>
    <t>MARTIN ALFONSO FIGUEROA</t>
  </si>
  <si>
    <t>Matías Cid</t>
  </si>
  <si>
    <t>MATIAS IGNACIO FUENTES</t>
  </si>
  <si>
    <t>MATIAS NICOLAS GUERRERO</t>
  </si>
  <si>
    <t>MAURICIO TOMAS PERALTA</t>
  </si>
  <si>
    <t>NICOLAS BENJAMIN AYARZA</t>
  </si>
  <si>
    <t>Nicolás Roberto Sanzana Ghent</t>
  </si>
  <si>
    <t>OLESYA DASHAVSKAYA</t>
  </si>
  <si>
    <t>Pablo Antonio Quiero</t>
  </si>
  <si>
    <t>PEDRO PABLO AGUILUZ</t>
  </si>
  <si>
    <t>RICARDO MARTIN MIRANDA</t>
  </si>
  <si>
    <t>RODRIGO BAEZ</t>
  </si>
  <si>
    <t>RODRIGO ANTONIO ANDRAE</t>
  </si>
  <si>
    <t>RODRIGO JAVIER VALDES</t>
  </si>
  <si>
    <t>Roxana Cecilia Avilés</t>
  </si>
  <si>
    <t>VICENTE ALBERTO JIMENEZ</t>
  </si>
  <si>
    <t>Victor Joaquín Mohana</t>
  </si>
  <si>
    <t>MAXIMO LECLERC</t>
  </si>
  <si>
    <t xml:space="preserve">JUAN DE VERA </t>
  </si>
  <si>
    <t>LEONEL ROBLEDO</t>
  </si>
  <si>
    <t>RENÁN ARGANDOÑA</t>
  </si>
  <si>
    <t>CYNTHIA ORDÓÑEZ</t>
  </si>
  <si>
    <t>ALBETO REINAO</t>
  </si>
  <si>
    <t>SANDRA SALAZAR</t>
  </si>
  <si>
    <t>ENEL  OF. 1302 Y 1304 abril N° Clte.1482364-6- 1482362-k</t>
  </si>
  <si>
    <t>ENEL  OF. 1502 abril  N° cliente 1482370-0</t>
  </si>
  <si>
    <t>GASTOS DE ADMINISTRACION/VENTAS</t>
  </si>
  <si>
    <t xml:space="preserve">Magaly Esquivel reembolso pago Patente camioneta Ford </t>
  </si>
  <si>
    <t>Rendicion Rodrigo Valdes gtos.viaje  PDAC marzo</t>
  </si>
  <si>
    <t>Rendicion Rodrigo Valdes gastos viaje  Minexchange SME febr.</t>
  </si>
  <si>
    <t>GASTOS REDCO</t>
  </si>
  <si>
    <t>SALDO CUENTA CORRIENTE DESPUES DE PAGOS</t>
  </si>
  <si>
    <t>FORUM  Camioneta Ford E.R.</t>
  </si>
  <si>
    <t>FORUM  Camioneta Chevrolet R.M.</t>
  </si>
  <si>
    <t>ACHS Factura 519219 evaluaciones</t>
  </si>
  <si>
    <t>Patente camioneta FORD 2024 y 2025</t>
  </si>
  <si>
    <t>Renán Argandoña</t>
  </si>
  <si>
    <t xml:space="preserve">Rodrigo Valdes rend. gtos.viaje </t>
  </si>
  <si>
    <t>Compras arts. PC-Pantallas - soportes, mousse</t>
  </si>
  <si>
    <t>Fraktools Studio Design SpA</t>
  </si>
  <si>
    <t>Redtec cta. cte. EEERR</t>
  </si>
  <si>
    <t>Redtec refacturación a Redco + IVA</t>
  </si>
  <si>
    <t>Otros ingresos (recup.gtos 1502.)+ The Boston Consulting fact.</t>
  </si>
  <si>
    <t>RAURA</t>
  </si>
  <si>
    <t>LUPINTA MAMANI WALTER</t>
  </si>
  <si>
    <t>ESTUDIO PELIGRO SISMICO UNIDAD MINERA CONSTANCIA</t>
  </si>
  <si>
    <t>Ronald Leal</t>
  </si>
  <si>
    <t>Antônio Alberto Fróes Schettino (Comissão)</t>
  </si>
  <si>
    <t>RECUPERACION GASTOS / OTROS INGRESOS</t>
  </si>
  <si>
    <t>JONATHAN GALVEZ SERV MARZO,25</t>
  </si>
  <si>
    <t xml:space="preserve">CTA. CTE. BVI </t>
  </si>
  <si>
    <t>CTA. CTE. BVI -SERVICIOS BACKOFFICE-CONSULTORIAS</t>
  </si>
  <si>
    <t xml:space="preserve">VP Mining (Resolution EDP 4) </t>
  </si>
  <si>
    <t>INGRESO CTA.CTE. BVI</t>
  </si>
  <si>
    <t>PAGO FACTURACION EERR</t>
  </si>
  <si>
    <t>RESULTADO OPERACIONAL</t>
  </si>
  <si>
    <t>EdP03 Diseño medidas de cierre para los botaderos de Lastre Quebrada</t>
  </si>
  <si>
    <t>MINERA ESCONDIDA LIMITADA</t>
  </si>
  <si>
    <t>EdP07 Servicio de Apoyo a Gerencia de Minería 2024-2025</t>
  </si>
  <si>
    <t>EdP08 Servicio de Apoyo a Gerencia de Minería 2024-2025</t>
  </si>
  <si>
    <t>EdP01 Estudio FEL 1 Op. de acceso exploratorio - Escondda East Deep</t>
  </si>
  <si>
    <t>EdP02 Estudio FEL 1 Op. de acceso exploratorio - Escondda East Deep</t>
  </si>
  <si>
    <t>EdP03 Scoping Study proyecto Sierra Norte</t>
  </si>
  <si>
    <t>EdP04  -  fy24-25 Servicio Enoteca - REDTEC</t>
  </si>
  <si>
    <t>Isabel Marchant</t>
  </si>
  <si>
    <t>Big Box regalos día de la mujer/ Regalos personal Redco/1ro mayo</t>
  </si>
  <si>
    <t>Gastos Comunes oficina 1502 + Enel+aseo+Prisa</t>
  </si>
  <si>
    <t>Ret. Judicial</t>
  </si>
  <si>
    <t>DIF CAMBIO</t>
  </si>
  <si>
    <t>JORMAN BARRERA - VIATICOS CHILE</t>
  </si>
  <si>
    <t>ALEJANDRA MONTALVAN ARATIA</t>
  </si>
  <si>
    <t>NIKOLAY QUISPE ESPINOZA</t>
  </si>
  <si>
    <t>EMET ADVISORY PAGO 1 FASE 1</t>
  </si>
  <si>
    <t>Viagem Chile - Izabela - Ronald</t>
  </si>
  <si>
    <t>Viaje Cajati</t>
  </si>
  <si>
    <t>Viagem Cajati</t>
  </si>
  <si>
    <t>Viaje a Brasil - Enrique</t>
  </si>
  <si>
    <t>Viajgem Cajati</t>
  </si>
  <si>
    <t>Viaje a Brasil - Enrique, Alex</t>
  </si>
  <si>
    <t xml:space="preserve">Twin Metals Birch Lake (invoice #5) </t>
  </si>
  <si>
    <t>Twin Metals Birch Lake (invoice #6)</t>
  </si>
  <si>
    <t xml:space="preserve">BRASIL </t>
  </si>
  <si>
    <t>Fecha Estimada</t>
  </si>
  <si>
    <t>de Pago</t>
  </si>
  <si>
    <t>EdP6 Estrategia Minera MLC Brownfield y TN Modular</t>
  </si>
  <si>
    <t>EdP 02 Análisis factibilidad y detecc. Cuello de botella del LoA</t>
  </si>
  <si>
    <t>CIA.MINERA CERRO COLORADO Diseño medidas de cierre Botaderos Lastre</t>
  </si>
  <si>
    <t>MEL - Estudio FEL 1 Op. de acceso exploratorio - Escondida East Deep</t>
  </si>
  <si>
    <t>EdP04 Scoping Study proyecto Sierra Norte</t>
  </si>
  <si>
    <t>Dev. Bta. Garantía CMP/Arr.estacionamiento</t>
  </si>
  <si>
    <t>Seguro CHUBB REDCO</t>
  </si>
  <si>
    <t>Claudio Fernández</t>
  </si>
  <si>
    <t xml:space="preserve">Trompa Producciones Servicio Publicitario mensual/ Motopark </t>
  </si>
  <si>
    <t>TOTAL A PAGAR  29-05-2025</t>
  </si>
  <si>
    <t>Fundacion Arturo Perez Lopez mayo</t>
  </si>
  <si>
    <t>SANDRA SALAZAR (20+1)</t>
  </si>
  <si>
    <t>Autopistas TAG facturas vrs ($39.630+$4.993+$6.255)</t>
  </si>
  <si>
    <t>Seguros BCI - seg. Camioneta ER (cuota 6/10-06-25)</t>
  </si>
  <si>
    <t>FORUM  Camioneta Chevrolet (reembolso M.Esquivel)</t>
  </si>
  <si>
    <t>FORUM  Camioneta Ford E.R. vcto. 10-06-2025</t>
  </si>
  <si>
    <t>ENTEL PCS  Factura 51231990</t>
  </si>
  <si>
    <t>Nespresso Chile S A  Factura 335055</t>
  </si>
  <si>
    <t>Proveedores Integrales Prisa S A F/13797800 R+</t>
  </si>
  <si>
    <t>Proveedores Integrales Prisa S A F/13797819</t>
  </si>
  <si>
    <t>Inmobiliaria Reconquista arriendo junio 3 UF ($39.184,40)</t>
  </si>
  <si>
    <t>Legal Prisma Ltda. F/1298</t>
  </si>
  <si>
    <t>Salcedo Compania Limitada F/7818</t>
  </si>
  <si>
    <t>Salcedo Compania Limitada dif. Factura 7421</t>
  </si>
  <si>
    <t>Arriendo oficina 1502  mayo 2025 85 UF t.c $39.184,40</t>
  </si>
  <si>
    <t>Asesorías e Inv. Acción arriendo cancha junio</t>
  </si>
  <si>
    <t>CONSULTORIA Y DESARROLLO DRAKORIAN</t>
  </si>
  <si>
    <t>REDTEC FACTURA N° 14 EDP 04</t>
  </si>
  <si>
    <t>EdP03 Ingeniería para utilización Técnología HDD Captación Aguas Claras</t>
  </si>
  <si>
    <t>Cintamatrix F/107383-107622</t>
  </si>
  <si>
    <t>SALDO CUENTA CORRIENTE BANCO CHILE US$65.348,73</t>
  </si>
  <si>
    <t>ENEL OFICINA 1502 CODIGO CLIENTE :1482370-0</t>
  </si>
  <si>
    <t>Freddy Centeno Factura 142 marzo 2025 US$1.600</t>
  </si>
  <si>
    <t>Freddy Centeno Factura 143 abril 2025 US$ 1.600</t>
  </si>
  <si>
    <t>AUDITORES Y CONSULTORES EN SEGURIDAD</t>
  </si>
  <si>
    <t>EMET ADVISORY PAGO 2/2 FASE 1</t>
  </si>
  <si>
    <t xml:space="preserve">Pago a WALSH por Proyecto Cobriza 1/2 </t>
  </si>
  <si>
    <t>CNN Mejoras operacionales - Fernando Sagastegui</t>
  </si>
  <si>
    <t>Paiol UG Project - AQUIFER MANAGEMENT CONSULTING S.A.C</t>
  </si>
  <si>
    <t>Rocscience , Inc</t>
  </si>
  <si>
    <t>Ingresos  cta. cte. BVI</t>
  </si>
  <si>
    <t>Cta.Cte. Redtec</t>
  </si>
  <si>
    <t>Magaly Esquivel</t>
  </si>
  <si>
    <t>EdP04 Diseño medidas de cierre para los botaderos de Lastre Quebrada</t>
  </si>
  <si>
    <t>País</t>
  </si>
  <si>
    <t>Chile</t>
  </si>
  <si>
    <t>Perú</t>
  </si>
  <si>
    <t>Brasil</t>
  </si>
  <si>
    <t>SALDO CAJA</t>
  </si>
  <si>
    <t xml:space="preserve">RESULTADO  CAJA </t>
  </si>
  <si>
    <t>SALDO INICIAL</t>
  </si>
  <si>
    <t>CTA.CTE. EERR</t>
  </si>
  <si>
    <t>RESULTADO OP.</t>
  </si>
  <si>
    <t>INGRESOS OP</t>
  </si>
  <si>
    <t>COSTOS OP</t>
  </si>
  <si>
    <t xml:space="preserve">OTROS INGRESOS </t>
  </si>
  <si>
    <t xml:space="preserve"> INGRESO IVA DEBITO</t>
  </si>
  <si>
    <t>EGRESO IVA DEBITO</t>
  </si>
  <si>
    <t xml:space="preserve"> CAJA FINAL</t>
  </si>
  <si>
    <t xml:space="preserve">SUMA OTROS INGRESOS </t>
  </si>
  <si>
    <t>SUMA OTROS EGRESOS</t>
  </si>
  <si>
    <t xml:space="preserve">TOTAL CAJA </t>
  </si>
  <si>
    <t>CTA.CTE. EERR (REDTEC)</t>
  </si>
  <si>
    <t xml:space="preserve">INGRESO FACTURACION POR REDTEC </t>
  </si>
  <si>
    <t>INGRESO CTA.CTE. EERR</t>
  </si>
  <si>
    <t>EdP01/A  Análisis de Estabilidad de Botadero Romeral UG.</t>
  </si>
  <si>
    <t>EdP01/A Puesta en Marcha Galería de Exploración Romeral CMP</t>
  </si>
  <si>
    <t>EdP03 Estudio FEL 1 Op. de acceso exploratorio - Escondda East Deep</t>
  </si>
  <si>
    <t>EdP03 Análisi Opciones de vaciado mineral Mina Subterránea vía rajo.</t>
  </si>
  <si>
    <t>TOTAL  (INCLUYE SALDO FACURACION 2024, INGRESO 2025)</t>
  </si>
  <si>
    <t>Fabián Parra</t>
  </si>
  <si>
    <t>EdP 03 Análisis factibilidad y detecc. Cuello de botella del LoA</t>
  </si>
  <si>
    <t>DIFERENCIA DE CAMBIO</t>
  </si>
  <si>
    <t>HEIDI KIARA LA ROSA</t>
  </si>
  <si>
    <t>ZER GEOSYSTEM PERÚ</t>
  </si>
  <si>
    <t>JORMAN BARRERA - VIATICOS BRASIL</t>
  </si>
  <si>
    <t>Restituição Impuestos</t>
  </si>
  <si>
    <t>Transf. entre contas  Itaú</t>
  </si>
  <si>
    <t>BARROSO ADV. CIDADNIA ALEX</t>
  </si>
  <si>
    <t>Viagem Perú - Claudio H.</t>
  </si>
  <si>
    <t>Work Shop - Vale - Ricardo Miranda, Pedro A., Claudio, Eduardo</t>
  </si>
  <si>
    <t>GERAL - PA</t>
  </si>
  <si>
    <t>Reunião Ero</t>
  </si>
  <si>
    <t>Workshop Vale - Almoço Osteria</t>
  </si>
  <si>
    <t>Work Shop - Vale</t>
  </si>
  <si>
    <t xml:space="preserve">VP Mining Resolution BHP UGC pagada 2 Junio </t>
  </si>
  <si>
    <t xml:space="preserve">Twin Metals Birch Lake (invoice #7) </t>
  </si>
  <si>
    <t>VP Mining factura marzo y abril</t>
  </si>
  <si>
    <t xml:space="preserve">John Barber Factura 25-017 </t>
  </si>
  <si>
    <t xml:space="preserve">Sarah Bull </t>
  </si>
  <si>
    <t xml:space="preserve">OTROS INGRESO </t>
  </si>
  <si>
    <t>OTROS INGRESOS NO OP.</t>
  </si>
  <si>
    <t>EGRESO CREDITOS</t>
  </si>
  <si>
    <t>INGENIERIA REDCO BVI</t>
  </si>
  <si>
    <t>Capstone Copper</t>
  </si>
  <si>
    <t>Franco Nevada</t>
  </si>
  <si>
    <t>TOTAL 2025</t>
  </si>
  <si>
    <t>BVI</t>
  </si>
  <si>
    <t>TOTAL MAYO</t>
  </si>
  <si>
    <t>Matias Palma</t>
  </si>
  <si>
    <t>Gonzalo Diaz</t>
  </si>
  <si>
    <t>Marilia Da Silva Santos</t>
  </si>
  <si>
    <t>SALDO FLUJO 2025</t>
  </si>
  <si>
    <t>SALDO CAJA CIERRE 2025</t>
  </si>
  <si>
    <t>Concepto</t>
  </si>
  <si>
    <t>INGRESOS OP ACUM</t>
  </si>
  <si>
    <t>COSTOS OP ACUM</t>
  </si>
  <si>
    <t>BBVI</t>
  </si>
  <si>
    <t>CAJA OPERACIONAL DEL MES</t>
  </si>
  <si>
    <t>SALDO CAJA ACUMULADA (Considerando saldo inicial)</t>
  </si>
  <si>
    <t>EdP7 Estrategia Minera MLC Brownfield y TN Modular</t>
  </si>
  <si>
    <t>KUS$</t>
  </si>
  <si>
    <t>TOTAL A PAGAR  30-06-2025</t>
  </si>
  <si>
    <t>MAGALY ESQUIVEL</t>
  </si>
  <si>
    <t>Freddy Centeno Factura 142 mayo 2025 US$1.600</t>
  </si>
  <si>
    <t>ATX</t>
  </si>
  <si>
    <t>Nespresso Chile S A  Factura 338535</t>
  </si>
  <si>
    <t>Proveedores Integrales Prisa S A F/13845411</t>
  </si>
  <si>
    <t>Proveedores Integrales Prisa S A F/13845013</t>
  </si>
  <si>
    <t>Inmobiliaria Reconquista arriendo juLio 3 UF ($39.267,07)</t>
  </si>
  <si>
    <t>Arriendo oficina 1502  mayo 2025 85 UF t.c $39.267,07</t>
  </si>
  <si>
    <t>Asesorías e Inv. Acción arriendo cancha juLio</t>
  </si>
  <si>
    <t>SALDO CUENTA CORRIENTE BANCO CHILE US$9.098,14</t>
  </si>
  <si>
    <t>COLMENA SEG. VIDA</t>
  </si>
  <si>
    <t>DIVIDENDO OF</t>
  </si>
  <si>
    <t>CREDITO FOGAPE</t>
  </si>
  <si>
    <t>COTIZACIONES PREVIRED</t>
  </si>
  <si>
    <t>IMPUESTO UNICO JUNIO</t>
  </si>
  <si>
    <t>IMPUESTO RETENIDO JUNIO</t>
  </si>
  <si>
    <t>FABIAN AGUIRRE</t>
  </si>
  <si>
    <t>SUB-TOTAL</t>
  </si>
  <si>
    <t>SUB TOTAL</t>
  </si>
  <si>
    <t>RESCATE FFMM 27-06-2025</t>
  </si>
  <si>
    <t>PROXIMOS CARGOS Y PAGO PRIMERA QUINCENA DE JULIO</t>
  </si>
  <si>
    <t xml:space="preserve">    </t>
  </si>
  <si>
    <t>Rentención judicial Yurisan Vargas</t>
  </si>
  <si>
    <t>Trompa Producciones Fact.755</t>
  </si>
  <si>
    <t>Quadrem Factura 1183437</t>
  </si>
  <si>
    <t>Ana Prat  Factura 287 Tarjeta presentación</t>
  </si>
  <si>
    <t>Andes IP Abogados Limitada Factura 3453</t>
  </si>
  <si>
    <t>NICOLE DIAZ dif sueldo junio</t>
  </si>
  <si>
    <t>CPM    Ing. Básico Proy. Algarrobo Finos</t>
  </si>
  <si>
    <t>CMP S.A. Análisis de Estabilidad de Botadero Romeral UG.</t>
  </si>
  <si>
    <t>CMP S.A.   Puesta en Marcha Galería de Exploración Romeral CMP</t>
  </si>
  <si>
    <t>Exequiel Adonis rep.vrs. Of/mant. extractores y cambio tubos fluorescentes a LED</t>
  </si>
  <si>
    <t>Hotel Patagonia Taller directores Redco</t>
  </si>
  <si>
    <t>GMT Servicio Ingeneiría</t>
  </si>
  <si>
    <t>Fundación Choshuenco donación</t>
  </si>
  <si>
    <t xml:space="preserve">Segundo Fuentes </t>
  </si>
  <si>
    <t>Nicole Díaz Santana</t>
  </si>
  <si>
    <t>Valentina Ramos Olivera</t>
  </si>
  <si>
    <t>Martín Vicencio Montealegre</t>
  </si>
  <si>
    <t>Alvaro Cuevas Pradenas</t>
  </si>
  <si>
    <t>Matías Gallardo  Zapata</t>
  </si>
  <si>
    <t>Tiffany Perez</t>
  </si>
  <si>
    <t xml:space="preserve">SICEP inscripción como proveedor </t>
  </si>
  <si>
    <t>GECAMIN auspicio + Minning Electric+ GEOMIN+ Hotel estadia visitas Brasil/Trompa producciones</t>
  </si>
  <si>
    <t>Andes IP Abogados Ltda-Apelación Reg. Marca R+</t>
  </si>
  <si>
    <t>CLP</t>
  </si>
  <si>
    <t>LAS BAMBAS</t>
  </si>
  <si>
    <t>CLAUDIO HERNNADEZ PASAJE</t>
  </si>
  <si>
    <t>20/05</t>
  </si>
  <si>
    <t>14/05</t>
  </si>
  <si>
    <t>Sueldos</t>
  </si>
  <si>
    <t>Honorarios</t>
  </si>
  <si>
    <t>Sueldos administrativos</t>
  </si>
  <si>
    <t>Gasto Administrativo</t>
  </si>
  <si>
    <t>Gasto Operacional</t>
  </si>
  <si>
    <t>Activos</t>
  </si>
  <si>
    <t>Promedio</t>
  </si>
  <si>
    <t>Ítem</t>
  </si>
  <si>
    <t>Sueldo</t>
  </si>
  <si>
    <t>Externo</t>
  </si>
  <si>
    <t>Impuesto</t>
  </si>
  <si>
    <t>Operacional</t>
  </si>
  <si>
    <t>EERR</t>
  </si>
  <si>
    <t>Columna1</t>
  </si>
  <si>
    <t>ene-25</t>
  </si>
  <si>
    <t>feb-25</t>
  </si>
  <si>
    <t>mar-25</t>
  </si>
  <si>
    <t>abr-25</t>
  </si>
  <si>
    <t>may-25</t>
  </si>
  <si>
    <t>jun-25</t>
  </si>
  <si>
    <t>Total general</t>
  </si>
  <si>
    <t>ene</t>
  </si>
  <si>
    <t>feb</t>
  </si>
  <si>
    <t>mar</t>
  </si>
  <si>
    <t>abr</t>
  </si>
  <si>
    <t>may</t>
  </si>
  <si>
    <t>jun</t>
  </si>
  <si>
    <t>Suma de Monto</t>
  </si>
  <si>
    <t>Meses (Fecha)</t>
  </si>
  <si>
    <t>Categoría</t>
  </si>
  <si>
    <t>Detalle</t>
  </si>
  <si>
    <t>(Todas)</t>
  </si>
  <si>
    <t>Enrique Rubio</t>
  </si>
  <si>
    <t>Administración</t>
  </si>
  <si>
    <t>MARTIN  JESÚS ROBLES PEREZ</t>
  </si>
  <si>
    <t>ANGELO ALEJANDRO PATRI CARBAJAL</t>
  </si>
  <si>
    <t>COMPRA PASAJES CLAUDIO HERNANDEZ</t>
  </si>
  <si>
    <t>Boleto Santiago Lima Santiago pax Freddy// Boleto Santiago Lima Santiago pax Fernando//Boleto Chiclayo Lima Chiclayo pax Eduardo C.</t>
  </si>
  <si>
    <t>ESTADÍA FREDDY DÍAZ</t>
  </si>
  <si>
    <t>ESTADÍA FERNANDO RODRÍGUEZ</t>
  </si>
  <si>
    <t>ADS ADILSON - VAUATION REDCO</t>
  </si>
  <si>
    <t>DIALETO TRADUCIÓN</t>
  </si>
  <si>
    <t>ASTHURMINE CONSULTORIA</t>
  </si>
  <si>
    <t>Viaje Brasil -  Alex, em cia Enrique</t>
  </si>
  <si>
    <t>Viaje Ero Cooper</t>
  </si>
  <si>
    <t>Viaje Taboca</t>
  </si>
  <si>
    <t>Alex Y Familia</t>
  </si>
  <si>
    <t>Reunião Técnica - Taboca</t>
  </si>
  <si>
    <t>Taboca</t>
  </si>
  <si>
    <t>Traslados Claudiney - Junho</t>
  </si>
  <si>
    <t>IOF</t>
  </si>
  <si>
    <t>Three Crowns (invoice 001 enviada 11 Julio)</t>
  </si>
  <si>
    <t>Three Crowns (invoice 002 enviada 11 Julio)</t>
  </si>
  <si>
    <t>Three Crowns (invoice 003 enviada 6 agosto)</t>
  </si>
  <si>
    <t xml:space="preserve">Euclidea Consulting (invoice 1001 enviada 30 julio) </t>
  </si>
  <si>
    <t>CODELCO Análisis Opciones de vaciado mineral Mina Subterránea vía rajo</t>
  </si>
  <si>
    <t>CMP S.A. - Actualización de caso de negocios de CNN</t>
  </si>
  <si>
    <t>Herrennecht Chile Limitada Fcat. 3890</t>
  </si>
  <si>
    <t>Compra pasajes a Rusia (2)</t>
  </si>
  <si>
    <t xml:space="preserve">CámaraChilena Canadiende </t>
  </si>
  <si>
    <t>Cta. Cte. EERR R+</t>
  </si>
  <si>
    <t>EdP04 Ingeniería para utilización Técnología HDD Captación Aguas Claras</t>
  </si>
  <si>
    <t>EdP04 Trade Off Tecnológico nueva generación</t>
  </si>
  <si>
    <t>EdP04 Estudio FEL 1 Op. de acceso exploratorio - Escondda East Deep</t>
  </si>
  <si>
    <t>EdP01 Actualización de caso de negocios de CNN</t>
  </si>
  <si>
    <t>EdP05 Diseño medidas de cierre para los botaderos de Lastre Quebrada</t>
  </si>
  <si>
    <t>EdP05 Ingeniería para utilización Técnología HDD Captación Aguas Claras</t>
  </si>
  <si>
    <t>EdP06 Diseño medidas de cierre para los botaderos de Lastre Quebrada</t>
  </si>
  <si>
    <t>EdP03 Servicio Optimización Sondajes para DRT mediante DRX - REDTEC</t>
  </si>
  <si>
    <t>EdP03 Servicio Optimización Sondajes para DSL mediante DRX - REDTEC</t>
  </si>
  <si>
    <t>EdP06 Ingeniería para utilización Técnología HDD Captación Aguas Claras</t>
  </si>
  <si>
    <t>EdP01 Servicio estrategia de crecimiento distrito caserones</t>
  </si>
  <si>
    <t>EdP05 Estudio FEL 1 Op. de acceso exploratorio - Escondda East Deep</t>
  </si>
  <si>
    <t>Cinthia Moreno</t>
  </si>
  <si>
    <t>Rafael Palacios  (Prep. SICEP)</t>
  </si>
  <si>
    <t>CTA. CTE. REDTEC/ Patente R+ julio</t>
  </si>
  <si>
    <t>año 2025</t>
  </si>
  <si>
    <t>jul-25</t>
  </si>
  <si>
    <t>jul</t>
  </si>
  <si>
    <t>TC</t>
  </si>
  <si>
    <t>Item 1</t>
  </si>
  <si>
    <t>Descripción</t>
  </si>
  <si>
    <t>Total (KUS$)</t>
  </si>
  <si>
    <t>Resumen gastos</t>
  </si>
  <si>
    <t>Total gastos</t>
  </si>
  <si>
    <t>Sub total 1</t>
  </si>
  <si>
    <t>Peru</t>
  </si>
  <si>
    <t>Sub total 2</t>
  </si>
  <si>
    <t>Sub total 3</t>
  </si>
  <si>
    <t>Sub total 4</t>
  </si>
  <si>
    <t>Item 2</t>
  </si>
  <si>
    <t>REDCO</t>
  </si>
  <si>
    <t>R+</t>
  </si>
  <si>
    <t>Bonos</t>
  </si>
  <si>
    <t>Servicios</t>
  </si>
  <si>
    <t>RRHH</t>
  </si>
  <si>
    <t>Cumplimiento Legal</t>
  </si>
  <si>
    <t>Servicios personal</t>
  </si>
  <si>
    <t>Reclutamiento</t>
  </si>
  <si>
    <t>Capacitación</t>
  </si>
  <si>
    <t>Recompensas</t>
  </si>
  <si>
    <t>Bienestar</t>
  </si>
  <si>
    <t>Evaluación desempeño</t>
  </si>
  <si>
    <t>Seguridad y salud</t>
  </si>
  <si>
    <t>Auditoría</t>
  </si>
  <si>
    <t>Seguros</t>
  </si>
  <si>
    <t>Viajes</t>
  </si>
  <si>
    <t>Pasajes</t>
  </si>
  <si>
    <t>Alojamiento</t>
  </si>
  <si>
    <t>Transporte</t>
  </si>
  <si>
    <t>Alimentación</t>
  </si>
  <si>
    <t>Seguros viaje</t>
  </si>
  <si>
    <t>Examenes</t>
  </si>
  <si>
    <t>Tarjeta</t>
  </si>
  <si>
    <t>Gastos Menores</t>
  </si>
  <si>
    <t>Oficina</t>
  </si>
  <si>
    <t>Arriendo</t>
  </si>
  <si>
    <t>Dividendo</t>
  </si>
  <si>
    <t>Interés Crédito</t>
  </si>
  <si>
    <t>Otros</t>
  </si>
  <si>
    <t>Gastos comunes</t>
  </si>
  <si>
    <t>Tarjeta credito</t>
  </si>
  <si>
    <t>Telefonia</t>
  </si>
  <si>
    <t>Energía</t>
  </si>
  <si>
    <t>Estacionamiento</t>
  </si>
  <si>
    <t>Asesoria</t>
  </si>
  <si>
    <t>Caja chica</t>
  </si>
  <si>
    <t>Software</t>
  </si>
  <si>
    <t>Registro Proveedores</t>
  </si>
  <si>
    <t>Computación</t>
  </si>
  <si>
    <t>Tintas</t>
  </si>
  <si>
    <t>Contribuciones</t>
  </si>
  <si>
    <t>Prestamo</t>
  </si>
  <si>
    <t>Patente</t>
  </si>
  <si>
    <t>Banco</t>
  </si>
  <si>
    <t>Comercial</t>
  </si>
  <si>
    <t>Publicidad</t>
  </si>
  <si>
    <t>Eventos</t>
  </si>
  <si>
    <t>Total (kUS$)</t>
  </si>
  <si>
    <t>Distribución</t>
  </si>
  <si>
    <t>Impuestos</t>
  </si>
  <si>
    <t>Sub total 5</t>
  </si>
  <si>
    <t>Sub total 6</t>
  </si>
  <si>
    <t>Sub total 7</t>
  </si>
  <si>
    <t>Sub total 8</t>
  </si>
  <si>
    <t>REDCROSS/REDTEC</t>
  </si>
  <si>
    <t>ago-25</t>
  </si>
  <si>
    <t>sept-25</t>
  </si>
  <si>
    <t>oct-25</t>
  </si>
  <si>
    <t>nov-25</t>
  </si>
  <si>
    <t>dic-25</t>
  </si>
  <si>
    <t>Item</t>
  </si>
  <si>
    <t>Etiquetas de columna</t>
  </si>
  <si>
    <t>Etiquetas de fila</t>
  </si>
  <si>
    <t>Real</t>
  </si>
  <si>
    <t>Budget</t>
  </si>
  <si>
    <t>Dif.</t>
  </si>
  <si>
    <t>EdP02 Servicio estrategia de crecimiento distrito caserones</t>
  </si>
  <si>
    <t>EdP03 Servicio Estándar y Procedimiento Cierre Topográfico</t>
  </si>
  <si>
    <t>EdP02 Serv. Apoyo a la Documentación de Pract.Planif. CP y su normativa interna</t>
  </si>
  <si>
    <t>EdP03 Serv. Apoyo a la Documentación de Pract.Planif. CP y su normativa interna</t>
  </si>
  <si>
    <t>REMUNERACIONES POR PAGAR</t>
  </si>
  <si>
    <t>SUMA REMUNERACIONES</t>
  </si>
  <si>
    <t>RENÁN ARGANDOÑA DESCONTAR $8.390</t>
  </si>
  <si>
    <t>ATX Business Factura 309 -310 (incluye IVA)</t>
  </si>
  <si>
    <t>ENEL  OF. 1302 Y 1304 agosto N° Clte.1482364-6- 1482362-k</t>
  </si>
  <si>
    <t>ENEL  OF. 1502 agosto  N° cliente 1482370-0</t>
  </si>
  <si>
    <t>ENTEL PCS  Factura 51990225 vcto. 15-09-25</t>
  </si>
  <si>
    <t>FORUM  Cmta Chevolet -M. Esquivel cuota 6- 15-08-25</t>
  </si>
  <si>
    <t>Nespresso Chile S A  Factura 346517</t>
  </si>
  <si>
    <t>Proveedores Integrales Prisa S A F/13940183</t>
  </si>
  <si>
    <t>Proveedores Integrales Prisa S A F/13939569</t>
  </si>
  <si>
    <t>Inmobiliaria Reconquista arriendo agosto 3 UF ($39.360,32)</t>
  </si>
  <si>
    <t>Legal Prisma Ltda. F/1400</t>
  </si>
  <si>
    <t>Salcedo Compania Limitada F/7982</t>
  </si>
  <si>
    <t>Arriendo oficina 1502  agosto 2025 85 UF t.c $39.360,32</t>
  </si>
  <si>
    <t>Asesorías e Inv. Acción arriendo cancha agosto</t>
  </si>
  <si>
    <t>Rentención judicial Yurisan Vargas agosto</t>
  </si>
  <si>
    <t>Victoria S.A. Factura 218239  servicio junio</t>
  </si>
  <si>
    <t>Victoria S.A. Factura 224046  servicio julio</t>
  </si>
  <si>
    <t>Comercial Cintamatrix Factura 109017</t>
  </si>
  <si>
    <t>Azul Azul  cuota 3/3 Factura 913</t>
  </si>
  <si>
    <t>Pablo Quiero rendición gtos.viaje Brasil</t>
  </si>
  <si>
    <t>REDCROSS INGENIERIA Serv. Backoffice</t>
  </si>
  <si>
    <t>TOTAL A PAGAR  28-08-2025</t>
  </si>
  <si>
    <t>PROXIMOS CARGOS Y PAGO PRIMERA QUINCENA DE SEPTIEMBRE</t>
  </si>
  <si>
    <t>IMPUESTO UNICO AGOSTO</t>
  </si>
  <si>
    <t>IMPUESTO RETENIDO AGOSTO</t>
  </si>
  <si>
    <t>EdP01- Unico Estudio de Productividad Transporte</t>
  </si>
  <si>
    <t>EdP07 Ingeniería para utilización Técnología HDD Captación Aguas Claras</t>
  </si>
  <si>
    <t>Alex Remolcoy Guenteo</t>
  </si>
  <si>
    <t>Alvaro Soto Galaz</t>
  </si>
  <si>
    <t>Andrés Pardo Paredes</t>
  </si>
  <si>
    <t>Enzo Ruíz Romo</t>
  </si>
  <si>
    <t>Pasajes a Rusia Selidgar</t>
  </si>
  <si>
    <t>Act. Página WEB  A. Aguilera</t>
  </si>
  <si>
    <t>Colegio Geológos accseo FEXMIN</t>
  </si>
  <si>
    <t>Felipe León Consulting Chile SPA</t>
  </si>
  <si>
    <t>Eugenio Santander</t>
  </si>
  <si>
    <t>Juan Rivera</t>
  </si>
  <si>
    <t>Dinamica -Rodrigo Moya</t>
  </si>
  <si>
    <t>ANGLO AMERICAN Estudio Productividda Transp</t>
  </si>
  <si>
    <t>TOTAL GASTOS</t>
  </si>
  <si>
    <t>Factura Redco Global Perú SAC</t>
  </si>
  <si>
    <t>SALDO CUENTA CORRIENTE BANCO CHILE US$168.600,85</t>
  </si>
  <si>
    <t>REMUNERACIONES DE AGOSTO</t>
  </si>
  <si>
    <t>CARLOS PUGA FACTURA autorizado</t>
  </si>
  <si>
    <t>JUAN RIVERA BOLETA autorizado</t>
  </si>
  <si>
    <t>DINAMICA (Rodrigo Moya) FACTURA  autorizado</t>
  </si>
  <si>
    <t>DANIEL ORDOÑEZ BOLETA autorizado</t>
  </si>
  <si>
    <t>Autorizado e.r.</t>
  </si>
  <si>
    <t>HUDBAY</t>
  </si>
  <si>
    <t>PALOMINO AVALOS MANUEL ALEXANDER</t>
  </si>
  <si>
    <t>Compra pasajes a Chile aniversario Redco</t>
  </si>
  <si>
    <t>TERRA HOTELES PERU LH</t>
  </si>
  <si>
    <t xml:space="preserve">TERRA HOTELES </t>
  </si>
  <si>
    <t>REDCO Serv. Ing. Ferrobambas</t>
  </si>
  <si>
    <t>CTA.CTE EERR FACT.REDCROSS/REDCO</t>
  </si>
  <si>
    <t>BCG Business Case Taboca</t>
  </si>
  <si>
    <t>Mosaic CTV 5Y Plan + Fase II</t>
  </si>
  <si>
    <t>CONSULTORIAS</t>
  </si>
  <si>
    <t>GASTOS EJECUCION DE PROYECTOS</t>
  </si>
  <si>
    <t>Withholding Taxes Costo Proyecto</t>
  </si>
  <si>
    <t>MENOS IMPUETSOS</t>
  </si>
  <si>
    <t>Pend. Respaldo</t>
  </si>
  <si>
    <t>Pend.cta.cte.</t>
  </si>
  <si>
    <t xml:space="preserve">Pend. e.r. </t>
  </si>
  <si>
    <t>ENTEL Red fija + internet 4 Facts.(agosto y sept)</t>
  </si>
  <si>
    <t>Redco Global Perú SAC</t>
  </si>
  <si>
    <t>Proyecto Ferro Bambas MEAI Etapa I Pre- PFS US$444.142.-</t>
  </si>
  <si>
    <t>LUMINA COPPER Serv.estrategia de crecimiento distrito caserones</t>
  </si>
  <si>
    <t>CIA. MINERA CERRO COLORADO LTDA</t>
  </si>
  <si>
    <t>EdP07 Diseño medidas de cierre para los botaderos de Lastre Quebrada</t>
  </si>
  <si>
    <t>EdP06 Estudio FEL 1 Op. de acceso exploratorio - Escondda East Deep</t>
  </si>
  <si>
    <t>(+50737850)</t>
  </si>
  <si>
    <t xml:space="preserve">LAMA ESTRATI, EDUARDO Bono </t>
  </si>
  <si>
    <t>TAFUR BORJAS BETZABE YAJAIRA</t>
  </si>
  <si>
    <t>Ero Cooper - NF 73 - BM01</t>
  </si>
  <si>
    <t>Ero Cooper - NF 78 - BM01</t>
  </si>
  <si>
    <t>Mineração Taboc</t>
  </si>
  <si>
    <t>Mosaic - Araxa</t>
  </si>
  <si>
    <t>Mosaic Araxá</t>
  </si>
  <si>
    <t>Transfer aeroporto Aelx e Claudio, Izabela - Ouro Preto, Aeroporto</t>
  </si>
  <si>
    <t>Viagem a Mosaic - Araxa</t>
  </si>
  <si>
    <t xml:space="preserve">South 32 ( Invoice 202501 enviada 9 septiembre </t>
  </si>
  <si>
    <t>TOTAL A PAGAR  26-09-2025</t>
  </si>
  <si>
    <t>SANDRA SALAZAR (20+1) of. 1502</t>
  </si>
  <si>
    <t>ENTEL PCS  Factura 51836219 vcto. 15-10-25</t>
  </si>
  <si>
    <t>Fabían Parra geólogo rend.gtos. FEXMIN 2025</t>
  </si>
  <si>
    <t>ENTEL Red fija + internet facts.</t>
  </si>
  <si>
    <t>Nespresso Chile S A  Factura 350051</t>
  </si>
  <si>
    <t>ENEL  OF. 1302 Y 1304 sept. N° Clte.1482364-6- 1482362-k</t>
  </si>
  <si>
    <t>Proveedores Integrales Prisa S A F/13987861</t>
  </si>
  <si>
    <t>Proveedores Integrales Prisa S A F/13988458</t>
  </si>
  <si>
    <t>Victoria S.A. Factura 227162  servicio agosto</t>
  </si>
  <si>
    <t>ATX Business Factura 312 -327 (incluye IVA)</t>
  </si>
  <si>
    <t>Quadrem Factura 1185432 comisión vts. BHP</t>
  </si>
  <si>
    <t>Asesorías e Inv. Acción arriendo cancha octubre</t>
  </si>
  <si>
    <t>Fundacion Arturo Perez Lopez septiembre</t>
  </si>
  <si>
    <t>Comunidad Edificio Torre Kennedy of.1302-1304 agosto</t>
  </si>
  <si>
    <t>Comunidad Edificio Torre Kennedy of 1502 agosto</t>
  </si>
  <si>
    <t>Forum cuota camioneta Ford (E.R.)</t>
  </si>
  <si>
    <t>Inmobiliaria Reconquista arriendo sept. 3 UF ($39.485,65)</t>
  </si>
  <si>
    <t>Arriendo oficina 1502  sept. 2025 85 UF t.c $39.485,65</t>
  </si>
  <si>
    <t>REDCROSS INGENIERIA Serv. Backoffice septiembre</t>
  </si>
  <si>
    <t>SALDO CUENTA CORRIENTE BANCO CHILE US$157.625,78</t>
  </si>
  <si>
    <t>Alex Figueroa rend.gtos.viajes Brasil Workshop Furnas sept.</t>
  </si>
  <si>
    <t>Alex Figueroa rendición gtos.viajes Brasil julio</t>
  </si>
  <si>
    <t>Alex Figueroa rendición gtos.viajes Brasil  agosto</t>
  </si>
  <si>
    <t>EdP 01 Confiabilidad de Planes Budget 2026</t>
  </si>
  <si>
    <t>SCM Minera Lumina Copper Chle</t>
  </si>
  <si>
    <t>EdP03 Servicio estrategia de crecimiento distrito caserones</t>
  </si>
  <si>
    <t>MATIAS ALEJANDRO GALLARDO</t>
  </si>
  <si>
    <t>ALEX RODRIGO PACHECO</t>
  </si>
  <si>
    <t>FREDDY ESTEBAN DÍAZ</t>
  </si>
  <si>
    <t>ERICK NICOLAS SANHUEZA</t>
  </si>
  <si>
    <t>VICTOR JOAQUÍN MOHANA</t>
  </si>
  <si>
    <t>VALENTINA GABRIELA RAMOS</t>
  </si>
  <si>
    <t>EDUARDO CEPEDA</t>
  </si>
  <si>
    <t>ALVARO FABIAN CUEVAS</t>
  </si>
  <si>
    <t>NICOLÁS ROBERTO SANZANA</t>
  </si>
  <si>
    <t>ALVARO PATRICIO SOTO</t>
  </si>
  <si>
    <t>PABLO ANTONIO QUIERO</t>
  </si>
  <si>
    <t>JUAN LUIS PIZARRO</t>
  </si>
  <si>
    <t>ROXANA CECILIA AVILÉS</t>
  </si>
  <si>
    <t>JOSÉ IGNACIO PIZARRO</t>
  </si>
  <si>
    <t>IGNACIA PAZ ÁLVAREZ</t>
  </si>
  <si>
    <t>DIEGO ANDRÉS MUÑOZ</t>
  </si>
  <si>
    <t>DANIELA SIU YING OYARZO</t>
  </si>
  <si>
    <t>FABIÁN ALBERTO PARRA</t>
  </si>
  <si>
    <t>ENZO FRANCO RUIZ</t>
  </si>
  <si>
    <t>ALEX DAMIAN REMOLCOY</t>
  </si>
  <si>
    <t>MARCELO ISAÍAS MENDOZA</t>
  </si>
  <si>
    <t>CINTHIA PAULINA MORENO</t>
  </si>
  <si>
    <t>GABRIEL OJEDA</t>
  </si>
  <si>
    <t>ISIDORA BELÉN FIGUEROA</t>
  </si>
  <si>
    <t>ANDRES PARDO</t>
  </si>
  <si>
    <t>GERSON ALEJANDRO ALFARO</t>
  </si>
  <si>
    <t>SANDRA SALAZAR (3 ds.) reemplazo Gladys</t>
  </si>
  <si>
    <t>EUGENIO SANTANDER</t>
  </si>
  <si>
    <t>Autopistas TAG facturas vrs (parte a dsctar R.Miranda)</t>
  </si>
  <si>
    <t>Forum cuota camioneta Chevrolet (R.M.)</t>
  </si>
  <si>
    <t>Claudio Hernández REND,VIAJE Brasil Cajati</t>
  </si>
  <si>
    <t>PROXIMOS CARGOS Y PAGO PRIMERA QUINCENA DE OCTUBRE</t>
  </si>
  <si>
    <t>REMUNERACIONES DE SEPTIEMBRE (detalle oculto)</t>
  </si>
  <si>
    <t>Legal Prisma Ltda. F/1431 abogados</t>
  </si>
  <si>
    <t>Salcedo Compania Limitada F/8030 tributario</t>
  </si>
  <si>
    <t xml:space="preserve">SALDO CUENTA CORRIENTE </t>
  </si>
  <si>
    <t>Ignacia Alvarez</t>
  </si>
  <si>
    <t>Juan Luis Pizarro</t>
  </si>
  <si>
    <t xml:space="preserve">2 pizarras  para producción-seguimientos EdP-Impresiones </t>
  </si>
  <si>
    <t>Owlo SPA (Drakorian)  mantención mensual IA</t>
  </si>
  <si>
    <t>Revista Chile B2B media Group/Oubkica. Eridekta</t>
  </si>
  <si>
    <t>Daniel  Ordoñez</t>
  </si>
  <si>
    <t xml:space="preserve">Beneficio personal </t>
  </si>
  <si>
    <t>ANGLO AMERICAN Ing.tilizació Tecnología  HDD Capt.Aguas Claras</t>
  </si>
  <si>
    <t>Pulso Salud Chile SPA examenes altura viaje Perú</t>
  </si>
  <si>
    <t>José Pizarro rend.gtos.Ero Copper -Furnas Brasil</t>
  </si>
  <si>
    <t>RENDICION DE GASTOS VIAJE</t>
  </si>
  <si>
    <t>SUMA RENDICION DE GASTOS VIAJE</t>
  </si>
  <si>
    <t>Matías Gallardo rend pago serv téc. recup.y restabl. Sitio web Redco</t>
  </si>
  <si>
    <t>Freddy Centeno Factura 14 agosto 2025 US$1.700</t>
  </si>
  <si>
    <t>EdP08 2/2 Ing. para utilización Técnología HDD Captación Aguas Claras</t>
  </si>
  <si>
    <t>EdP08 1/2 Ing. para utilización Técnología HDD Captación Aguas Claras</t>
  </si>
  <si>
    <t>EdP Unico Apoyo de Análisis Normas y Guías Planif.CODELCO</t>
  </si>
  <si>
    <t>EdP01 Actualización casos base 55,60 y 68 KTDP</t>
  </si>
  <si>
    <t>Inscripcion SIMIN V.Mohana y M.Gallardo</t>
  </si>
  <si>
    <t>Pulso Salud examenes ingnieria viaje Perú</t>
  </si>
  <si>
    <t>ROCSCIENCE Inc liencia software</t>
  </si>
  <si>
    <t>SALDOS CTAS.CTES. AL 06-10-2025</t>
  </si>
  <si>
    <t>Acumulado septimbre</t>
  </si>
  <si>
    <t>Cierre 2025</t>
  </si>
  <si>
    <t>LUIS ALBERTO AYALA CARAZAS</t>
  </si>
  <si>
    <t>MIRIAM ESTHER RODRIGUEZ CANDIA</t>
  </si>
  <si>
    <t>Compra Pjes. Edo. Lama y J. Barrera- PERUMIN</t>
  </si>
  <si>
    <t>Rembolso compra pasajes PERUMIN</t>
  </si>
  <si>
    <t>RESERVA-A-3-AL-5-SET-JUAN FRANCISCO SAN MARTIN</t>
  </si>
  <si>
    <t>2 noches de estadía  del equipo de ingenieros provenientes de Chile visita a la unidad minera Cerro Lindo</t>
  </si>
  <si>
    <t>CANCELACION HOTEL PERUMIN</t>
  </si>
  <si>
    <t xml:space="preserve">05/09 16:32 08213823000107 AURA ALMAS </t>
  </si>
  <si>
    <t>745 0001 33931486001455 MOSAIC FERTILI</t>
  </si>
  <si>
    <t>745 0001 31009644000174 MOSAIC POTASSI</t>
  </si>
  <si>
    <t>341 1007 49237856000255 ERO BRASIL PAR</t>
  </si>
  <si>
    <t xml:space="preserve">Rest. Tributos Rec. Fed. </t>
  </si>
  <si>
    <t>Estorno de Débito Bancário</t>
  </si>
  <si>
    <t>Acum septiembre</t>
  </si>
  <si>
    <t>ACUM. SEPT.</t>
  </si>
  <si>
    <t>EdP01 Production AT Risk - Expansion Projects / Minas Rio</t>
  </si>
  <si>
    <t>INGRESO NETO</t>
  </si>
  <si>
    <t>PAIS</t>
  </si>
  <si>
    <t>CONCEPTO</t>
  </si>
  <si>
    <t>enro a septiembre 2025</t>
  </si>
  <si>
    <t xml:space="preserve">ANGLO AMERICAN Ing.tilizació Tecnología  HDD </t>
  </si>
  <si>
    <t>OTROS INGRESOS</t>
  </si>
  <si>
    <t>SALDO FLUJO CIERRE SEPTIEMBRE</t>
  </si>
  <si>
    <t>SALDO FLUJO ACUMULADO SEPTIEMBRE</t>
  </si>
  <si>
    <t>SEPTIEMBRE</t>
  </si>
  <si>
    <t>ago</t>
  </si>
  <si>
    <t>sept</t>
  </si>
  <si>
    <t>Gasto Edu</t>
  </si>
  <si>
    <t>Gasto Isa</t>
  </si>
  <si>
    <t>Factor</t>
  </si>
  <si>
    <t>Gasto ajustado</t>
  </si>
  <si>
    <t>Inversión</t>
  </si>
  <si>
    <t>kUS$</t>
  </si>
  <si>
    <t>No externos</t>
  </si>
  <si>
    <t>Gran Total</t>
  </si>
  <si>
    <t>Comparable Budget</t>
  </si>
  <si>
    <t>Adicional</t>
  </si>
  <si>
    <t>Proyectos Chile 2025</t>
  </si>
  <si>
    <t>Empresa</t>
  </si>
  <si>
    <t>#</t>
  </si>
  <si>
    <t>REDCO/R+</t>
  </si>
  <si>
    <t>BRANCO IGNACIO CAMPOS</t>
  </si>
  <si>
    <t>Ignacio Navarrete</t>
  </si>
  <si>
    <t xml:space="preserve">Beacon Resourcing </t>
  </si>
  <si>
    <t>Wujjuu Spa. boligrafos y portcredencialsuadernos, lapicez</t>
  </si>
  <si>
    <t xml:space="preserve">Aloprint SPA </t>
  </si>
  <si>
    <t>Instituto  de Ingeneiros de Minas de Chile</t>
  </si>
  <si>
    <t>The University Westerm Australia US$</t>
  </si>
  <si>
    <t>Onward Display Limited US$</t>
  </si>
  <si>
    <t>Thorns Group US$</t>
  </si>
  <si>
    <t>Cámera Chileno Britanica de Comercio</t>
  </si>
  <si>
    <t>Formas Group actividad personal Redco, cierre 2025</t>
  </si>
  <si>
    <t>CMP Dev.5% Estudio Explot.Stock de Minerales de Hierro</t>
  </si>
  <si>
    <t>CMP S.A.   Actualización casos base 55,60 y 68 KTDP</t>
  </si>
  <si>
    <t>MANTOVERDE S.A. Confiabilidad de Planes Budget 2026</t>
  </si>
  <si>
    <t>MANTOS COPPER  S.A.  Confiabilidad de Planes Budget 2026</t>
  </si>
  <si>
    <t>PAGO DE 40% - MODELO HIDROGEOLÓGICO</t>
  </si>
  <si>
    <t>AQUIFER - EVALUACION HIDROGEOLOGICA A NIVEL SCOPING DEL PROYECTO LAS BAMBAS (FURNAS)</t>
  </si>
  <si>
    <t>AQUIFER - EVALUACION HIDROGEOLOGICA PARA EL DISENO DEL PROYECTO MINERO MINSUR (SELIGDAR)</t>
  </si>
  <si>
    <t>PASAJES EUGENIO SANTANDER</t>
  </si>
  <si>
    <t>PASAJES CINTHIA MORENO</t>
  </si>
  <si>
    <t>Reeembolso gastos viaje a Mina Pitinga- Kevin Rios</t>
  </si>
  <si>
    <t>TRASLADOS AREQUIPA 2DO. PAGO</t>
  </si>
  <si>
    <t>HOLIDAY INN EXPRESS- CINTHIA MORENO</t>
  </si>
  <si>
    <t>COMPAÑIA MINERA CHUNGAR S.A.C:</t>
  </si>
  <si>
    <t>MINERACAO TABOCA - BM02 - NF90</t>
  </si>
  <si>
    <t>MOSAIC POTASSIO - BM07 - NF74</t>
  </si>
  <si>
    <t>MOSAIC FERTILIZANTES - BM-24 - NF75</t>
  </si>
  <si>
    <t>LHG MINING  - BM01 - NF88</t>
  </si>
  <si>
    <t>ERO BRASIL PAR - BM04 - NF85</t>
  </si>
  <si>
    <t>MOSAIC POTASSIO - BM08 - NF79</t>
  </si>
  <si>
    <t>MOSAIC FERTILIZANTES - BM25 - NF80</t>
  </si>
  <si>
    <t>AURA ALMAS  - BM08 - NF91</t>
  </si>
  <si>
    <t>Rendimiento Aplicación</t>
  </si>
  <si>
    <t>que es??</t>
  </si>
  <si>
    <t>Three Crowns (invoice 004 enviada 10 septiembre)</t>
  </si>
  <si>
    <t>Three Crowns (invoice 005 enviada 13 octubre)</t>
  </si>
  <si>
    <t>VP Mining factura mayo. Julio y agosto</t>
  </si>
  <si>
    <t>oct</t>
  </si>
  <si>
    <t>%</t>
  </si>
  <si>
    <t>Adicionales</t>
  </si>
  <si>
    <t>(Varios elementos)</t>
  </si>
  <si>
    <t>Gasto Acumulado</t>
  </si>
  <si>
    <t>CMP S.A. EdP01 Actualización de caso de negocios de CNN</t>
  </si>
  <si>
    <t>CMP S.A. EdP01 ÚNICO Apoyo respuesta ICSARA DIA MER</t>
  </si>
  <si>
    <t>SCM MINERA LUMINA COPPER Serv.estrategia de crecimiento distrito caserones</t>
  </si>
  <si>
    <t>MINERA COLLAHUASI EdP01 Servicios de análisis Mine Compliance</t>
  </si>
  <si>
    <t>The Boston EdP Unico Apoyo de Análisis Normas y Guías Planif.CODELCO</t>
  </si>
  <si>
    <t>Soc. Punta del Cobre EdP01 Acompañamiento resrevas Tovaku de Pucobre</t>
  </si>
  <si>
    <t>Cta. cte. EERR Redcross</t>
  </si>
  <si>
    <t>Gersson Rivera</t>
  </si>
  <si>
    <t>Consultora y Aess. Plataforma Dinámica (Rodrigo Moya)</t>
  </si>
  <si>
    <t>Grupo Cielo Negro</t>
  </si>
  <si>
    <t>Leonel Alvarado</t>
  </si>
  <si>
    <t>Mauricio Mendez</t>
  </si>
  <si>
    <t>Anais Ramiez</t>
  </si>
  <si>
    <t>DSIGNOS SpA  mueble of.</t>
  </si>
  <si>
    <t>Cristian Echeverria arquitecto</t>
  </si>
  <si>
    <t>Reembolso gastos regalos jardin E.R. / gastos viaje C.Moreno</t>
  </si>
  <si>
    <t>CTA.CTE. EERR REDCROSS S.A.</t>
  </si>
  <si>
    <t>LOZADA ORE MARCO ANTONIO</t>
  </si>
  <si>
    <t>NICOLAS ALFONSO DIAZ RAMOS</t>
  </si>
  <si>
    <t>CAMASCA ÑAUPARI LUIS FERNANDO</t>
  </si>
  <si>
    <t>PASAJES: FELIPE ROJAS/ MANUEL PALOMINOS/KEVIN RIOS</t>
  </si>
  <si>
    <t>PASJAE: MANUEL PALOMINO</t>
  </si>
  <si>
    <t>CORPORACION HOTELERA PIURA</t>
  </si>
  <si>
    <t>SANTANDER OPERACIONES</t>
  </si>
  <si>
    <t>DEPOSITO A PLAZO</t>
  </si>
  <si>
    <t>MINER. AURIZONA - EQUINOX - NF´S 104 E 107 - BM´S 01 E 02</t>
  </si>
  <si>
    <t>CBMM - BM-01 - NF97</t>
  </si>
  <si>
    <t>Antônio Alberto Fróes Schettino Bonus-Dividendos</t>
  </si>
  <si>
    <t>Mirante Hotel - Seminario OP - Izabela</t>
  </si>
  <si>
    <t>Exposibram e outros</t>
  </si>
  <si>
    <t xml:space="preserve">Exposibram </t>
  </si>
  <si>
    <t>Franco Nevada Corp (invoice enviada el 15 octubre)</t>
  </si>
  <si>
    <t>IMPUESTO RENTA (2024)</t>
  </si>
  <si>
    <t>nov</t>
  </si>
  <si>
    <t>A Noviembre</t>
  </si>
  <si>
    <t>ANGLO AMERICAN Technial Producc.At Ris Minas Rios</t>
  </si>
  <si>
    <t>Anais Ramirez Bustos</t>
  </si>
  <si>
    <t>RU Innovación</t>
  </si>
  <si>
    <t>Ramón Pávez</t>
  </si>
  <si>
    <t>Felipe Hidalgo</t>
  </si>
  <si>
    <t>Alejandro Cuadra</t>
  </si>
  <si>
    <t>Covarrubias y Cia (Fda. Olmedo) gestión ENAPI</t>
  </si>
  <si>
    <t>Livehome SPA aromatizaicón ofs.</t>
  </si>
  <si>
    <t>SOBREANDES</t>
  </si>
  <si>
    <t>MINE PRECISION - PROYECTO MEJORAS OPERACIONALES DE CNN-CMP</t>
  </si>
  <si>
    <t>WILLY SALDAÑA CORTEZ -  REVISIÓN DE MODELO HIDROGEOLÓGICO PARA EL PROYECTO EQUINOX GOLD</t>
  </si>
  <si>
    <t>B.L. SERVICE ADMINISTRADOR</t>
  </si>
  <si>
    <t>MOSAIC POTASSIO - NF92 - BM11</t>
  </si>
  <si>
    <t>AURA MINERALS - NF -110- BM - 10</t>
  </si>
  <si>
    <t>ERO BRASIL - NF 113 - BM06</t>
  </si>
  <si>
    <t>EQUINOX - NF-115 - BM-03</t>
  </si>
  <si>
    <t>Corumbaense - ND02/25 - Em anáise pend enero 26</t>
  </si>
  <si>
    <t>PREVISÃO GERAL</t>
  </si>
  <si>
    <t>Transfer Equinox, Nexa</t>
  </si>
  <si>
    <t>IMPOSTOS IRRF</t>
  </si>
  <si>
    <t>DIFERENCIA PARIDAD US$</t>
  </si>
  <si>
    <t>VP Mining (invoice 101025)</t>
  </si>
  <si>
    <t>VP Mining (invoice 112025)</t>
  </si>
  <si>
    <t>VP Mining factura diciembre</t>
  </si>
  <si>
    <t>0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</si>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</sst>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;[Red]&quot;$&quot;\-#,##0"/>
    <numFmt numFmtId="8" formatCode="&quot;$&quot;#,##0.00;[Red]&quot;$&quot;\-#,##0.00"/>
    <numFmt numFmtId="41" formatCode="_ * #,##0_ ;_ * \-#,##0_ ;_ * &quot;-&quot;_ ;_ @_ "/>
    <numFmt numFmtId="43" formatCode="_ * #,##0.00_ ;_ * \-#,##0.00_ ;_ * &quot;-&quot;??_ ;_ @_ "/>
    <numFmt numFmtId="164" formatCode="_-* #,##0.00\ _€_-;\-* #,##0.00\ _€_-;_-* &quot;-&quot;??\ _€_-;_-@_-"/>
    <numFmt numFmtId="165" formatCode="_-* #,##0.00_-;\-* #,##0.00_-;_-* &quot;-&quot;??_-;_-@_-"/>
    <numFmt numFmtId="166" formatCode="_-* #,##0_-;\-* #,##0_-;_-* &quot;-&quot;??_-;_-@_-"/>
    <numFmt numFmtId="167" formatCode="_-* #,##0\ _€_-;\-* #,##0\ _€_-;_-* &quot;-&quot;??\ _€_-;_-@_-"/>
    <numFmt numFmtId="168" formatCode="_ * #,##0.00_ ;_ * \-#,##0.00_ ;_ * &quot;-&quot;_ ;_ @_ "/>
    <numFmt numFmtId="169" formatCode="_ * #,##0_ ;_ * \-#,##0_ ;_ * &quot;-&quot;??_ ;_ @_ "/>
    <numFmt numFmtId="170" formatCode="_ * #,##0.000_ ;_ * \-#,##0.000_ ;_ * &quot;-&quot;_ ;_ @_ "/>
    <numFmt numFmtId="171" formatCode="_(* #,##0_);_(* \(#,##0\);_(* &quot;-&quot;??_);_(@_)"/>
    <numFmt numFmtId="172" formatCode="dd/mm/yyyy;@"/>
    <numFmt numFmtId="173" formatCode="&quot; &quot;* #,##0&quot;   &quot;;&quot;-&quot;* #,##0&quot;   &quot;;&quot; &quot;* &quot;-&quot;??&quot;   &quot;"/>
    <numFmt numFmtId="174" formatCode="&quot; &quot;* #,##0&quot; &quot;;&quot;-&quot;* #,##0&quot; &quot;;&quot; &quot;* &quot;-&quot;??&quot; &quot;"/>
    <numFmt numFmtId="175" formatCode="&quot; &quot;* #,##0&quot; &quot;;&quot; &quot;* \(#,##0\);&quot; &quot;* &quot;-&quot;??&quot; &quot;"/>
    <numFmt numFmtId="176" formatCode="dd/mm/yy;@"/>
    <numFmt numFmtId="177" formatCode="&quot; &quot;* #,##0&quot; &quot;;&quot; &quot;* &quot;-&quot;#,##0&quot; &quot;;&quot; &quot;* &quot;- &quot;"/>
    <numFmt numFmtId="178" formatCode="&quot;R$&quot;\ #,##0.00;[Red]\-&quot;R$&quot;\ #,##0.00"/>
    <numFmt numFmtId="179" formatCode="0.0%"/>
    <numFmt numFmtId="180" formatCode="#,##0.00000"/>
  </numFmts>
  <fonts count="1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Verdana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3"/>
      <color indexed="8"/>
      <name val="Calibri"/>
      <family val="2"/>
    </font>
    <font>
      <sz val="13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indexed="8"/>
      <name val="Calibri"/>
      <family val="2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name val="Verdana"/>
      <family val="2"/>
    </font>
    <font>
      <b/>
      <sz val="13"/>
      <color indexed="8"/>
      <name val="Verdana"/>
      <family val="2"/>
    </font>
    <font>
      <sz val="8"/>
      <name val="Calibri"/>
      <family val="2"/>
    </font>
    <font>
      <sz val="9"/>
      <color rgb="FF1E851E"/>
      <name val="Nunito_sans_semibold"/>
    </font>
    <font>
      <sz val="11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indexed="8"/>
      <name val="Verdana"/>
      <family val="2"/>
    </font>
    <font>
      <b/>
      <sz val="11"/>
      <color theme="4" tint="-0.249977111117893"/>
      <name val="Calibri"/>
      <family val="2"/>
      <scheme val="minor"/>
    </font>
    <font>
      <b/>
      <sz val="8"/>
      <color indexed="8"/>
      <name val="Calibri"/>
      <family val="2"/>
    </font>
    <font>
      <b/>
      <sz val="8"/>
      <color theme="4" tint="-0.249977111117893"/>
      <name val="Calibri"/>
      <family val="2"/>
    </font>
    <font>
      <b/>
      <sz val="8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8"/>
      <color rgb="FFFF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Verdana"/>
      <family val="2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12"/>
      <name val="Verdana"/>
      <family val="2"/>
    </font>
    <font>
      <sz val="11"/>
      <color indexed="12"/>
      <name val="Verdana"/>
      <family val="2"/>
    </font>
    <font>
      <strike/>
      <sz val="11"/>
      <color indexed="12"/>
      <name val="Verdana"/>
      <family val="2"/>
    </font>
    <font>
      <sz val="11"/>
      <color indexed="8"/>
      <name val="Helvetica Neue"/>
      <family val="2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  <font>
      <b/>
      <u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Aptos Narrow"/>
      <family val="2"/>
    </font>
    <font>
      <b/>
      <sz val="13"/>
      <color rgb="FF000000"/>
      <name val="Aptos Narrow"/>
      <family val="2"/>
    </font>
    <font>
      <sz val="9"/>
      <color rgb="FF000000"/>
      <name val="Calibri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242424"/>
      <name val="Aptos Narrow"/>
      <family val="2"/>
    </font>
    <font>
      <b/>
      <sz val="11"/>
      <color rgb="FFFF0000"/>
      <name val="Aptos"/>
      <family val="2"/>
    </font>
    <font>
      <b/>
      <sz val="11"/>
      <color rgb="FF002060"/>
      <name val="Aptos"/>
      <family val="2"/>
    </font>
    <font>
      <b/>
      <sz val="11"/>
      <name val="Aptos"/>
      <family val="2"/>
    </font>
    <font>
      <strike/>
      <sz val="11"/>
      <color rgb="FFFF0000"/>
      <name val="Aptos"/>
      <family val="2"/>
    </font>
    <font>
      <b/>
      <sz val="11"/>
      <color rgb="FF002060"/>
      <name val="Calibri"/>
      <family val="2"/>
      <scheme val="minor"/>
    </font>
    <font>
      <b/>
      <sz val="12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13"/>
      <color indexed="8"/>
      <name val="Aptos Narrow"/>
      <family val="2"/>
    </font>
    <font>
      <b/>
      <sz val="11"/>
      <color indexed="8"/>
      <name val="Aptos Narrow"/>
      <family val="2"/>
    </font>
    <font>
      <sz val="8"/>
      <color indexed="8"/>
      <name val="Aptos Narrow"/>
      <family val="2"/>
    </font>
    <font>
      <b/>
      <sz val="8"/>
      <color indexed="8"/>
      <name val="Aptos Narrow"/>
      <family val="2"/>
    </font>
    <font>
      <b/>
      <sz val="8"/>
      <color indexed="11"/>
      <name val="Calibri"/>
      <family val="2"/>
    </font>
    <font>
      <b/>
      <sz val="8"/>
      <color indexed="11"/>
      <name val="Aptos Narrow"/>
      <family val="2"/>
    </font>
    <font>
      <sz val="11"/>
      <color indexed="18"/>
      <name val="Verdana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  <font>
      <sz val="8"/>
      <color theme="4" tint="-0.249977111117893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1"/>
      <color indexed="8"/>
      <name val="Calibri"/>
      <family val="2"/>
    </font>
    <font>
      <b/>
      <sz val="8"/>
      <color rgb="FF000000"/>
      <name val="Aptos Narrow"/>
      <family val="2"/>
    </font>
    <font>
      <b/>
      <sz val="8"/>
      <color theme="1"/>
      <name val="Aptos Narrow"/>
      <family val="2"/>
    </font>
    <font>
      <sz val="12"/>
      <color rgb="FF000000"/>
      <name val="Calibri"/>
      <family val="2"/>
      <scheme val="minor"/>
    </font>
    <font>
      <b/>
      <sz val="11"/>
      <name val="Verdana"/>
      <family val="2"/>
    </font>
    <font>
      <b/>
      <sz val="10"/>
      <color rgb="FFFFFFFF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5"/>
      <color rgb="FF52677B"/>
      <name val="Nunito_sans_bold"/>
    </font>
    <font>
      <b/>
      <sz val="9"/>
      <color rgb="FF2A343D"/>
      <name val="Nunito_sans_bold"/>
    </font>
    <font>
      <b/>
      <sz val="8"/>
      <color rgb="FFEE0000"/>
      <name val="Calibri"/>
      <family val="2"/>
    </font>
    <font>
      <sz val="10"/>
      <color rgb="FFEE0000"/>
      <name val="Century Gothic"/>
      <family val="2"/>
    </font>
    <font>
      <sz val="10"/>
      <color theme="1"/>
      <name val="Century Gothic"/>
      <family val="2"/>
    </font>
    <font>
      <sz val="11"/>
      <color rgb="FFFF0000"/>
      <name val="Verdana"/>
      <family val="2"/>
    </font>
    <font>
      <sz val="10"/>
      <color rgb="FFFF0000"/>
      <name val="Calibri"/>
      <family val="2"/>
    </font>
    <font>
      <b/>
      <sz val="10"/>
      <color theme="1"/>
      <name val="Century Gothic"/>
      <family val="2"/>
    </font>
    <font>
      <b/>
      <sz val="11"/>
      <color rgb="FFFF0000"/>
      <name val="Verdana"/>
      <family val="2"/>
    </font>
    <font>
      <b/>
      <sz val="10"/>
      <color theme="0"/>
      <name val="Century Gothic"/>
      <family val="2"/>
    </font>
    <font>
      <sz val="10"/>
      <color theme="0"/>
      <name val="Century Gothic"/>
      <family val="2"/>
    </font>
    <font>
      <sz val="10"/>
      <color theme="1"/>
      <name val="Century Gothic"/>
      <family val="1"/>
    </font>
    <font>
      <sz val="10"/>
      <color theme="0"/>
      <name val="Century Gothic"/>
      <family val="1"/>
    </font>
    <font>
      <sz val="10"/>
      <color rgb="FFFF0000"/>
      <name val="Century Gothic"/>
      <family val="1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AFB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9"/>
        <bgColor rgb="FF000000"/>
      </patternFill>
    </fill>
  </fills>
  <borders count="26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theme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/>
      <bottom style="thin">
        <color theme="4" tint="0.79998168889431442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5" fillId="0" borderId="0"/>
    <xf numFmtId="0" fontId="15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33">
    <xf numFmtId="0" fontId="0" fillId="0" borderId="0" xfId="0"/>
    <xf numFmtId="0" fontId="3" fillId="0" borderId="0" xfId="0" applyFont="1" applyAlignment="1">
      <alignment horizontal="center"/>
    </xf>
    <xf numFmtId="166" fontId="0" fillId="0" borderId="0" xfId="0" applyNumberFormat="1"/>
    <xf numFmtId="167" fontId="0" fillId="0" borderId="0" xfId="1" applyNumberFormat="1" applyFont="1" applyFill="1"/>
    <xf numFmtId="0" fontId="4" fillId="0" borderId="12" xfId="0" applyFont="1" applyBorder="1" applyAlignment="1">
      <alignment horizontal="center" wrapText="1"/>
    </xf>
    <xf numFmtId="166" fontId="0" fillId="0" borderId="5" xfId="1" applyNumberFormat="1" applyFont="1" applyFill="1" applyBorder="1"/>
    <xf numFmtId="0" fontId="0" fillId="0" borderId="7" xfId="0" applyBorder="1"/>
    <xf numFmtId="0" fontId="3" fillId="0" borderId="10" xfId="0" applyFont="1" applyBorder="1" applyAlignment="1">
      <alignment horizontal="center"/>
    </xf>
    <xf numFmtId="167" fontId="0" fillId="0" borderId="5" xfId="1" applyNumberFormat="1" applyFont="1" applyFill="1" applyBorder="1" applyAlignment="1">
      <alignment horizontal="right"/>
    </xf>
    <xf numFmtId="166" fontId="0" fillId="0" borderId="7" xfId="1" applyNumberFormat="1" applyFont="1" applyFill="1" applyBorder="1"/>
    <xf numFmtId="17" fontId="3" fillId="0" borderId="10" xfId="0" applyNumberFormat="1" applyFont="1" applyBorder="1" applyAlignment="1">
      <alignment horizontal="center"/>
    </xf>
    <xf numFmtId="0" fontId="2" fillId="0" borderId="10" xfId="0" applyFont="1" applyBorder="1"/>
    <xf numFmtId="3" fontId="0" fillId="0" borderId="5" xfId="0" applyNumberFormat="1" applyBorder="1" applyAlignment="1">
      <alignment horizontal="center"/>
    </xf>
    <xf numFmtId="0" fontId="11" fillId="0" borderId="0" xfId="0" applyFont="1"/>
    <xf numFmtId="0" fontId="2" fillId="4" borderId="10" xfId="0" applyFont="1" applyFill="1" applyBorder="1"/>
    <xf numFmtId="166" fontId="2" fillId="4" borderId="10" xfId="1" applyNumberFormat="1" applyFont="1" applyFill="1" applyBorder="1"/>
    <xf numFmtId="0" fontId="2" fillId="3" borderId="5" xfId="0" applyFont="1" applyFill="1" applyBorder="1"/>
    <xf numFmtId="166" fontId="0" fillId="0" borderId="15" xfId="1" applyNumberFormat="1" applyFont="1" applyFill="1" applyBorder="1"/>
    <xf numFmtId="0" fontId="2" fillId="4" borderId="19" xfId="0" applyFont="1" applyFill="1" applyBorder="1"/>
    <xf numFmtId="167" fontId="0" fillId="0" borderId="6" xfId="1" applyNumberFormat="1" applyFont="1" applyFill="1" applyBorder="1"/>
    <xf numFmtId="167" fontId="0" fillId="0" borderId="5" xfId="1" applyNumberFormat="1" applyFont="1" applyFill="1" applyBorder="1" applyAlignment="1">
      <alignment horizontal="center"/>
    </xf>
    <xf numFmtId="167" fontId="0" fillId="0" borderId="7" xfId="1" applyNumberFormat="1" applyFont="1" applyFill="1" applyBorder="1" applyAlignment="1">
      <alignment horizontal="right"/>
    </xf>
    <xf numFmtId="167" fontId="0" fillId="0" borderId="0" xfId="1" applyNumberFormat="1" applyFont="1"/>
    <xf numFmtId="0" fontId="0" fillId="0" borderId="5" xfId="0" applyBorder="1"/>
    <xf numFmtId="167" fontId="0" fillId="0" borderId="5" xfId="1" applyNumberFormat="1" applyFont="1" applyFill="1" applyBorder="1"/>
    <xf numFmtId="166" fontId="0" fillId="0" borderId="16" xfId="1" applyNumberFormat="1" applyFont="1" applyFill="1" applyBorder="1"/>
    <xf numFmtId="167" fontId="0" fillId="0" borderId="7" xfId="1" applyNumberFormat="1" applyFont="1" applyFill="1" applyBorder="1"/>
    <xf numFmtId="166" fontId="2" fillId="0" borderId="10" xfId="1" applyNumberFormat="1" applyFont="1" applyFill="1" applyBorder="1"/>
    <xf numFmtId="166" fontId="0" fillId="0" borderId="30" xfId="1" applyNumberFormat="1" applyFont="1" applyFill="1" applyBorder="1"/>
    <xf numFmtId="0" fontId="3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6" fontId="0" fillId="0" borderId="29" xfId="1" applyNumberFormat="1" applyFont="1" applyFill="1" applyBorder="1"/>
    <xf numFmtId="0" fontId="0" fillId="0" borderId="18" xfId="0" applyBorder="1"/>
    <xf numFmtId="167" fontId="0" fillId="6" borderId="30" xfId="1" applyNumberFormat="1" applyFont="1" applyFill="1" applyBorder="1"/>
    <xf numFmtId="3" fontId="2" fillId="0" borderId="5" xfId="0" applyNumberFormat="1" applyFont="1" applyBorder="1" applyAlignment="1">
      <alignment horizontal="center"/>
    </xf>
    <xf numFmtId="0" fontId="0" fillId="0" borderId="16" xfId="0" applyBorder="1"/>
    <xf numFmtId="167" fontId="0" fillId="0" borderId="30" xfId="1" applyNumberFormat="1" applyFont="1" applyFill="1" applyBorder="1"/>
    <xf numFmtId="167" fontId="0" fillId="0" borderId="0" xfId="1" applyNumberFormat="1" applyFont="1" applyFill="1" applyBorder="1" applyAlignment="1">
      <alignment horizontal="center"/>
    </xf>
    <xf numFmtId="0" fontId="0" fillId="0" borderId="16" xfId="0" applyBorder="1" applyAlignment="1">
      <alignment wrapText="1"/>
    </xf>
    <xf numFmtId="0" fontId="9" fillId="0" borderId="16" xfId="0" applyFont="1" applyBorder="1"/>
    <xf numFmtId="167" fontId="0" fillId="6" borderId="5" xfId="1" applyNumberFormat="1" applyFont="1" applyFill="1" applyBorder="1" applyAlignment="1">
      <alignment horizontal="center"/>
    </xf>
    <xf numFmtId="0" fontId="2" fillId="0" borderId="16" xfId="0" applyFont="1" applyBorder="1"/>
    <xf numFmtId="167" fontId="0" fillId="0" borderId="0" xfId="1" applyNumberFormat="1" applyFont="1" applyFill="1" applyBorder="1"/>
    <xf numFmtId="167" fontId="0" fillId="0" borderId="0" xfId="1" applyNumberFormat="1" applyFont="1" applyFill="1" applyBorder="1" applyAlignment="1"/>
    <xf numFmtId="0" fontId="0" fillId="0" borderId="39" xfId="0" applyBorder="1"/>
    <xf numFmtId="167" fontId="0" fillId="0" borderId="31" xfId="1" applyNumberFormat="1" applyFont="1" applyFill="1" applyBorder="1"/>
    <xf numFmtId="167" fontId="0" fillId="0" borderId="7" xfId="1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0" xfId="1" applyNumberFormat="1" applyFont="1" applyFill="1" applyBorder="1"/>
    <xf numFmtId="166" fontId="0" fillId="6" borderId="5" xfId="1" applyNumberFormat="1" applyFont="1" applyFill="1" applyBorder="1"/>
    <xf numFmtId="166" fontId="0" fillId="2" borderId="5" xfId="1" applyNumberFormat="1" applyFont="1" applyFill="1" applyBorder="1"/>
    <xf numFmtId="166" fontId="0" fillId="0" borderId="0" xfId="1" applyNumberFormat="1" applyFont="1" applyFill="1"/>
    <xf numFmtId="0" fontId="3" fillId="2" borderId="40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center"/>
    </xf>
    <xf numFmtId="166" fontId="2" fillId="0" borderId="5" xfId="1" applyNumberFormat="1" applyFont="1" applyFill="1" applyBorder="1"/>
    <xf numFmtId="166" fontId="0" fillId="6" borderId="30" xfId="1" applyNumberFormat="1" applyFont="1" applyFill="1" applyBorder="1"/>
    <xf numFmtId="166" fontId="0" fillId="0" borderId="39" xfId="1" applyNumberFormat="1" applyFont="1" applyFill="1" applyBorder="1"/>
    <xf numFmtId="166" fontId="2" fillId="0" borderId="7" xfId="1" applyNumberFormat="1" applyFont="1" applyFill="1" applyBorder="1"/>
    <xf numFmtId="166" fontId="0" fillId="0" borderId="14" xfId="1" applyNumberFormat="1" applyFont="1" applyFill="1" applyBorder="1"/>
    <xf numFmtId="166" fontId="2" fillId="2" borderId="13" xfId="1" applyNumberFormat="1" applyFont="1" applyFill="1" applyBorder="1"/>
    <xf numFmtId="166" fontId="0" fillId="0" borderId="0" xfId="1" applyNumberFormat="1" applyFont="1" applyFill="1" applyBorder="1" applyAlignment="1">
      <alignment horizontal="center"/>
    </xf>
    <xf numFmtId="167" fontId="0" fillId="7" borderId="5" xfId="1" applyNumberFormat="1" applyFont="1" applyFill="1" applyBorder="1" applyAlignment="1">
      <alignment horizontal="center"/>
    </xf>
    <xf numFmtId="167" fontId="0" fillId="7" borderId="7" xfId="1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0" fillId="8" borderId="5" xfId="1" applyNumberFormat="1" applyFont="1" applyFill="1" applyBorder="1" applyAlignment="1">
      <alignment horizontal="center"/>
    </xf>
    <xf numFmtId="167" fontId="0" fillId="8" borderId="30" xfId="1" applyNumberFormat="1" applyFont="1" applyFill="1" applyBorder="1" applyAlignment="1">
      <alignment horizontal="center"/>
    </xf>
    <xf numFmtId="167" fontId="0" fillId="8" borderId="7" xfId="1" applyNumberFormat="1" applyFont="1" applyFill="1" applyBorder="1" applyAlignment="1">
      <alignment horizontal="center"/>
    </xf>
    <xf numFmtId="167" fontId="2" fillId="0" borderId="7" xfId="1" applyNumberFormat="1" applyFont="1" applyFill="1" applyBorder="1" applyAlignment="1">
      <alignment horizontal="right"/>
    </xf>
    <xf numFmtId="167" fontId="2" fillId="0" borderId="5" xfId="1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32" xfId="0" applyFont="1" applyBorder="1"/>
    <xf numFmtId="0" fontId="2" fillId="0" borderId="35" xfId="0" applyFont="1" applyBorder="1"/>
    <xf numFmtId="0" fontId="2" fillId="7" borderId="3" xfId="0" applyFont="1" applyFill="1" applyBorder="1"/>
    <xf numFmtId="166" fontId="2" fillId="7" borderId="10" xfId="0" applyNumberFormat="1" applyFont="1" applyFill="1" applyBorder="1"/>
    <xf numFmtId="166" fontId="2" fillId="0" borderId="15" xfId="1" applyNumberFormat="1" applyFont="1" applyFill="1" applyBorder="1"/>
    <xf numFmtId="166" fontId="2" fillId="0" borderId="1" xfId="1" applyNumberFormat="1" applyFont="1" applyFill="1" applyBorder="1"/>
    <xf numFmtId="0" fontId="14" fillId="0" borderId="0" xfId="0" applyFont="1"/>
    <xf numFmtId="3" fontId="0" fillId="0" borderId="0" xfId="0" applyNumberFormat="1"/>
    <xf numFmtId="0" fontId="16" fillId="0" borderId="35" xfId="0" applyFont="1" applyBorder="1"/>
    <xf numFmtId="0" fontId="2" fillId="4" borderId="3" xfId="0" applyFont="1" applyFill="1" applyBorder="1"/>
    <xf numFmtId="166" fontId="2" fillId="4" borderId="29" xfId="0" applyNumberFormat="1" applyFont="1" applyFill="1" applyBorder="1"/>
    <xf numFmtId="166" fontId="2" fillId="4" borderId="38" xfId="0" applyNumberFormat="1" applyFont="1" applyFill="1" applyBorder="1"/>
    <xf numFmtId="166" fontId="2" fillId="4" borderId="10" xfId="0" applyNumberFormat="1" applyFont="1" applyFill="1" applyBorder="1"/>
    <xf numFmtId="167" fontId="2" fillId="7" borderId="3" xfId="1" applyNumberFormat="1" applyFont="1" applyFill="1" applyBorder="1"/>
    <xf numFmtId="166" fontId="2" fillId="0" borderId="3" xfId="1" applyNumberFormat="1" applyFont="1" applyFill="1" applyBorder="1"/>
    <xf numFmtId="41" fontId="0" fillId="0" borderId="0" xfId="10" applyFont="1"/>
    <xf numFmtId="41" fontId="0" fillId="0" borderId="0" xfId="0" applyNumberFormat="1"/>
    <xf numFmtId="3" fontId="16" fillId="0" borderId="7" xfId="0" applyNumberFormat="1" applyFont="1" applyBorder="1"/>
    <xf numFmtId="0" fontId="20" fillId="0" borderId="0" xfId="0" applyFont="1"/>
    <xf numFmtId="167" fontId="0" fillId="0" borderId="48" xfId="1" applyNumberFormat="1" applyFont="1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11" fillId="0" borderId="5" xfId="0" applyFont="1" applyBorder="1"/>
    <xf numFmtId="41" fontId="0" fillId="0" borderId="0" xfId="10" applyFont="1" applyFill="1"/>
    <xf numFmtId="0" fontId="9" fillId="0" borderId="35" xfId="0" applyFont="1" applyBorder="1"/>
    <xf numFmtId="0" fontId="9" fillId="0" borderId="36" xfId="0" applyFont="1" applyBorder="1"/>
    <xf numFmtId="14" fontId="0" fillId="0" borderId="0" xfId="0" applyNumberFormat="1"/>
    <xf numFmtId="0" fontId="9" fillId="0" borderId="37" xfId="0" applyFont="1" applyBorder="1"/>
    <xf numFmtId="167" fontId="0" fillId="4" borderId="7" xfId="1" applyNumberFormat="1" applyFont="1" applyFill="1" applyBorder="1" applyAlignment="1">
      <alignment horizontal="right"/>
    </xf>
    <xf numFmtId="167" fontId="0" fillId="4" borderId="7" xfId="1" applyNumberFormat="1" applyFont="1" applyFill="1" applyBorder="1"/>
    <xf numFmtId="167" fontId="0" fillId="13" borderId="7" xfId="1" applyNumberFormat="1" applyFont="1" applyFill="1" applyBorder="1" applyAlignment="1">
      <alignment horizontal="right"/>
    </xf>
    <xf numFmtId="0" fontId="21" fillId="0" borderId="35" xfId="0" applyFont="1" applyBorder="1"/>
    <xf numFmtId="167" fontId="16" fillId="0" borderId="7" xfId="1" applyNumberFormat="1" applyFont="1" applyFill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3" fontId="22" fillId="0" borderId="0" xfId="0" applyNumberFormat="1" applyFont="1"/>
    <xf numFmtId="166" fontId="22" fillId="0" borderId="0" xfId="0" applyNumberFormat="1" applyFont="1"/>
    <xf numFmtId="165" fontId="22" fillId="0" borderId="0" xfId="0" applyNumberFormat="1" applyFont="1"/>
    <xf numFmtId="0" fontId="23" fillId="0" borderId="32" xfId="0" applyFont="1" applyBorder="1"/>
    <xf numFmtId="0" fontId="23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14" fontId="26" fillId="0" borderId="34" xfId="0" applyNumberFormat="1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2" fillId="0" borderId="5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166" fontId="26" fillId="0" borderId="30" xfId="1" applyNumberFormat="1" applyFont="1" applyFill="1" applyBorder="1"/>
    <xf numFmtId="3" fontId="12" fillId="0" borderId="7" xfId="0" applyNumberFormat="1" applyFont="1" applyBorder="1"/>
    <xf numFmtId="3" fontId="27" fillId="0" borderId="7" xfId="0" applyNumberFormat="1" applyFont="1" applyBorder="1"/>
    <xf numFmtId="166" fontId="22" fillId="0" borderId="27" xfId="1" applyNumberFormat="1" applyFont="1" applyFill="1" applyBorder="1" applyAlignment="1">
      <alignment horizontal="center"/>
    </xf>
    <xf numFmtId="14" fontId="22" fillId="0" borderId="26" xfId="0" applyNumberFormat="1" applyFont="1" applyBorder="1" applyAlignment="1">
      <alignment horizontal="center"/>
    </xf>
    <xf numFmtId="166" fontId="22" fillId="0" borderId="39" xfId="0" applyNumberFormat="1" applyFont="1" applyBorder="1"/>
    <xf numFmtId="164" fontId="22" fillId="0" borderId="39" xfId="1" applyFont="1" applyFill="1" applyBorder="1"/>
    <xf numFmtId="167" fontId="22" fillId="0" borderId="39" xfId="1" applyNumberFormat="1" applyFont="1" applyFill="1" applyBorder="1"/>
    <xf numFmtId="14" fontId="22" fillId="0" borderId="0" xfId="0" applyNumberFormat="1" applyFont="1" applyAlignment="1">
      <alignment horizontal="center"/>
    </xf>
    <xf numFmtId="0" fontId="22" fillId="0" borderId="39" xfId="0" applyFont="1" applyBorder="1"/>
    <xf numFmtId="14" fontId="26" fillId="0" borderId="3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3" fontId="12" fillId="0" borderId="5" xfId="0" applyNumberFormat="1" applyFont="1" applyBorder="1"/>
    <xf numFmtId="166" fontId="28" fillId="0" borderId="31" xfId="1" applyNumberFormat="1" applyFont="1" applyFill="1" applyBorder="1"/>
    <xf numFmtId="166" fontId="22" fillId="0" borderId="24" xfId="1" applyNumberFormat="1" applyFont="1" applyFill="1" applyBorder="1" applyAlignment="1">
      <alignment horizontal="center"/>
    </xf>
    <xf numFmtId="14" fontId="22" fillId="0" borderId="25" xfId="0" applyNumberFormat="1" applyFont="1" applyBorder="1" applyAlignment="1">
      <alignment horizontal="center"/>
    </xf>
    <xf numFmtId="0" fontId="22" fillId="0" borderId="16" xfId="0" applyFont="1" applyBorder="1"/>
    <xf numFmtId="0" fontId="22" fillId="0" borderId="45" xfId="0" applyFont="1" applyBorder="1"/>
    <xf numFmtId="166" fontId="26" fillId="0" borderId="31" xfId="1" applyNumberFormat="1" applyFont="1" applyFill="1" applyBorder="1"/>
    <xf numFmtId="41" fontId="22" fillId="0" borderId="0" xfId="10" applyFont="1"/>
    <xf numFmtId="0" fontId="23" fillId="0" borderId="0" xfId="0" applyFont="1"/>
    <xf numFmtId="166" fontId="28" fillId="0" borderId="30" xfId="1" applyNumberFormat="1" applyFont="1" applyFill="1" applyBorder="1"/>
    <xf numFmtId="166" fontId="22" fillId="0" borderId="5" xfId="1" applyNumberFormat="1" applyFont="1" applyFill="1" applyBorder="1" applyAlignment="1">
      <alignment horizontal="center"/>
    </xf>
    <xf numFmtId="3" fontId="22" fillId="0" borderId="5" xfId="0" applyNumberFormat="1" applyFont="1" applyBorder="1"/>
    <xf numFmtId="166" fontId="22" fillId="0" borderId="5" xfId="0" applyNumberFormat="1" applyFont="1" applyBorder="1"/>
    <xf numFmtId="14" fontId="26" fillId="0" borderId="5" xfId="0" applyNumberFormat="1" applyFont="1" applyBorder="1" applyAlignment="1">
      <alignment horizontal="center"/>
    </xf>
    <xf numFmtId="166" fontId="26" fillId="0" borderId="5" xfId="1" applyNumberFormat="1" applyFont="1" applyFill="1" applyBorder="1"/>
    <xf numFmtId="166" fontId="28" fillId="0" borderId="5" xfId="1" applyNumberFormat="1" applyFont="1" applyFill="1" applyBorder="1"/>
    <xf numFmtId="14" fontId="22" fillId="0" borderId="5" xfId="0" applyNumberFormat="1" applyFont="1" applyBorder="1" applyAlignment="1">
      <alignment horizontal="center"/>
    </xf>
    <xf numFmtId="167" fontId="29" fillId="0" borderId="7" xfId="1" applyNumberFormat="1" applyFont="1" applyFill="1" applyBorder="1" applyAlignment="1">
      <alignment horizontal="right"/>
    </xf>
    <xf numFmtId="167" fontId="29" fillId="4" borderId="7" xfId="1" applyNumberFormat="1" applyFont="1" applyFill="1" applyBorder="1" applyAlignment="1">
      <alignment horizontal="right"/>
    </xf>
    <xf numFmtId="41" fontId="9" fillId="0" borderId="5" xfId="10" applyFont="1" applyFill="1" applyBorder="1"/>
    <xf numFmtId="41" fontId="0" fillId="0" borderId="5" xfId="0" applyNumberFormat="1" applyBorder="1"/>
    <xf numFmtId="0" fontId="16" fillId="0" borderId="37" xfId="0" applyFont="1" applyBorder="1"/>
    <xf numFmtId="167" fontId="2" fillId="0" borderId="0" xfId="0" applyNumberFormat="1" applyFont="1"/>
    <xf numFmtId="3" fontId="12" fillId="12" borderId="7" xfId="0" applyNumberFormat="1" applyFont="1" applyFill="1" applyBorder="1"/>
    <xf numFmtId="14" fontId="22" fillId="12" borderId="26" xfId="0" applyNumberFormat="1" applyFont="1" applyFill="1" applyBorder="1" applyAlignment="1">
      <alignment horizontal="center"/>
    </xf>
    <xf numFmtId="41" fontId="22" fillId="12" borderId="27" xfId="10" applyFont="1" applyFill="1" applyBorder="1" applyAlignment="1">
      <alignment horizontal="center"/>
    </xf>
    <xf numFmtId="14" fontId="26" fillId="12" borderId="35" xfId="0" applyNumberFormat="1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14" fontId="22" fillId="12" borderId="0" xfId="0" applyNumberFormat="1" applyFont="1" applyFill="1" applyAlignment="1">
      <alignment horizontal="center"/>
    </xf>
    <xf numFmtId="41" fontId="22" fillId="0" borderId="0" xfId="0" applyNumberFormat="1" applyFont="1"/>
    <xf numFmtId="167" fontId="2" fillId="0" borderId="5" xfId="1" applyNumberFormat="1" applyFont="1" applyFill="1" applyBorder="1"/>
    <xf numFmtId="3" fontId="12" fillId="12" borderId="5" xfId="0" applyNumberFormat="1" applyFont="1" applyFill="1" applyBorder="1"/>
    <xf numFmtId="41" fontId="30" fillId="0" borderId="5" xfId="10" applyFont="1" applyFill="1" applyBorder="1"/>
    <xf numFmtId="167" fontId="2" fillId="0" borderId="7" xfId="1" applyNumberFormat="1" applyFont="1" applyFill="1" applyBorder="1"/>
    <xf numFmtId="41" fontId="22" fillId="0" borderId="24" xfId="10" applyFont="1" applyFill="1" applyBorder="1" applyAlignment="1">
      <alignment horizontal="center"/>
    </xf>
    <xf numFmtId="41" fontId="22" fillId="0" borderId="27" xfId="10" applyFont="1" applyFill="1" applyBorder="1" applyAlignment="1">
      <alignment horizontal="center"/>
    </xf>
    <xf numFmtId="0" fontId="16" fillId="2" borderId="35" xfId="0" applyFont="1" applyFill="1" applyBorder="1"/>
    <xf numFmtId="41" fontId="2" fillId="0" borderId="0" xfId="0" applyNumberFormat="1" applyFont="1"/>
    <xf numFmtId="41" fontId="2" fillId="0" borderId="0" xfId="10" applyFont="1"/>
    <xf numFmtId="167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/>
    <xf numFmtId="166" fontId="2" fillId="0" borderId="47" xfId="1" applyNumberFormat="1" applyFont="1" applyFill="1" applyBorder="1"/>
    <xf numFmtId="3" fontId="23" fillId="0" borderId="6" xfId="0" applyNumberFormat="1" applyFont="1" applyBorder="1"/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23" xfId="0" applyBorder="1"/>
    <xf numFmtId="0" fontId="0" fillId="0" borderId="49" xfId="0" applyBorder="1"/>
    <xf numFmtId="0" fontId="0" fillId="0" borderId="23" xfId="0" applyBorder="1" applyAlignment="1">
      <alignment horizontal="center"/>
    </xf>
    <xf numFmtId="14" fontId="0" fillId="0" borderId="23" xfId="0" applyNumberFormat="1" applyBorder="1"/>
    <xf numFmtId="166" fontId="28" fillId="12" borderId="31" xfId="1" applyNumberFormat="1" applyFont="1" applyFill="1" applyBorder="1"/>
    <xf numFmtId="3" fontId="27" fillId="0" borderId="5" xfId="0" applyNumberFormat="1" applyFont="1" applyBorder="1"/>
    <xf numFmtId="166" fontId="23" fillId="0" borderId="5" xfId="0" applyNumberFormat="1" applyFont="1" applyBorder="1"/>
    <xf numFmtId="167" fontId="22" fillId="0" borderId="0" xfId="0" applyNumberFormat="1" applyFont="1"/>
    <xf numFmtId="167" fontId="2" fillId="4" borderId="10" xfId="1" applyNumberFormat="1" applyFont="1" applyFill="1" applyBorder="1"/>
    <xf numFmtId="0" fontId="2" fillId="0" borderId="5" xfId="0" applyFont="1" applyBorder="1"/>
    <xf numFmtId="167" fontId="18" fillId="0" borderId="7" xfId="1" applyNumberFormat="1" applyFont="1" applyFill="1" applyBorder="1" applyAlignment="1">
      <alignment horizontal="right"/>
    </xf>
    <xf numFmtId="169" fontId="22" fillId="0" borderId="39" xfId="1" applyNumberFormat="1" applyFont="1" applyFill="1" applyBorder="1"/>
    <xf numFmtId="170" fontId="22" fillId="0" borderId="0" xfId="10" applyNumberFormat="1" applyFont="1"/>
    <xf numFmtId="166" fontId="28" fillId="12" borderId="30" xfId="1" applyNumberFormat="1" applyFont="1" applyFill="1" applyBorder="1"/>
    <xf numFmtId="41" fontId="22" fillId="12" borderId="24" xfId="10" applyFont="1" applyFill="1" applyBorder="1" applyAlignment="1">
      <alignment horizontal="center"/>
    </xf>
    <xf numFmtId="14" fontId="22" fillId="12" borderId="25" xfId="0" applyNumberFormat="1" applyFont="1" applyFill="1" applyBorder="1" applyAlignment="1">
      <alignment horizontal="center"/>
    </xf>
    <xf numFmtId="41" fontId="22" fillId="0" borderId="5" xfId="1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41" fontId="0" fillId="0" borderId="5" xfId="10" applyFont="1" applyBorder="1"/>
    <xf numFmtId="41" fontId="0" fillId="0" borderId="0" xfId="10" applyFont="1" applyBorder="1"/>
    <xf numFmtId="166" fontId="22" fillId="0" borderId="16" xfId="0" applyNumberFormat="1" applyFont="1" applyBorder="1"/>
    <xf numFmtId="164" fontId="22" fillId="0" borderId="16" xfId="1" applyFont="1" applyFill="1" applyBorder="1"/>
    <xf numFmtId="167" fontId="22" fillId="0" borderId="16" xfId="1" applyNumberFormat="1" applyFont="1" applyFill="1" applyBorder="1"/>
    <xf numFmtId="166" fontId="28" fillId="0" borderId="0" xfId="1" applyNumberFormat="1" applyFont="1" applyFill="1" applyBorder="1"/>
    <xf numFmtId="166" fontId="33" fillId="0" borderId="30" xfId="1" applyNumberFormat="1" applyFont="1" applyFill="1" applyBorder="1"/>
    <xf numFmtId="0" fontId="26" fillId="2" borderId="5" xfId="0" applyFont="1" applyFill="1" applyBorder="1" applyAlignment="1">
      <alignment horizontal="center"/>
    </xf>
    <xf numFmtId="3" fontId="12" fillId="2" borderId="7" xfId="0" applyNumberFormat="1" applyFont="1" applyFill="1" applyBorder="1"/>
    <xf numFmtId="0" fontId="22" fillId="2" borderId="7" xfId="0" applyFont="1" applyFill="1" applyBorder="1" applyAlignment="1">
      <alignment horizontal="left"/>
    </xf>
    <xf numFmtId="166" fontId="26" fillId="2" borderId="30" xfId="1" applyNumberFormat="1" applyFont="1" applyFill="1" applyBorder="1"/>
    <xf numFmtId="166" fontId="22" fillId="2" borderId="27" xfId="1" applyNumberFormat="1" applyFont="1" applyFill="1" applyBorder="1" applyAlignment="1">
      <alignment horizontal="center"/>
    </xf>
    <xf numFmtId="166" fontId="22" fillId="0" borderId="0" xfId="0" applyNumberFormat="1" applyFont="1" applyAlignment="1">
      <alignment horizontal="center"/>
    </xf>
    <xf numFmtId="167" fontId="23" fillId="0" borderId="20" xfId="0" applyNumberFormat="1" applyFont="1" applyBorder="1"/>
    <xf numFmtId="164" fontId="23" fillId="0" borderId="20" xfId="0" applyNumberFormat="1" applyFont="1" applyBorder="1"/>
    <xf numFmtId="166" fontId="22" fillId="0" borderId="20" xfId="0" applyNumberFormat="1" applyFont="1" applyBorder="1"/>
    <xf numFmtId="6" fontId="34" fillId="15" borderId="0" xfId="0" applyNumberFormat="1" applyFont="1" applyFill="1" applyAlignment="1">
      <alignment horizontal="right" vertical="center" wrapText="1"/>
    </xf>
    <xf numFmtId="0" fontId="23" fillId="0" borderId="0" xfId="0" applyFont="1" applyAlignment="1">
      <alignment horizontal="center" vertical="center"/>
    </xf>
    <xf numFmtId="41" fontId="20" fillId="0" borderId="0" xfId="10" applyFont="1"/>
    <xf numFmtId="41" fontId="20" fillId="0" borderId="0" xfId="0" applyNumberFormat="1" applyFont="1"/>
    <xf numFmtId="14" fontId="26" fillId="2" borderId="35" xfId="0" applyNumberFormat="1" applyFont="1" applyFill="1" applyBorder="1" applyAlignment="1">
      <alignment horizontal="center"/>
    </xf>
    <xf numFmtId="3" fontId="12" fillId="2" borderId="5" xfId="0" applyNumberFormat="1" applyFont="1" applyFill="1" applyBorder="1"/>
    <xf numFmtId="166" fontId="28" fillId="2" borderId="31" xfId="1" applyNumberFormat="1" applyFont="1" applyFill="1" applyBorder="1"/>
    <xf numFmtId="14" fontId="22" fillId="2" borderId="26" xfId="0" applyNumberFormat="1" applyFont="1" applyFill="1" applyBorder="1" applyAlignment="1">
      <alignment horizontal="center"/>
    </xf>
    <xf numFmtId="14" fontId="26" fillId="14" borderId="35" xfId="0" applyNumberFormat="1" applyFont="1" applyFill="1" applyBorder="1" applyAlignment="1">
      <alignment horizontal="center"/>
    </xf>
    <xf numFmtId="0" fontId="26" fillId="14" borderId="5" xfId="0" applyFont="1" applyFill="1" applyBorder="1" applyAlignment="1">
      <alignment horizontal="center"/>
    </xf>
    <xf numFmtId="3" fontId="12" fillId="14" borderId="5" xfId="0" applyNumberFormat="1" applyFont="1" applyFill="1" applyBorder="1"/>
    <xf numFmtId="166" fontId="28" fillId="14" borderId="30" xfId="1" applyNumberFormat="1" applyFont="1" applyFill="1" applyBorder="1"/>
    <xf numFmtId="41" fontId="22" fillId="14" borderId="24" xfId="10" applyFont="1" applyFill="1" applyBorder="1" applyAlignment="1">
      <alignment horizontal="center"/>
    </xf>
    <xf numFmtId="14" fontId="22" fillId="14" borderId="25" xfId="0" applyNumberFormat="1" applyFont="1" applyFill="1" applyBorder="1" applyAlignment="1">
      <alignment horizontal="center"/>
    </xf>
    <xf numFmtId="14" fontId="22" fillId="14" borderId="0" xfId="0" applyNumberFormat="1" applyFont="1" applyFill="1" applyAlignment="1">
      <alignment horizontal="center"/>
    </xf>
    <xf numFmtId="0" fontId="22" fillId="14" borderId="7" xfId="0" applyFont="1" applyFill="1" applyBorder="1" applyAlignment="1">
      <alignment horizontal="left"/>
    </xf>
    <xf numFmtId="14" fontId="22" fillId="14" borderId="24" xfId="10" applyNumberFormat="1" applyFont="1" applyFill="1" applyBorder="1" applyAlignment="1">
      <alignment horizontal="center"/>
    </xf>
    <xf numFmtId="0" fontId="22" fillId="2" borderId="0" xfId="0" applyFont="1" applyFill="1"/>
    <xf numFmtId="0" fontId="22" fillId="11" borderId="39" xfId="0" applyFont="1" applyFill="1" applyBorder="1"/>
    <xf numFmtId="14" fontId="22" fillId="11" borderId="26" xfId="0" applyNumberFormat="1" applyFont="1" applyFill="1" applyBorder="1" applyAlignment="1">
      <alignment horizontal="center"/>
    </xf>
    <xf numFmtId="166" fontId="22" fillId="11" borderId="39" xfId="0" applyNumberFormat="1" applyFont="1" applyFill="1" applyBorder="1"/>
    <xf numFmtId="164" fontId="22" fillId="11" borderId="39" xfId="1" applyFont="1" applyFill="1" applyBorder="1"/>
    <xf numFmtId="167" fontId="22" fillId="11" borderId="39" xfId="1" applyNumberFormat="1" applyFont="1" applyFill="1" applyBorder="1"/>
    <xf numFmtId="0" fontId="22" fillId="11" borderId="16" xfId="0" applyFont="1" applyFill="1" applyBorder="1"/>
    <xf numFmtId="14" fontId="22" fillId="11" borderId="25" xfId="0" applyNumberFormat="1" applyFont="1" applyFill="1" applyBorder="1" applyAlignment="1">
      <alignment horizontal="center"/>
    </xf>
    <xf numFmtId="166" fontId="22" fillId="11" borderId="16" xfId="0" applyNumberFormat="1" applyFont="1" applyFill="1" applyBorder="1"/>
    <xf numFmtId="164" fontId="22" fillId="11" borderId="16" xfId="1" applyFont="1" applyFill="1" applyBorder="1"/>
    <xf numFmtId="167" fontId="22" fillId="11" borderId="16" xfId="1" applyNumberFormat="1" applyFont="1" applyFill="1" applyBorder="1"/>
    <xf numFmtId="167" fontId="22" fillId="11" borderId="45" xfId="1" applyNumberFormat="1" applyFont="1" applyFill="1" applyBorder="1"/>
    <xf numFmtId="167" fontId="22" fillId="11" borderId="5" xfId="1" applyNumberFormat="1" applyFont="1" applyFill="1" applyBorder="1"/>
    <xf numFmtId="14" fontId="26" fillId="8" borderId="35" xfId="0" applyNumberFormat="1" applyFont="1" applyFill="1" applyBorder="1" applyAlignment="1">
      <alignment horizontal="center"/>
    </xf>
    <xf numFmtId="0" fontId="26" fillId="8" borderId="5" xfId="0" applyFont="1" applyFill="1" applyBorder="1" applyAlignment="1">
      <alignment horizontal="center"/>
    </xf>
    <xf numFmtId="3" fontId="12" fillId="8" borderId="5" xfId="0" applyNumberFormat="1" applyFont="1" applyFill="1" applyBorder="1"/>
    <xf numFmtId="0" fontId="22" fillId="8" borderId="7" xfId="0" applyFont="1" applyFill="1" applyBorder="1" applyAlignment="1">
      <alignment horizontal="left"/>
    </xf>
    <xf numFmtId="3" fontId="12" fillId="8" borderId="6" xfId="0" applyNumberFormat="1" applyFont="1" applyFill="1" applyBorder="1"/>
    <xf numFmtId="166" fontId="28" fillId="8" borderId="52" xfId="1" applyNumberFormat="1" applyFont="1" applyFill="1" applyBorder="1"/>
    <xf numFmtId="41" fontId="22" fillId="8" borderId="54" xfId="10" applyFont="1" applyFill="1" applyBorder="1" applyAlignment="1">
      <alignment horizontal="center"/>
    </xf>
    <xf numFmtId="14" fontId="22" fillId="8" borderId="25" xfId="0" applyNumberFormat="1" applyFont="1" applyFill="1" applyBorder="1" applyAlignment="1">
      <alignment horizontal="center"/>
    </xf>
    <xf numFmtId="166" fontId="28" fillId="8" borderId="30" xfId="1" applyNumberFormat="1" applyFont="1" applyFill="1" applyBorder="1"/>
    <xf numFmtId="41" fontId="22" fillId="8" borderId="24" xfId="10" applyFont="1" applyFill="1" applyBorder="1" applyAlignment="1">
      <alignment horizontal="center"/>
    </xf>
    <xf numFmtId="41" fontId="22" fillId="10" borderId="27" xfId="10" applyFont="1" applyFill="1" applyBorder="1" applyAlignment="1">
      <alignment horizontal="center"/>
    </xf>
    <xf numFmtId="3" fontId="12" fillId="10" borderId="7" xfId="0" applyNumberFormat="1" applyFont="1" applyFill="1" applyBorder="1"/>
    <xf numFmtId="166" fontId="33" fillId="2" borderId="31" xfId="1" applyNumberFormat="1" applyFont="1" applyFill="1" applyBorder="1"/>
    <xf numFmtId="166" fontId="33" fillId="2" borderId="30" xfId="1" applyNumberFormat="1" applyFont="1" applyFill="1" applyBorder="1"/>
    <xf numFmtId="4" fontId="0" fillId="0" borderId="0" xfId="0" applyNumberFormat="1"/>
    <xf numFmtId="3" fontId="12" fillId="8" borderId="7" xfId="0" applyNumberFormat="1" applyFont="1" applyFill="1" applyBorder="1"/>
    <xf numFmtId="167" fontId="22" fillId="11" borderId="50" xfId="1" applyNumberFormat="1" applyFont="1" applyFill="1" applyBorder="1"/>
    <xf numFmtId="167" fontId="22" fillId="11" borderId="7" xfId="1" applyNumberFormat="1" applyFont="1" applyFill="1" applyBorder="1"/>
    <xf numFmtId="0" fontId="23" fillId="0" borderId="20" xfId="0" applyFont="1" applyBorder="1" applyAlignment="1">
      <alignment horizontal="center" vertical="center"/>
    </xf>
    <xf numFmtId="3" fontId="36" fillId="0" borderId="5" xfId="0" applyNumberFormat="1" applyFont="1" applyBorder="1" applyAlignment="1">
      <alignment horizontal="center"/>
    </xf>
    <xf numFmtId="14" fontId="36" fillId="0" borderId="0" xfId="10" applyNumberFormat="1" applyFont="1" applyAlignment="1">
      <alignment horizontal="left"/>
    </xf>
    <xf numFmtId="0" fontId="2" fillId="0" borderId="5" xfId="0" applyFont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14" fontId="0" fillId="0" borderId="5" xfId="0" applyNumberFormat="1" applyBorder="1"/>
    <xf numFmtId="14" fontId="0" fillId="16" borderId="5" xfId="0" applyNumberFormat="1" applyFill="1" applyBorder="1"/>
    <xf numFmtId="168" fontId="0" fillId="0" borderId="5" xfId="10" applyNumberFormat="1" applyFont="1" applyBorder="1"/>
    <xf numFmtId="4" fontId="0" fillId="16" borderId="5" xfId="0" applyNumberFormat="1" applyFill="1" applyBorder="1"/>
    <xf numFmtId="0" fontId="0" fillId="0" borderId="5" xfId="0" applyBorder="1" applyAlignment="1">
      <alignment horizontal="right"/>
    </xf>
    <xf numFmtId="0" fontId="0" fillId="16" borderId="5" xfId="0" applyFill="1" applyBorder="1" applyAlignment="1">
      <alignment horizontal="right"/>
    </xf>
    <xf numFmtId="0" fontId="35" fillId="0" borderId="0" xfId="0" applyFont="1"/>
    <xf numFmtId="2" fontId="0" fillId="16" borderId="5" xfId="0" applyNumberFormat="1" applyFill="1" applyBorder="1"/>
    <xf numFmtId="8" fontId="37" fillId="0" borderId="0" xfId="0" applyNumberFormat="1" applyFont="1"/>
    <xf numFmtId="169" fontId="0" fillId="0" borderId="0" xfId="0" applyNumberFormat="1"/>
    <xf numFmtId="0" fontId="37" fillId="0" borderId="0" xfId="0" applyFont="1"/>
    <xf numFmtId="6" fontId="0" fillId="0" borderId="0" xfId="0" applyNumberFormat="1"/>
    <xf numFmtId="8" fontId="0" fillId="0" borderId="0" xfId="0" applyNumberFormat="1"/>
    <xf numFmtId="167" fontId="36" fillId="0" borderId="7" xfId="1" applyNumberFormat="1" applyFont="1" applyFill="1" applyBorder="1" applyAlignment="1">
      <alignment horizontal="right"/>
    </xf>
    <xf numFmtId="14" fontId="26" fillId="11" borderId="35" xfId="0" applyNumberFormat="1" applyFont="1" applyFill="1" applyBorder="1" applyAlignment="1">
      <alignment horizontal="center"/>
    </xf>
    <xf numFmtId="0" fontId="26" fillId="11" borderId="5" xfId="0" applyFont="1" applyFill="1" applyBorder="1" applyAlignment="1">
      <alignment horizontal="center"/>
    </xf>
    <xf numFmtId="3" fontId="12" fillId="11" borderId="5" xfId="0" applyNumberFormat="1" applyFont="1" applyFill="1" applyBorder="1"/>
    <xf numFmtId="0" fontId="22" fillId="11" borderId="7" xfId="0" applyFont="1" applyFill="1" applyBorder="1" applyAlignment="1">
      <alignment horizontal="left"/>
    </xf>
    <xf numFmtId="166" fontId="28" fillId="11" borderId="30" xfId="1" applyNumberFormat="1" applyFont="1" applyFill="1" applyBorder="1"/>
    <xf numFmtId="41" fontId="22" fillId="11" borderId="24" xfId="10" applyFont="1" applyFill="1" applyBorder="1" applyAlignment="1">
      <alignment horizontal="center"/>
    </xf>
    <xf numFmtId="3" fontId="12" fillId="11" borderId="25" xfId="0" applyNumberFormat="1" applyFont="1" applyFill="1" applyBorder="1"/>
    <xf numFmtId="41" fontId="17" fillId="0" borderId="0" xfId="10" applyFont="1"/>
    <xf numFmtId="41" fontId="10" fillId="0" borderId="0" xfId="10" applyFont="1"/>
    <xf numFmtId="41" fontId="39" fillId="0" borderId="0" xfId="10" applyFont="1"/>
    <xf numFmtId="0" fontId="23" fillId="0" borderId="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4" fontId="23" fillId="0" borderId="37" xfId="10" applyNumberFormat="1" applyFont="1" applyFill="1" applyBorder="1" applyAlignment="1">
      <alignment horizontal="center" vertical="center"/>
    </xf>
    <xf numFmtId="41" fontId="23" fillId="0" borderId="6" xfId="10" applyFont="1" applyFill="1" applyBorder="1" applyAlignment="1">
      <alignment vertical="center"/>
    </xf>
    <xf numFmtId="41" fontId="22" fillId="0" borderId="21" xfId="10" applyFont="1" applyFill="1" applyBorder="1" applyAlignment="1">
      <alignment vertical="center"/>
    </xf>
    <xf numFmtId="14" fontId="22" fillId="0" borderId="35" xfId="0" applyNumberFormat="1" applyFont="1" applyBorder="1" applyAlignment="1">
      <alignment horizontal="center" vertical="center"/>
    </xf>
    <xf numFmtId="41" fontId="22" fillId="0" borderId="5" xfId="10" applyFont="1" applyFill="1" applyBorder="1" applyAlignment="1">
      <alignment vertical="center"/>
    </xf>
    <xf numFmtId="41" fontId="22" fillId="0" borderId="25" xfId="0" applyNumberFormat="1" applyFont="1" applyBorder="1" applyAlignment="1">
      <alignment vertical="center"/>
    </xf>
    <xf numFmtId="41" fontId="22" fillId="0" borderId="5" xfId="0" applyNumberFormat="1" applyFont="1" applyBorder="1" applyAlignment="1">
      <alignment vertical="center"/>
    </xf>
    <xf numFmtId="41" fontId="22" fillId="0" borderId="25" xfId="10" applyFont="1" applyFill="1" applyBorder="1" applyAlignment="1">
      <alignment vertical="center"/>
    </xf>
    <xf numFmtId="0" fontId="22" fillId="0" borderId="25" xfId="0" applyFont="1" applyBorder="1" applyAlignment="1">
      <alignment vertical="center"/>
    </xf>
    <xf numFmtId="14" fontId="22" fillId="0" borderId="34" xfId="0" applyNumberFormat="1" applyFont="1" applyBorder="1" applyAlignment="1">
      <alignment horizontal="center" vertical="center"/>
    </xf>
    <xf numFmtId="41" fontId="22" fillId="0" borderId="7" xfId="10" applyFont="1" applyBorder="1" applyAlignment="1">
      <alignment vertical="center"/>
    </xf>
    <xf numFmtId="41" fontId="22" fillId="0" borderId="26" xfId="10" applyFont="1" applyBorder="1" applyAlignment="1">
      <alignment vertical="center"/>
    </xf>
    <xf numFmtId="0" fontId="23" fillId="16" borderId="3" xfId="0" applyFont="1" applyFill="1" applyBorder="1" applyAlignment="1">
      <alignment horizontal="center" vertical="center"/>
    </xf>
    <xf numFmtId="41" fontId="23" fillId="16" borderId="29" xfId="10" applyFont="1" applyFill="1" applyBorder="1" applyAlignment="1">
      <alignment vertical="center"/>
    </xf>
    <xf numFmtId="41" fontId="23" fillId="16" borderId="13" xfId="10" applyFont="1" applyFill="1" applyBorder="1" applyAlignment="1">
      <alignment vertical="center"/>
    </xf>
    <xf numFmtId="41" fontId="23" fillId="18" borderId="21" xfId="10" applyFont="1" applyFill="1" applyBorder="1" applyAlignment="1">
      <alignment vertical="center"/>
    </xf>
    <xf numFmtId="41" fontId="23" fillId="18" borderId="25" xfId="10" applyFont="1" applyFill="1" applyBorder="1" applyAlignment="1">
      <alignment vertical="center"/>
    </xf>
    <xf numFmtId="41" fontId="23" fillId="18" borderId="9" xfId="10" applyFont="1" applyFill="1" applyBorder="1" applyAlignment="1">
      <alignment vertical="center"/>
    </xf>
    <xf numFmtId="166" fontId="22" fillId="0" borderId="44" xfId="0" applyNumberFormat="1" applyFont="1" applyBorder="1"/>
    <xf numFmtId="14" fontId="26" fillId="19" borderId="34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3" fontId="12" fillId="19" borderId="7" xfId="0" applyNumberFormat="1" applyFont="1" applyFill="1" applyBorder="1"/>
    <xf numFmtId="166" fontId="40" fillId="0" borderId="30" xfId="1" applyNumberFormat="1" applyFont="1" applyFill="1" applyBorder="1"/>
    <xf numFmtId="0" fontId="22" fillId="11" borderId="5" xfId="0" applyFont="1" applyFill="1" applyBorder="1" applyAlignment="1">
      <alignment horizontal="left"/>
    </xf>
    <xf numFmtId="166" fontId="23" fillId="0" borderId="10" xfId="0" applyNumberFormat="1" applyFont="1" applyBorder="1"/>
    <xf numFmtId="9" fontId="22" fillId="0" borderId="0" xfId="11" applyFont="1" applyAlignment="1">
      <alignment horizontal="center"/>
    </xf>
    <xf numFmtId="9" fontId="27" fillId="0" borderId="0" xfId="11" applyFont="1" applyAlignment="1">
      <alignment horizontal="center"/>
    </xf>
    <xf numFmtId="9" fontId="43" fillId="0" borderId="0" xfId="11" applyFont="1" applyAlignment="1">
      <alignment horizontal="center"/>
    </xf>
    <xf numFmtId="0" fontId="22" fillId="12" borderId="7" xfId="0" applyFont="1" applyFill="1" applyBorder="1" applyAlignment="1">
      <alignment horizontal="left"/>
    </xf>
    <xf numFmtId="14" fontId="22" fillId="2" borderId="0" xfId="0" applyNumberFormat="1" applyFont="1" applyFill="1" applyAlignment="1">
      <alignment horizontal="center"/>
    </xf>
    <xf numFmtId="41" fontId="0" fillId="0" borderId="0" xfId="10" applyFont="1" applyFill="1" applyBorder="1"/>
    <xf numFmtId="3" fontId="24" fillId="8" borderId="5" xfId="0" applyNumberFormat="1" applyFont="1" applyFill="1" applyBorder="1"/>
    <xf numFmtId="166" fontId="44" fillId="8" borderId="30" xfId="1" applyNumberFormat="1" applyFont="1" applyFill="1" applyBorder="1"/>
    <xf numFmtId="41" fontId="23" fillId="8" borderId="24" xfId="10" applyFont="1" applyFill="1" applyBorder="1" applyAlignment="1">
      <alignment horizontal="center"/>
    </xf>
    <xf numFmtId="14" fontId="23" fillId="8" borderId="25" xfId="0" applyNumberFormat="1" applyFont="1" applyFill="1" applyBorder="1" applyAlignment="1">
      <alignment horizontal="center"/>
    </xf>
    <xf numFmtId="41" fontId="0" fillId="0" borderId="0" xfId="10" applyFont="1" applyBorder="1" applyAlignment="1">
      <alignment horizontal="right"/>
    </xf>
    <xf numFmtId="41" fontId="2" fillId="0" borderId="5" xfId="10" applyFont="1" applyBorder="1" applyAlignment="1">
      <alignment horizontal="right"/>
    </xf>
    <xf numFmtId="41" fontId="2" fillId="0" borderId="5" xfId="10" applyFont="1" applyBorder="1"/>
    <xf numFmtId="41" fontId="2" fillId="0" borderId="5" xfId="10" applyFont="1" applyFill="1" applyBorder="1" applyAlignment="1">
      <alignment horizontal="right"/>
    </xf>
    <xf numFmtId="41" fontId="2" fillId="0" borderId="7" xfId="10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18" fillId="0" borderId="5" xfId="0" applyNumberFormat="1" applyFont="1" applyBorder="1" applyAlignment="1">
      <alignment horizontal="right"/>
    </xf>
    <xf numFmtId="3" fontId="36" fillId="0" borderId="5" xfId="0" applyNumberFormat="1" applyFont="1" applyBorder="1" applyAlignment="1">
      <alignment horizontal="right"/>
    </xf>
    <xf numFmtId="41" fontId="2" fillId="0" borderId="0" xfId="10" applyFont="1" applyBorder="1"/>
    <xf numFmtId="41" fontId="2" fillId="0" borderId="0" xfId="10" applyFont="1" applyFill="1"/>
    <xf numFmtId="0" fontId="30" fillId="0" borderId="37" xfId="0" applyFont="1" applyBorder="1"/>
    <xf numFmtId="41" fontId="10" fillId="0" borderId="48" xfId="10" applyFont="1" applyFill="1" applyBorder="1"/>
    <xf numFmtId="0" fontId="18" fillId="0" borderId="53" xfId="0" applyFont="1" applyBorder="1"/>
    <xf numFmtId="41" fontId="0" fillId="10" borderId="5" xfId="10" applyFont="1" applyFill="1" applyBorder="1"/>
    <xf numFmtId="166" fontId="2" fillId="10" borderId="5" xfId="1" applyNumberFormat="1" applyFont="1" applyFill="1" applyBorder="1"/>
    <xf numFmtId="167" fontId="2" fillId="10" borderId="6" xfId="1" applyNumberFormat="1" applyFont="1" applyFill="1" applyBorder="1"/>
    <xf numFmtId="0" fontId="2" fillId="2" borderId="10" xfId="0" applyFont="1" applyFill="1" applyBorder="1" applyAlignment="1">
      <alignment horizontal="center"/>
    </xf>
    <xf numFmtId="0" fontId="26" fillId="9" borderId="5" xfId="0" applyFont="1" applyFill="1" applyBorder="1" applyAlignment="1">
      <alignment horizontal="center"/>
    </xf>
    <xf numFmtId="3" fontId="12" fillId="9" borderId="5" xfId="0" applyNumberFormat="1" applyFont="1" applyFill="1" applyBorder="1"/>
    <xf numFmtId="0" fontId="22" fillId="9" borderId="7" xfId="0" applyFont="1" applyFill="1" applyBorder="1" applyAlignment="1">
      <alignment horizontal="left"/>
    </xf>
    <xf numFmtId="14" fontId="26" fillId="9" borderId="34" xfId="0" applyNumberFormat="1" applyFont="1" applyFill="1" applyBorder="1" applyAlignment="1">
      <alignment horizontal="center"/>
    </xf>
    <xf numFmtId="0" fontId="26" fillId="9" borderId="7" xfId="0" applyFont="1" applyFill="1" applyBorder="1" applyAlignment="1">
      <alignment horizontal="center"/>
    </xf>
    <xf numFmtId="0" fontId="45" fillId="0" borderId="20" xfId="0" applyFont="1" applyBorder="1" applyAlignment="1">
      <alignment vertical="center"/>
    </xf>
    <xf numFmtId="0" fontId="32" fillId="2" borderId="1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6" fontId="20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17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41" fontId="20" fillId="0" borderId="0" xfId="1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41" fontId="20" fillId="0" borderId="0" xfId="10" applyFont="1" applyFill="1" applyAlignment="1">
      <alignment vertical="center"/>
    </xf>
    <xf numFmtId="0" fontId="38" fillId="2" borderId="11" xfId="0" applyFont="1" applyFill="1" applyBorder="1" applyAlignment="1">
      <alignment horizontal="center" vertical="center"/>
    </xf>
    <xf numFmtId="17" fontId="38" fillId="0" borderId="10" xfId="0" applyNumberFormat="1" applyFont="1" applyBorder="1" applyAlignment="1">
      <alignment horizontal="center" vertical="center"/>
    </xf>
    <xf numFmtId="0" fontId="38" fillId="2" borderId="10" xfId="0" applyFont="1" applyFill="1" applyBorder="1" applyAlignment="1">
      <alignment vertical="center"/>
    </xf>
    <xf numFmtId="0" fontId="38" fillId="2" borderId="11" xfId="0" applyFont="1" applyFill="1" applyBorder="1" applyAlignment="1">
      <alignment horizontal="left" vertical="center"/>
    </xf>
    <xf numFmtId="0" fontId="38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4" borderId="32" xfId="0" applyFont="1" applyFill="1" applyBorder="1" applyAlignment="1">
      <alignment vertical="center"/>
    </xf>
    <xf numFmtId="167" fontId="2" fillId="4" borderId="3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49" fontId="0" fillId="0" borderId="7" xfId="0" applyNumberFormat="1" applyBorder="1"/>
    <xf numFmtId="41" fontId="0" fillId="0" borderId="7" xfId="10" applyFont="1" applyBorder="1"/>
    <xf numFmtId="41" fontId="38" fillId="0" borderId="10" xfId="0" applyNumberFormat="1" applyFont="1" applyBorder="1" applyAlignment="1">
      <alignment horizontal="center" vertical="center"/>
    </xf>
    <xf numFmtId="166" fontId="20" fillId="0" borderId="0" xfId="0" applyNumberFormat="1" applyFont="1"/>
    <xf numFmtId="3" fontId="12" fillId="9" borderId="7" xfId="0" applyNumberFormat="1" applyFont="1" applyFill="1" applyBorder="1"/>
    <xf numFmtId="41" fontId="22" fillId="9" borderId="27" xfId="10" applyFont="1" applyFill="1" applyBorder="1" applyAlignment="1">
      <alignment horizontal="center"/>
    </xf>
    <xf numFmtId="14" fontId="22" fillId="9" borderId="58" xfId="0" applyNumberFormat="1" applyFont="1" applyFill="1" applyBorder="1" applyAlignment="1">
      <alignment horizontal="center"/>
    </xf>
    <xf numFmtId="9" fontId="23" fillId="0" borderId="0" xfId="11" applyFont="1" applyBorder="1" applyAlignment="1">
      <alignment horizontal="center"/>
    </xf>
    <xf numFmtId="14" fontId="26" fillId="9" borderId="5" xfId="0" applyNumberFormat="1" applyFont="1" applyFill="1" applyBorder="1" applyAlignment="1">
      <alignment horizontal="center"/>
    </xf>
    <xf numFmtId="0" fontId="22" fillId="9" borderId="5" xfId="0" applyFont="1" applyFill="1" applyBorder="1" applyAlignment="1">
      <alignment horizontal="left"/>
    </xf>
    <xf numFmtId="41" fontId="22" fillId="9" borderId="5" xfId="10" applyFont="1" applyFill="1" applyBorder="1" applyAlignment="1">
      <alignment horizontal="center"/>
    </xf>
    <xf numFmtId="14" fontId="22" fillId="9" borderId="5" xfId="0" applyNumberFormat="1" applyFont="1" applyFill="1" applyBorder="1" applyAlignment="1">
      <alignment horizontal="center"/>
    </xf>
    <xf numFmtId="0" fontId="22" fillId="0" borderId="5" xfId="0" applyFont="1" applyBorder="1"/>
    <xf numFmtId="14" fontId="26" fillId="11" borderId="5" xfId="0" applyNumberFormat="1" applyFont="1" applyFill="1" applyBorder="1" applyAlignment="1">
      <alignment horizontal="center"/>
    </xf>
    <xf numFmtId="41" fontId="22" fillId="11" borderId="5" xfId="10" applyFont="1" applyFill="1" applyBorder="1" applyAlignment="1">
      <alignment horizontal="center"/>
    </xf>
    <xf numFmtId="0" fontId="22" fillId="11" borderId="5" xfId="0" applyFont="1" applyFill="1" applyBorder="1"/>
    <xf numFmtId="14" fontId="22" fillId="11" borderId="5" xfId="0" applyNumberFormat="1" applyFont="1" applyFill="1" applyBorder="1" applyAlignment="1">
      <alignment horizontal="center"/>
    </xf>
    <xf numFmtId="41" fontId="2" fillId="0" borderId="5" xfId="10" applyFont="1" applyFill="1" applyBorder="1"/>
    <xf numFmtId="41" fontId="2" fillId="0" borderId="7" xfId="10" applyFont="1" applyFill="1" applyBorder="1" applyAlignment="1">
      <alignment horizontal="right"/>
    </xf>
    <xf numFmtId="166" fontId="18" fillId="0" borderId="5" xfId="1" applyNumberFormat="1" applyFont="1" applyFill="1" applyBorder="1"/>
    <xf numFmtId="41" fontId="22" fillId="2" borderId="5" xfId="10" applyFont="1" applyFill="1" applyBorder="1" applyAlignment="1">
      <alignment horizontal="center"/>
    </xf>
    <xf numFmtId="3" fontId="39" fillId="0" borderId="0" xfId="0" applyNumberFormat="1" applyFont="1" applyAlignment="1">
      <alignment horizontal="center"/>
    </xf>
    <xf numFmtId="0" fontId="22" fillId="12" borderId="5" xfId="0" applyFont="1" applyFill="1" applyBorder="1" applyAlignment="1">
      <alignment horizontal="left"/>
    </xf>
    <xf numFmtId="41" fontId="23" fillId="0" borderId="5" xfId="0" applyNumberFormat="1" applyFont="1" applyBorder="1"/>
    <xf numFmtId="0" fontId="27" fillId="0" borderId="0" xfId="0" applyFont="1"/>
    <xf numFmtId="0" fontId="23" fillId="4" borderId="5" xfId="0" applyFont="1" applyFill="1" applyBorder="1" applyAlignment="1">
      <alignment horizontal="center"/>
    </xf>
    <xf numFmtId="41" fontId="23" fillId="4" borderId="5" xfId="0" applyNumberFormat="1" applyFont="1" applyFill="1" applyBorder="1"/>
    <xf numFmtId="3" fontId="23" fillId="0" borderId="5" xfId="0" applyNumberFormat="1" applyFont="1" applyBorder="1"/>
    <xf numFmtId="14" fontId="28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 applyAlignment="1">
      <alignment horizontal="left"/>
    </xf>
    <xf numFmtId="41" fontId="27" fillId="0" borderId="5" xfId="1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0" xfId="0" applyFont="1" applyAlignment="1">
      <alignment horizontal="center"/>
    </xf>
    <xf numFmtId="3" fontId="23" fillId="0" borderId="0" xfId="0" applyNumberFormat="1" applyFont="1"/>
    <xf numFmtId="3" fontId="18" fillId="0" borderId="5" xfId="0" applyNumberFormat="1" applyFont="1" applyBorder="1" applyAlignment="1">
      <alignment horizontal="center"/>
    </xf>
    <xf numFmtId="167" fontId="18" fillId="0" borderId="5" xfId="1" applyNumberFormat="1" applyFont="1" applyFill="1" applyBorder="1"/>
    <xf numFmtId="167" fontId="2" fillId="4" borderId="7" xfId="1" applyNumberFormat="1" applyFont="1" applyFill="1" applyBorder="1" applyAlignment="1">
      <alignment horizontal="right"/>
    </xf>
    <xf numFmtId="167" fontId="2" fillId="4" borderId="7" xfId="1" applyNumberFormat="1" applyFont="1" applyFill="1" applyBorder="1"/>
    <xf numFmtId="41" fontId="2" fillId="4" borderId="5" xfId="10" applyFont="1" applyFill="1" applyBorder="1" applyAlignment="1">
      <alignment horizontal="right"/>
    </xf>
    <xf numFmtId="167" fontId="2" fillId="2" borderId="7" xfId="1" applyNumberFormat="1" applyFont="1" applyFill="1" applyBorder="1" applyAlignment="1">
      <alignment horizontal="right"/>
    </xf>
    <xf numFmtId="167" fontId="18" fillId="2" borderId="7" xfId="1" applyNumberFormat="1" applyFont="1" applyFill="1" applyBorder="1" applyAlignment="1">
      <alignment horizontal="right"/>
    </xf>
    <xf numFmtId="167" fontId="0" fillId="2" borderId="7" xfId="1" applyNumberFormat="1" applyFont="1" applyFill="1" applyBorder="1" applyAlignment="1">
      <alignment horizontal="right"/>
    </xf>
    <xf numFmtId="167" fontId="2" fillId="0" borderId="6" xfId="1" applyNumberFormat="1" applyFont="1" applyFill="1" applyBorder="1"/>
    <xf numFmtId="167" fontId="2" fillId="2" borderId="7" xfId="1" applyNumberFormat="1" applyFont="1" applyFill="1" applyBorder="1"/>
    <xf numFmtId="166" fontId="0" fillId="0" borderId="5" xfId="0" applyNumberFormat="1" applyBorder="1"/>
    <xf numFmtId="0" fontId="0" fillId="0" borderId="35" xfId="0" applyBorder="1"/>
    <xf numFmtId="166" fontId="0" fillId="0" borderId="8" xfId="0" applyNumberFormat="1" applyBorder="1"/>
    <xf numFmtId="166" fontId="18" fillId="4" borderId="5" xfId="1" applyNumberFormat="1" applyFont="1" applyFill="1" applyBorder="1"/>
    <xf numFmtId="41" fontId="18" fillId="0" borderId="48" xfId="0" applyNumberFormat="1" applyFont="1" applyBorder="1"/>
    <xf numFmtId="166" fontId="2" fillId="0" borderId="17" xfId="1" applyNumberFormat="1" applyFont="1" applyFill="1" applyBorder="1"/>
    <xf numFmtId="167" fontId="0" fillId="0" borderId="0" xfId="0" applyNumberFormat="1"/>
    <xf numFmtId="167" fontId="2" fillId="8" borderId="10" xfId="1" applyNumberFormat="1" applyFont="1" applyFill="1" applyBorder="1" applyAlignment="1">
      <alignment horizontal="left"/>
    </xf>
    <xf numFmtId="0" fontId="2" fillId="17" borderId="0" xfId="0" applyFont="1" applyFill="1" applyAlignment="1">
      <alignment horizontal="center"/>
    </xf>
    <xf numFmtId="166" fontId="0" fillId="17" borderId="0" xfId="0" applyNumberFormat="1" applyFill="1"/>
    <xf numFmtId="0" fontId="2" fillId="4" borderId="12" xfId="0" applyFont="1" applyFill="1" applyBorder="1" applyAlignment="1">
      <alignment horizontal="center" wrapText="1"/>
    </xf>
    <xf numFmtId="0" fontId="0" fillId="3" borderId="5" xfId="0" applyFill="1" applyBorder="1"/>
    <xf numFmtId="3" fontId="0" fillId="0" borderId="5" xfId="0" applyNumberFormat="1" applyBorder="1" applyAlignment="1">
      <alignment horizontal="right"/>
    </xf>
    <xf numFmtId="0" fontId="0" fillId="0" borderId="6" xfId="0" applyBorder="1"/>
    <xf numFmtId="0" fontId="0" fillId="4" borderId="10" xfId="0" applyFill="1" applyBorder="1"/>
    <xf numFmtId="0" fontId="2" fillId="0" borderId="12" xfId="0" applyFont="1" applyBorder="1" applyAlignment="1">
      <alignment horizontal="center" wrapText="1"/>
    </xf>
    <xf numFmtId="49" fontId="0" fillId="0" borderId="35" xfId="0" applyNumberFormat="1" applyBorder="1"/>
    <xf numFmtId="0" fontId="0" fillId="4" borderId="5" xfId="0" applyFill="1" applyBorder="1"/>
    <xf numFmtId="167" fontId="0" fillId="8" borderId="7" xfId="1" applyNumberFormat="1" applyFont="1" applyFill="1" applyBorder="1" applyAlignment="1">
      <alignment horizontal="right"/>
    </xf>
    <xf numFmtId="0" fontId="0" fillId="0" borderId="48" xfId="0" applyBorder="1"/>
    <xf numFmtId="168" fontId="0" fillId="0" borderId="0" xfId="0" applyNumberFormat="1"/>
    <xf numFmtId="43" fontId="0" fillId="0" borderId="0" xfId="0" applyNumberFormat="1"/>
    <xf numFmtId="0" fontId="47" fillId="0" borderId="32" xfId="0" applyFont="1" applyBorder="1"/>
    <xf numFmtId="0" fontId="47" fillId="0" borderId="37" xfId="0" applyFont="1" applyBorder="1"/>
    <xf numFmtId="0" fontId="48" fillId="4" borderId="32" xfId="0" applyFont="1" applyFill="1" applyBorder="1"/>
    <xf numFmtId="0" fontId="48" fillId="4" borderId="35" xfId="0" applyFont="1" applyFill="1" applyBorder="1"/>
    <xf numFmtId="166" fontId="50" fillId="4" borderId="5" xfId="1" applyNumberFormat="1" applyFont="1" applyFill="1" applyBorder="1"/>
    <xf numFmtId="0" fontId="51" fillId="0" borderId="0" xfId="0" applyFont="1"/>
    <xf numFmtId="0" fontId="52" fillId="0" borderId="0" xfId="0" applyFont="1"/>
    <xf numFmtId="166" fontId="51" fillId="0" borderId="0" xfId="0" applyNumberFormat="1" applyFont="1"/>
    <xf numFmtId="41" fontId="51" fillId="0" borderId="0" xfId="10" applyFont="1"/>
    <xf numFmtId="0" fontId="52" fillId="0" borderId="0" xfId="0" applyFont="1" applyAlignment="1">
      <alignment horizontal="center"/>
    </xf>
    <xf numFmtId="167" fontId="51" fillId="0" borderId="0" xfId="1" applyNumberFormat="1" applyFont="1" applyFill="1"/>
    <xf numFmtId="167" fontId="51" fillId="0" borderId="0" xfId="0" applyNumberFormat="1" applyFont="1"/>
    <xf numFmtId="41" fontId="51" fillId="0" borderId="0" xfId="0" applyNumberFormat="1" applyFont="1"/>
    <xf numFmtId="167" fontId="52" fillId="8" borderId="10" xfId="1" applyNumberFormat="1" applyFont="1" applyFill="1" applyBorder="1" applyAlignment="1">
      <alignment horizontal="left"/>
    </xf>
    <xf numFmtId="0" fontId="52" fillId="2" borderId="10" xfId="0" applyFont="1" applyFill="1" applyBorder="1" applyAlignment="1">
      <alignment horizontal="center"/>
    </xf>
    <xf numFmtId="0" fontId="50" fillId="7" borderId="10" xfId="0" applyFont="1" applyFill="1" applyBorder="1" applyAlignment="1">
      <alignment horizontal="center"/>
    </xf>
    <xf numFmtId="17" fontId="48" fillId="2" borderId="10" xfId="0" applyNumberFormat="1" applyFont="1" applyFill="1" applyBorder="1" applyAlignment="1">
      <alignment horizontal="center"/>
    </xf>
    <xf numFmtId="0" fontId="52" fillId="11" borderId="3" xfId="0" applyFont="1" applyFill="1" applyBorder="1"/>
    <xf numFmtId="167" fontId="52" fillId="11" borderId="14" xfId="1" applyNumberFormat="1" applyFont="1" applyFill="1" applyBorder="1" applyAlignment="1">
      <alignment horizontal="center"/>
    </xf>
    <xf numFmtId="167" fontId="52" fillId="11" borderId="12" xfId="1" applyNumberFormat="1" applyFont="1" applyFill="1" applyBorder="1" applyAlignment="1">
      <alignment horizontal="center"/>
    </xf>
    <xf numFmtId="167" fontId="52" fillId="0" borderId="48" xfId="1" applyNumberFormat="1" applyFont="1" applyFill="1" applyBorder="1" applyAlignment="1">
      <alignment horizontal="center"/>
    </xf>
    <xf numFmtId="167" fontId="51" fillId="0" borderId="1" xfId="1" applyNumberFormat="1" applyFont="1" applyFill="1" applyBorder="1" applyAlignment="1">
      <alignment horizontal="center"/>
    </xf>
    <xf numFmtId="167" fontId="51" fillId="0" borderId="0" xfId="1" applyNumberFormat="1" applyFont="1" applyFill="1" applyBorder="1" applyAlignment="1">
      <alignment horizontal="center"/>
    </xf>
    <xf numFmtId="0" fontId="52" fillId="7" borderId="3" xfId="0" applyFont="1" applyFill="1" applyBorder="1"/>
    <xf numFmtId="167" fontId="52" fillId="7" borderId="3" xfId="1" applyNumberFormat="1" applyFont="1" applyFill="1" applyBorder="1"/>
    <xf numFmtId="0" fontId="49" fillId="0" borderId="0" xfId="0" applyFont="1"/>
    <xf numFmtId="0" fontId="52" fillId="8" borderId="10" xfId="0" applyFont="1" applyFill="1" applyBorder="1"/>
    <xf numFmtId="0" fontId="50" fillId="0" borderId="32" xfId="0" applyFont="1" applyBorder="1"/>
    <xf numFmtId="166" fontId="47" fillId="0" borderId="8" xfId="0" applyNumberFormat="1" applyFont="1" applyBorder="1"/>
    <xf numFmtId="0" fontId="50" fillId="0" borderId="35" xfId="0" applyFont="1" applyBorder="1"/>
    <xf numFmtId="166" fontId="47" fillId="0" borderId="5" xfId="0" applyNumberFormat="1" applyFont="1" applyBorder="1"/>
    <xf numFmtId="166" fontId="52" fillId="0" borderId="0" xfId="0" applyNumberFormat="1" applyFont="1"/>
    <xf numFmtId="167" fontId="52" fillId="11" borderId="3" xfId="1" applyNumberFormat="1" applyFont="1" applyFill="1" applyBorder="1"/>
    <xf numFmtId="166" fontId="47" fillId="0" borderId="22" xfId="0" applyNumberFormat="1" applyFont="1" applyBorder="1"/>
    <xf numFmtId="166" fontId="47" fillId="0" borderId="33" xfId="0" applyNumberFormat="1" applyFont="1" applyBorder="1"/>
    <xf numFmtId="0" fontId="52" fillId="7" borderId="59" xfId="0" applyFont="1" applyFill="1" applyBorder="1"/>
    <xf numFmtId="0" fontId="52" fillId="4" borderId="3" xfId="0" applyFont="1" applyFill="1" applyBorder="1"/>
    <xf numFmtId="166" fontId="52" fillId="4" borderId="38" xfId="0" applyNumberFormat="1" applyFont="1" applyFill="1" applyBorder="1"/>
    <xf numFmtId="166" fontId="52" fillId="4" borderId="13" xfId="0" applyNumberFormat="1" applyFont="1" applyFill="1" applyBorder="1"/>
    <xf numFmtId="0" fontId="52" fillId="11" borderId="11" xfId="0" applyFont="1" applyFill="1" applyBorder="1"/>
    <xf numFmtId="167" fontId="51" fillId="0" borderId="60" xfId="1" applyNumberFormat="1" applyFont="1" applyFill="1" applyBorder="1" applyAlignment="1">
      <alignment horizontal="center"/>
    </xf>
    <xf numFmtId="0" fontId="50" fillId="4" borderId="32" xfId="0" applyFont="1" applyFill="1" applyBorder="1"/>
    <xf numFmtId="167" fontId="52" fillId="4" borderId="8" xfId="1" applyNumberFormat="1" applyFont="1" applyFill="1" applyBorder="1" applyAlignment="1">
      <alignment horizontal="center"/>
    </xf>
    <xf numFmtId="166" fontId="53" fillId="4" borderId="22" xfId="0" applyNumberFormat="1" applyFont="1" applyFill="1" applyBorder="1"/>
    <xf numFmtId="0" fontId="52" fillId="4" borderId="35" xfId="0" applyFont="1" applyFill="1" applyBorder="1"/>
    <xf numFmtId="167" fontId="52" fillId="4" borderId="5" xfId="1" applyNumberFormat="1" applyFont="1" applyFill="1" applyBorder="1" applyAlignment="1">
      <alignment horizontal="center"/>
    </xf>
    <xf numFmtId="167" fontId="52" fillId="4" borderId="25" xfId="1" applyNumberFormat="1" applyFont="1" applyFill="1" applyBorder="1" applyAlignment="1">
      <alignment horizontal="center"/>
    </xf>
    <xf numFmtId="0" fontId="52" fillId="4" borderId="34" xfId="0" applyFont="1" applyFill="1" applyBorder="1"/>
    <xf numFmtId="167" fontId="52" fillId="4" borderId="30" xfId="1" applyNumberFormat="1" applyFont="1" applyFill="1" applyBorder="1" applyAlignment="1">
      <alignment horizontal="center"/>
    </xf>
    <xf numFmtId="0" fontId="52" fillId="4" borderId="50" xfId="0" applyFont="1" applyFill="1" applyBorder="1"/>
    <xf numFmtId="0" fontId="52" fillId="4" borderId="45" xfId="0" applyFont="1" applyFill="1" applyBorder="1"/>
    <xf numFmtId="0" fontId="52" fillId="4" borderId="61" xfId="0" applyFont="1" applyFill="1" applyBorder="1"/>
    <xf numFmtId="167" fontId="52" fillId="4" borderId="33" xfId="1" applyNumberFormat="1" applyFont="1" applyFill="1" applyBorder="1" applyAlignment="1">
      <alignment horizontal="center"/>
    </xf>
    <xf numFmtId="167" fontId="52" fillId="4" borderId="62" xfId="1" applyNumberFormat="1" applyFont="1" applyFill="1" applyBorder="1" applyAlignment="1">
      <alignment horizontal="center"/>
    </xf>
    <xf numFmtId="0" fontId="52" fillId="4" borderId="11" xfId="0" applyFont="1" applyFill="1" applyBorder="1"/>
    <xf numFmtId="166" fontId="52" fillId="4" borderId="29" xfId="0" applyNumberFormat="1" applyFont="1" applyFill="1" applyBorder="1"/>
    <xf numFmtId="0" fontId="52" fillId="4" borderId="36" xfId="0" applyFont="1" applyFill="1" applyBorder="1"/>
    <xf numFmtId="0" fontId="52" fillId="4" borderId="59" xfId="0" applyFont="1" applyFill="1" applyBorder="1"/>
    <xf numFmtId="166" fontId="51" fillId="0" borderId="60" xfId="0" applyNumberFormat="1" applyFont="1" applyBorder="1"/>
    <xf numFmtId="0" fontId="52" fillId="0" borderId="1" xfId="0" applyFont="1" applyBorder="1"/>
    <xf numFmtId="166" fontId="51" fillId="0" borderId="1" xfId="0" applyNumberFormat="1" applyFont="1" applyBorder="1"/>
    <xf numFmtId="166" fontId="52" fillId="4" borderId="10" xfId="0" applyNumberFormat="1" applyFont="1" applyFill="1" applyBorder="1"/>
    <xf numFmtId="0" fontId="52" fillId="17" borderId="0" xfId="0" applyFont="1" applyFill="1" applyAlignment="1">
      <alignment horizontal="center"/>
    </xf>
    <xf numFmtId="166" fontId="51" fillId="17" borderId="0" xfId="0" applyNumberFormat="1" applyFont="1" applyFill="1"/>
    <xf numFmtId="167" fontId="0" fillId="0" borderId="41" xfId="1" applyNumberFormat="1" applyFont="1" applyFill="1" applyBorder="1" applyAlignment="1">
      <alignment horizontal="center"/>
    </xf>
    <xf numFmtId="167" fontId="0" fillId="0" borderId="30" xfId="1" applyNumberFormat="1" applyFont="1" applyFill="1" applyBorder="1" applyAlignment="1">
      <alignment horizontal="center"/>
    </xf>
    <xf numFmtId="0" fontId="0" fillId="0" borderId="34" xfId="0" applyBorder="1"/>
    <xf numFmtId="166" fontId="0" fillId="0" borderId="38" xfId="0" applyNumberFormat="1" applyBorder="1"/>
    <xf numFmtId="0" fontId="18" fillId="0" borderId="0" xfId="0" applyFont="1" applyAlignment="1">
      <alignment horizontal="left"/>
    </xf>
    <xf numFmtId="0" fontId="18" fillId="7" borderId="10" xfId="0" applyFont="1" applyFill="1" applyBorder="1" applyAlignment="1">
      <alignment horizontal="center"/>
    </xf>
    <xf numFmtId="17" fontId="54" fillId="2" borderId="10" xfId="0" applyNumberFormat="1" applyFont="1" applyFill="1" applyBorder="1" applyAlignment="1">
      <alignment horizontal="center"/>
    </xf>
    <xf numFmtId="0" fontId="55" fillId="0" borderId="0" xfId="0" applyFont="1"/>
    <xf numFmtId="0" fontId="55" fillId="0" borderId="32" xfId="0" applyFont="1" applyBorder="1"/>
    <xf numFmtId="0" fontId="55" fillId="0" borderId="37" xfId="0" applyFont="1" applyBorder="1"/>
    <xf numFmtId="0" fontId="18" fillId="0" borderId="15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43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54" fillId="4" borderId="11" xfId="0" applyFont="1" applyFill="1" applyBorder="1" applyAlignment="1">
      <alignment horizontal="center"/>
    </xf>
    <xf numFmtId="0" fontId="54" fillId="4" borderId="10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2" borderId="11" xfId="0" applyFont="1" applyFill="1" applyBorder="1" applyAlignment="1">
      <alignment horizontal="center"/>
    </xf>
    <xf numFmtId="0" fontId="55" fillId="0" borderId="35" xfId="0" applyFont="1" applyBorder="1"/>
    <xf numFmtId="166" fontId="18" fillId="0" borderId="7" xfId="1" applyNumberFormat="1" applyFont="1" applyFill="1" applyBorder="1"/>
    <xf numFmtId="166" fontId="18" fillId="4" borderId="7" xfId="1" applyNumberFormat="1" applyFont="1" applyFill="1" applyBorder="1"/>
    <xf numFmtId="0" fontId="54" fillId="0" borderId="11" xfId="0" applyFont="1" applyBorder="1"/>
    <xf numFmtId="0" fontId="55" fillId="0" borderId="46" xfId="0" applyFont="1" applyBorder="1"/>
    <xf numFmtId="0" fontId="54" fillId="0" borderId="10" xfId="0" applyFont="1" applyBorder="1" applyAlignment="1">
      <alignment horizontal="center"/>
    </xf>
    <xf numFmtId="166" fontId="54" fillId="11" borderId="12" xfId="1" applyNumberFormat="1" applyFont="1" applyFill="1" applyBorder="1" applyAlignment="1"/>
    <xf numFmtId="0" fontId="54" fillId="2" borderId="11" xfId="0" applyFont="1" applyFill="1" applyBorder="1" applyAlignment="1">
      <alignment horizontal="left"/>
    </xf>
    <xf numFmtId="166" fontId="16" fillId="0" borderId="27" xfId="1" applyNumberFormat="1" applyFont="1" applyFill="1" applyBorder="1"/>
    <xf numFmtId="166" fontId="16" fillId="0" borderId="51" xfId="1" applyNumberFormat="1" applyFont="1" applyFill="1" applyBorder="1"/>
    <xf numFmtId="166" fontId="18" fillId="0" borderId="27" xfId="1" applyNumberFormat="1" applyFont="1" applyFill="1" applyBorder="1"/>
    <xf numFmtId="166" fontId="16" fillId="0" borderId="7" xfId="1" applyNumberFormat="1" applyFont="1" applyFill="1" applyBorder="1"/>
    <xf numFmtId="0" fontId="55" fillId="8" borderId="35" xfId="0" applyFont="1" applyFill="1" applyBorder="1"/>
    <xf numFmtId="0" fontId="54" fillId="0" borderId="3" xfId="0" applyFont="1" applyBorder="1" applyAlignment="1">
      <alignment horizontal="center"/>
    </xf>
    <xf numFmtId="166" fontId="18" fillId="0" borderId="10" xfId="1" applyNumberFormat="1" applyFont="1" applyFill="1" applyBorder="1"/>
    <xf numFmtId="166" fontId="54" fillId="0" borderId="14" xfId="1" applyNumberFormat="1" applyFont="1" applyFill="1" applyBorder="1" applyAlignment="1"/>
    <xf numFmtId="0" fontId="54" fillId="0" borderId="11" xfId="0" applyFont="1" applyBorder="1" applyAlignment="1">
      <alignment horizontal="center"/>
    </xf>
    <xf numFmtId="166" fontId="54" fillId="0" borderId="10" xfId="1" applyNumberFormat="1" applyFont="1" applyFill="1" applyBorder="1" applyAlignment="1"/>
    <xf numFmtId="166" fontId="54" fillId="0" borderId="12" xfId="1" applyNumberFormat="1" applyFont="1" applyFill="1" applyBorder="1" applyAlignment="1">
      <alignment horizontal="center"/>
    </xf>
    <xf numFmtId="166" fontId="54" fillId="0" borderId="12" xfId="1" applyNumberFormat="1" applyFont="1" applyFill="1" applyBorder="1" applyAlignment="1"/>
    <xf numFmtId="166" fontId="54" fillId="0" borderId="13" xfId="1" applyNumberFormat="1" applyFont="1" applyFill="1" applyBorder="1" applyAlignment="1"/>
    <xf numFmtId="0" fontId="55" fillId="0" borderId="34" xfId="0" applyFont="1" applyBorder="1"/>
    <xf numFmtId="167" fontId="54" fillId="2" borderId="10" xfId="1" applyNumberFormat="1" applyFont="1" applyFill="1" applyBorder="1" applyAlignment="1"/>
    <xf numFmtId="167" fontId="54" fillId="0" borderId="11" xfId="1" applyNumberFormat="1" applyFont="1" applyFill="1" applyBorder="1" applyAlignment="1"/>
    <xf numFmtId="167" fontId="54" fillId="0" borderId="10" xfId="1" applyNumberFormat="1" applyFont="1" applyFill="1" applyBorder="1" applyAlignment="1"/>
    <xf numFmtId="167" fontId="54" fillId="0" borderId="0" xfId="1" applyNumberFormat="1" applyFont="1" applyFill="1" applyBorder="1" applyAlignment="1"/>
    <xf numFmtId="167" fontId="54" fillId="7" borderId="10" xfId="1" applyNumberFormat="1" applyFont="1" applyFill="1" applyBorder="1" applyAlignment="1"/>
    <xf numFmtId="0" fontId="18" fillId="4" borderId="10" xfId="0" applyFont="1" applyFill="1" applyBorder="1" applyAlignment="1">
      <alignment horizontal="left"/>
    </xf>
    <xf numFmtId="167" fontId="54" fillId="4" borderId="10" xfId="1" applyNumberFormat="1" applyFont="1" applyFill="1" applyBorder="1" applyAlignment="1"/>
    <xf numFmtId="166" fontId="50" fillId="4" borderId="8" xfId="0" applyNumberFormat="1" applyFont="1" applyFill="1" applyBorder="1"/>
    <xf numFmtId="166" fontId="50" fillId="4" borderId="22" xfId="0" applyNumberFormat="1" applyFont="1" applyFill="1" applyBorder="1"/>
    <xf numFmtId="166" fontId="50" fillId="4" borderId="5" xfId="0" applyNumberFormat="1" applyFont="1" applyFill="1" applyBorder="1"/>
    <xf numFmtId="166" fontId="50" fillId="4" borderId="33" xfId="0" applyNumberFormat="1" applyFont="1" applyFill="1" applyBorder="1"/>
    <xf numFmtId="41" fontId="50" fillId="4" borderId="8" xfId="10" applyFont="1" applyFill="1" applyBorder="1"/>
    <xf numFmtId="166" fontId="50" fillId="4" borderId="8" xfId="1" applyNumberFormat="1" applyFont="1" applyFill="1" applyBorder="1"/>
    <xf numFmtId="166" fontId="50" fillId="4" borderId="22" xfId="1" applyNumberFormat="1" applyFont="1" applyFill="1" applyBorder="1"/>
    <xf numFmtId="166" fontId="50" fillId="4" borderId="25" xfId="1" applyNumberFormat="1" applyFont="1" applyFill="1" applyBorder="1"/>
    <xf numFmtId="166" fontId="50" fillId="4" borderId="38" xfId="0" applyNumberFormat="1" applyFont="1" applyFill="1" applyBorder="1"/>
    <xf numFmtId="166" fontId="50" fillId="4" borderId="13" xfId="0" applyNumberFormat="1" applyFont="1" applyFill="1" applyBorder="1"/>
    <xf numFmtId="0" fontId="53" fillId="4" borderId="3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7" fontId="58" fillId="0" borderId="10" xfId="0" applyNumberFormat="1" applyFont="1" applyBorder="1" applyAlignment="1">
      <alignment horizontal="center"/>
    </xf>
    <xf numFmtId="167" fontId="58" fillId="0" borderId="10" xfId="1" applyNumberFormat="1" applyFont="1" applyBorder="1" applyAlignment="1">
      <alignment horizontal="center"/>
    </xf>
    <xf numFmtId="0" fontId="58" fillId="0" borderId="0" xfId="0" applyFont="1" applyAlignment="1">
      <alignment horizontal="left"/>
    </xf>
    <xf numFmtId="0" fontId="58" fillId="4" borderId="11" xfId="0" applyFont="1" applyFill="1" applyBorder="1" applyAlignment="1">
      <alignment horizontal="center"/>
    </xf>
    <xf numFmtId="17" fontId="58" fillId="4" borderId="10" xfId="0" applyNumberFormat="1" applyFont="1" applyFill="1" applyBorder="1" applyAlignment="1">
      <alignment horizontal="center"/>
    </xf>
    <xf numFmtId="0" fontId="4" fillId="4" borderId="19" xfId="0" applyFont="1" applyFill="1" applyBorder="1"/>
    <xf numFmtId="0" fontId="4" fillId="4" borderId="2" xfId="0" applyFont="1" applyFill="1" applyBorder="1" applyAlignment="1">
      <alignment horizontal="center" wrapText="1"/>
    </xf>
    <xf numFmtId="0" fontId="59" fillId="0" borderId="35" xfId="0" applyFont="1" applyBorder="1"/>
    <xf numFmtId="167" fontId="4" fillId="0" borderId="5" xfId="1" applyNumberFormat="1" applyFont="1" applyFill="1" applyBorder="1" applyAlignment="1">
      <alignment horizontal="center" wrapText="1"/>
    </xf>
    <xf numFmtId="0" fontId="60" fillId="0" borderId="5" xfId="0" applyFont="1" applyBorder="1" applyAlignment="1">
      <alignment wrapText="1"/>
    </xf>
    <xf numFmtId="167" fontId="4" fillId="0" borderId="25" xfId="1" applyNumberFormat="1" applyFont="1" applyFill="1" applyBorder="1" applyAlignment="1">
      <alignment horizontal="center" wrapText="1"/>
    </xf>
    <xf numFmtId="0" fontId="60" fillId="0" borderId="6" xfId="0" applyFont="1" applyBorder="1" applyAlignment="1">
      <alignment wrapText="1"/>
    </xf>
    <xf numFmtId="3" fontId="60" fillId="0" borderId="6" xfId="0" applyNumberFormat="1" applyFont="1" applyBorder="1" applyAlignment="1">
      <alignment wrapText="1"/>
    </xf>
    <xf numFmtId="0" fontId="58" fillId="4" borderId="20" xfId="0" applyFont="1" applyFill="1" applyBorder="1" applyAlignment="1">
      <alignment horizontal="center"/>
    </xf>
    <xf numFmtId="166" fontId="4" fillId="4" borderId="20" xfId="1" applyNumberFormat="1" applyFont="1" applyFill="1" applyBorder="1"/>
    <xf numFmtId="166" fontId="11" fillId="0" borderId="0" xfId="0" applyNumberFormat="1" applyFont="1"/>
    <xf numFmtId="0" fontId="58" fillId="0" borderId="0" xfId="0" applyFont="1" applyAlignment="1">
      <alignment horizontal="center"/>
    </xf>
    <xf numFmtId="9" fontId="11" fillId="0" borderId="0" xfId="11" applyFont="1" applyFill="1"/>
    <xf numFmtId="0" fontId="61" fillId="0" borderId="35" xfId="0" applyFont="1" applyBorder="1"/>
    <xf numFmtId="167" fontId="11" fillId="0" borderId="5" xfId="1" applyNumberFormat="1" applyFont="1" applyFill="1" applyBorder="1"/>
    <xf numFmtId="167" fontId="11" fillId="0" borderId="25" xfId="1" applyNumberFormat="1" applyFont="1" applyFill="1" applyBorder="1"/>
    <xf numFmtId="0" fontId="11" fillId="4" borderId="10" xfId="0" applyFont="1" applyFill="1" applyBorder="1"/>
    <xf numFmtId="0" fontId="4" fillId="4" borderId="12" xfId="0" applyFont="1" applyFill="1" applyBorder="1" applyAlignment="1">
      <alignment horizontal="center" wrapText="1"/>
    </xf>
    <xf numFmtId="166" fontId="4" fillId="4" borderId="10" xfId="1" applyNumberFormat="1" applyFont="1" applyFill="1" applyBorder="1"/>
    <xf numFmtId="167" fontId="11" fillId="0" borderId="0" xfId="1" applyNumberFormat="1" applyFont="1" applyFill="1"/>
    <xf numFmtId="0" fontId="58" fillId="4" borderId="19" xfId="0" applyFont="1" applyFill="1" applyBorder="1" applyAlignment="1">
      <alignment horizontal="left"/>
    </xf>
    <xf numFmtId="0" fontId="62" fillId="4" borderId="10" xfId="0" applyFont="1" applyFill="1" applyBorder="1" applyAlignment="1">
      <alignment horizontal="left"/>
    </xf>
    <xf numFmtId="0" fontId="4" fillId="0" borderId="0" xfId="0" applyFont="1" applyAlignment="1">
      <alignment horizontal="center" wrapText="1"/>
    </xf>
    <xf numFmtId="0" fontId="58" fillId="2" borderId="11" xfId="0" applyFont="1" applyFill="1" applyBorder="1" applyAlignment="1">
      <alignment horizontal="center"/>
    </xf>
    <xf numFmtId="17" fontId="58" fillId="2" borderId="10" xfId="0" applyNumberFormat="1" applyFont="1" applyFill="1" applyBorder="1" applyAlignment="1">
      <alignment horizontal="center"/>
    </xf>
    <xf numFmtId="0" fontId="4" fillId="0" borderId="10" xfId="0" applyFont="1" applyBorder="1"/>
    <xf numFmtId="0" fontId="11" fillId="0" borderId="19" xfId="0" applyFont="1" applyBorder="1" applyAlignment="1">
      <alignment horizontal="left" indent="2"/>
    </xf>
    <xf numFmtId="167" fontId="4" fillId="0" borderId="12" xfId="1" applyNumberFormat="1" applyFont="1" applyFill="1" applyBorder="1" applyAlignment="1">
      <alignment horizontal="center" wrapText="1"/>
    </xf>
    <xf numFmtId="167" fontId="4" fillId="0" borderId="12" xfId="1" applyNumberFormat="1" applyFont="1" applyBorder="1" applyAlignment="1">
      <alignment horizontal="center" wrapText="1"/>
    </xf>
    <xf numFmtId="167" fontId="60" fillId="0" borderId="12" xfId="1" applyNumberFormat="1" applyFont="1" applyBorder="1" applyAlignment="1">
      <alignment horizontal="center" wrapText="1"/>
    </xf>
    <xf numFmtId="171" fontId="4" fillId="0" borderId="12" xfId="0" applyNumberFormat="1" applyFont="1" applyBorder="1" applyAlignment="1">
      <alignment horizontal="center" wrapText="1"/>
    </xf>
    <xf numFmtId="3" fontId="11" fillId="0" borderId="0" xfId="0" applyNumberFormat="1" applyFont="1"/>
    <xf numFmtId="3" fontId="4" fillId="0" borderId="0" xfId="0" applyNumberFormat="1" applyFont="1"/>
    <xf numFmtId="167" fontId="4" fillId="0" borderId="12" xfId="1" applyNumberFormat="1" applyFont="1" applyFill="1" applyBorder="1"/>
    <xf numFmtId="167" fontId="60" fillId="0" borderId="12" xfId="1" applyNumberFormat="1" applyFont="1" applyFill="1" applyBorder="1" applyAlignment="1">
      <alignment horizontal="center" wrapText="1"/>
    </xf>
    <xf numFmtId="167" fontId="4" fillId="0" borderId="2" xfId="1" applyNumberFormat="1" applyFont="1" applyFill="1" applyBorder="1"/>
    <xf numFmtId="167" fontId="4" fillId="0" borderId="2" xfId="1" applyNumberFormat="1" applyFont="1" applyFill="1" applyBorder="1" applyAlignment="1">
      <alignment horizontal="center" wrapText="1"/>
    </xf>
    <xf numFmtId="167" fontId="60" fillId="0" borderId="2" xfId="1" applyNumberFormat="1" applyFont="1" applyFill="1" applyBorder="1" applyAlignment="1">
      <alignment horizontal="center" wrapText="1"/>
    </xf>
    <xf numFmtId="167" fontId="60" fillId="0" borderId="2" xfId="1" applyNumberFormat="1" applyFont="1" applyBorder="1" applyAlignment="1">
      <alignment horizontal="center" wrapText="1"/>
    </xf>
    <xf numFmtId="171" fontId="4" fillId="0" borderId="2" xfId="0" applyNumberFormat="1" applyFont="1" applyBorder="1" applyAlignment="1">
      <alignment horizontal="center" wrapText="1"/>
    </xf>
    <xf numFmtId="167" fontId="4" fillId="0" borderId="63" xfId="1" applyNumberFormat="1" applyFont="1" applyFill="1" applyBorder="1"/>
    <xf numFmtId="167" fontId="4" fillId="4" borderId="6" xfId="1" applyNumberFormat="1" applyFont="1" applyFill="1" applyBorder="1" applyAlignment="1">
      <alignment horizontal="center" wrapText="1"/>
    </xf>
    <xf numFmtId="0" fontId="4" fillId="0" borderId="19" xfId="0" applyFont="1" applyBorder="1"/>
    <xf numFmtId="167" fontId="4" fillId="4" borderId="5" xfId="1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8" fillId="0" borderId="19" xfId="0" applyFont="1" applyBorder="1"/>
    <xf numFmtId="166" fontId="58" fillId="0" borderId="2" xfId="1" applyNumberFormat="1" applyFont="1" applyBorder="1"/>
    <xf numFmtId="0" fontId="58" fillId="0" borderId="10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4" fillId="0" borderId="11" xfId="0" applyFont="1" applyBorder="1"/>
    <xf numFmtId="0" fontId="61" fillId="0" borderId="11" xfId="0" applyFont="1" applyBorder="1" applyAlignment="1">
      <alignment horizontal="left" indent="2"/>
    </xf>
    <xf numFmtId="167" fontId="60" fillId="4" borderId="5" xfId="1" applyNumberFormat="1" applyFont="1" applyFill="1" applyBorder="1" applyAlignment="1">
      <alignment horizontal="center" wrapText="1"/>
    </xf>
    <xf numFmtId="167" fontId="4" fillId="4" borderId="25" xfId="1" applyNumberFormat="1" applyFont="1" applyFill="1" applyBorder="1" applyAlignment="1">
      <alignment horizontal="center" wrapText="1"/>
    </xf>
    <xf numFmtId="0" fontId="58" fillId="0" borderId="3" xfId="0" applyFont="1" applyBorder="1" applyAlignment="1">
      <alignment horizontal="center"/>
    </xf>
    <xf numFmtId="167" fontId="11" fillId="0" borderId="0" xfId="0" applyNumberFormat="1" applyFont="1"/>
    <xf numFmtId="167" fontId="4" fillId="4" borderId="30" xfId="1" applyNumberFormat="1" applyFont="1" applyFill="1" applyBorder="1" applyAlignment="1">
      <alignment horizontal="center" wrapText="1"/>
    </xf>
    <xf numFmtId="0" fontId="63" fillId="0" borderId="19" xfId="0" applyFont="1" applyBorder="1" applyAlignment="1">
      <alignment horizontal="left" indent="3"/>
    </xf>
    <xf numFmtId="167" fontId="4" fillId="0" borderId="30" xfId="1" applyNumberFormat="1" applyFont="1" applyFill="1" applyBorder="1" applyAlignment="1">
      <alignment horizontal="center" wrapText="1"/>
    </xf>
    <xf numFmtId="0" fontId="60" fillId="22" borderId="5" xfId="0" applyFont="1" applyFill="1" applyBorder="1" applyAlignment="1">
      <alignment wrapText="1"/>
    </xf>
    <xf numFmtId="167" fontId="59" fillId="4" borderId="5" xfId="1" applyNumberFormat="1" applyFont="1" applyFill="1" applyBorder="1" applyAlignment="1">
      <alignment horizontal="center" wrapText="1"/>
    </xf>
    <xf numFmtId="0" fontId="4" fillId="0" borderId="35" xfId="0" applyFont="1" applyBorder="1"/>
    <xf numFmtId="0" fontId="58" fillId="0" borderId="64" xfId="0" applyFont="1" applyBorder="1" applyAlignment="1">
      <alignment horizontal="center"/>
    </xf>
    <xf numFmtId="167" fontId="4" fillId="4" borderId="33" xfId="1" applyNumberFormat="1" applyFont="1" applyFill="1" applyBorder="1" applyAlignment="1">
      <alignment horizontal="center" wrapText="1"/>
    </xf>
    <xf numFmtId="167" fontId="4" fillId="4" borderId="9" xfId="1" applyNumberFormat="1" applyFont="1" applyFill="1" applyBorder="1" applyAlignment="1">
      <alignment horizontal="center" wrapText="1"/>
    </xf>
    <xf numFmtId="0" fontId="58" fillId="0" borderId="11" xfId="0" applyFont="1" applyBorder="1" applyAlignment="1">
      <alignment horizontal="center"/>
    </xf>
    <xf numFmtId="167" fontId="11" fillId="0" borderId="0" xfId="1" applyNumberFormat="1" applyFont="1" applyFill="1" applyBorder="1" applyAlignment="1">
      <alignment horizontal="right"/>
    </xf>
    <xf numFmtId="166" fontId="11" fillId="0" borderId="0" xfId="1" applyNumberFormat="1" applyFont="1" applyFill="1" applyBorder="1"/>
    <xf numFmtId="0" fontId="64" fillId="0" borderId="36" xfId="0" applyFont="1" applyBorder="1"/>
    <xf numFmtId="0" fontId="62" fillId="0" borderId="0" xfId="0" applyFont="1"/>
    <xf numFmtId="167" fontId="11" fillId="0" borderId="0" xfId="1" applyNumberFormat="1" applyFont="1"/>
    <xf numFmtId="0" fontId="58" fillId="2" borderId="10" xfId="0" applyFont="1" applyFill="1" applyBorder="1"/>
    <xf numFmtId="167" fontId="58" fillId="2" borderId="12" xfId="1" applyNumberFormat="1" applyFont="1" applyFill="1" applyBorder="1" applyAlignment="1"/>
    <xf numFmtId="0" fontId="58" fillId="2" borderId="20" xfId="0" applyFont="1" applyFill="1" applyBorder="1"/>
    <xf numFmtId="167" fontId="58" fillId="2" borderId="4" xfId="1" applyNumberFormat="1" applyFont="1" applyFill="1" applyBorder="1" applyAlignment="1"/>
    <xf numFmtId="167" fontId="60" fillId="2" borderId="4" xfId="1" applyNumberFormat="1" applyFont="1" applyFill="1" applyBorder="1" applyAlignment="1"/>
    <xf numFmtId="0" fontId="58" fillId="5" borderId="65" xfId="0" applyFont="1" applyFill="1" applyBorder="1"/>
    <xf numFmtId="0" fontId="58" fillId="2" borderId="66" xfId="0" applyFont="1" applyFill="1" applyBorder="1"/>
    <xf numFmtId="167" fontId="58" fillId="2" borderId="67" xfId="1" applyNumberFormat="1" applyFont="1" applyFill="1" applyBorder="1" applyAlignment="1"/>
    <xf numFmtId="0" fontId="58" fillId="5" borderId="20" xfId="0" applyFont="1" applyFill="1" applyBorder="1"/>
    <xf numFmtId="0" fontId="65" fillId="4" borderId="10" xfId="0" applyFont="1" applyFill="1" applyBorder="1" applyAlignment="1">
      <alignment horizontal="left"/>
    </xf>
    <xf numFmtId="167" fontId="58" fillId="4" borderId="12" xfId="1" applyNumberFormat="1" applyFont="1" applyFill="1" applyBorder="1" applyAlignment="1"/>
    <xf numFmtId="167" fontId="11" fillId="0" borderId="10" xfId="1" applyNumberFormat="1" applyFont="1" applyFill="1" applyBorder="1"/>
    <xf numFmtId="0" fontId="4" fillId="9" borderId="11" xfId="0" applyFont="1" applyFill="1" applyBorder="1"/>
    <xf numFmtId="0" fontId="4" fillId="9" borderId="19" xfId="0" applyFont="1" applyFill="1" applyBorder="1"/>
    <xf numFmtId="0" fontId="11" fillId="9" borderId="19" xfId="0" applyFont="1" applyFill="1" applyBorder="1" applyAlignment="1">
      <alignment horizontal="left" indent="2"/>
    </xf>
    <xf numFmtId="0" fontId="0" fillId="0" borderId="0" xfId="0" applyAlignment="1">
      <alignment horizontal="left"/>
    </xf>
    <xf numFmtId="164" fontId="0" fillId="0" borderId="0" xfId="1" applyFont="1" applyAlignment="1">
      <alignment horizontal="right"/>
    </xf>
    <xf numFmtId="166" fontId="50" fillId="11" borderId="29" xfId="0" applyNumberFormat="1" applyFont="1" applyFill="1" applyBorder="1"/>
    <xf numFmtId="165" fontId="51" fillId="0" borderId="0" xfId="0" applyNumberFormat="1" applyFont="1"/>
    <xf numFmtId="0" fontId="0" fillId="23" borderId="69" xfId="0" applyFill="1" applyBorder="1"/>
    <xf numFmtId="49" fontId="38" fillId="23" borderId="69" xfId="0" applyNumberFormat="1" applyFont="1" applyFill="1" applyBorder="1"/>
    <xf numFmtId="49" fontId="0" fillId="23" borderId="69" xfId="0" applyNumberFormat="1" applyFill="1" applyBorder="1"/>
    <xf numFmtId="0" fontId="38" fillId="23" borderId="69" xfId="0" applyFont="1" applyFill="1" applyBorder="1" applyAlignment="1">
      <alignment horizontal="center"/>
    </xf>
    <xf numFmtId="0" fontId="0" fillId="23" borderId="70" xfId="0" applyFill="1" applyBorder="1"/>
    <xf numFmtId="0" fontId="0" fillId="23" borderId="71" xfId="0" applyFill="1" applyBorder="1"/>
    <xf numFmtId="17" fontId="38" fillId="23" borderId="72" xfId="0" applyNumberFormat="1" applyFont="1" applyFill="1" applyBorder="1" applyAlignment="1">
      <alignment horizontal="center"/>
    </xf>
    <xf numFmtId="49" fontId="38" fillId="23" borderId="71" xfId="0" applyNumberFormat="1" applyFont="1" applyFill="1" applyBorder="1"/>
    <xf numFmtId="173" fontId="38" fillId="23" borderId="72" xfId="0" applyNumberFormat="1" applyFont="1" applyFill="1" applyBorder="1" applyAlignment="1">
      <alignment horizontal="center"/>
    </xf>
    <xf numFmtId="0" fontId="38" fillId="23" borderId="70" xfId="0" applyFont="1" applyFill="1" applyBorder="1" applyAlignment="1">
      <alignment horizontal="left"/>
    </xf>
    <xf numFmtId="0" fontId="0" fillId="23" borderId="73" xfId="0" applyFill="1" applyBorder="1"/>
    <xf numFmtId="49" fontId="66" fillId="23" borderId="75" xfId="0" applyNumberFormat="1" applyFont="1" applyFill="1" applyBorder="1"/>
    <xf numFmtId="0" fontId="0" fillId="23" borderId="76" xfId="0" applyFill="1" applyBorder="1"/>
    <xf numFmtId="0" fontId="0" fillId="23" borderId="77" xfId="0" applyFill="1" applyBorder="1"/>
    <xf numFmtId="173" fontId="38" fillId="23" borderId="78" xfId="0" applyNumberFormat="1" applyFont="1" applyFill="1" applyBorder="1" applyAlignment="1">
      <alignment horizontal="center" wrapText="1"/>
    </xf>
    <xf numFmtId="0" fontId="38" fillId="23" borderId="78" xfId="0" applyFont="1" applyFill="1" applyBorder="1" applyAlignment="1">
      <alignment wrapText="1"/>
    </xf>
    <xf numFmtId="0" fontId="0" fillId="23" borderId="79" xfId="0" applyFill="1" applyBorder="1"/>
    <xf numFmtId="173" fontId="38" fillId="23" borderId="80" xfId="0" applyNumberFormat="1" applyFont="1" applyFill="1" applyBorder="1" applyAlignment="1">
      <alignment horizontal="center" wrapText="1"/>
    </xf>
    <xf numFmtId="3" fontId="38" fillId="23" borderId="78" xfId="0" applyNumberFormat="1" applyFont="1" applyFill="1" applyBorder="1" applyAlignment="1">
      <alignment wrapText="1"/>
    </xf>
    <xf numFmtId="0" fontId="38" fillId="23" borderId="82" xfId="0" applyFont="1" applyFill="1" applyBorder="1" applyAlignment="1">
      <alignment horizontal="center"/>
    </xf>
    <xf numFmtId="9" fontId="0" fillId="23" borderId="82" xfId="0" applyNumberFormat="1" applyFill="1" applyBorder="1"/>
    <xf numFmtId="0" fontId="0" fillId="23" borderId="82" xfId="0" applyFill="1" applyBorder="1"/>
    <xf numFmtId="0" fontId="38" fillId="23" borderId="70" xfId="0" applyFont="1" applyFill="1" applyBorder="1" applyAlignment="1">
      <alignment horizontal="center"/>
    </xf>
    <xf numFmtId="49" fontId="0" fillId="23" borderId="75" xfId="0" applyNumberFormat="1" applyFill="1" applyBorder="1"/>
    <xf numFmtId="173" fontId="0" fillId="23" borderId="78" xfId="0" applyNumberFormat="1" applyFill="1" applyBorder="1"/>
    <xf numFmtId="173" fontId="0" fillId="23" borderId="80" xfId="0" applyNumberFormat="1" applyFill="1" applyBorder="1"/>
    <xf numFmtId="0" fontId="38" fillId="23" borderId="73" xfId="0" applyFont="1" applyFill="1" applyBorder="1" applyAlignment="1">
      <alignment horizontal="center"/>
    </xf>
    <xf numFmtId="0" fontId="38" fillId="23" borderId="73" xfId="0" applyFont="1" applyFill="1" applyBorder="1" applyAlignment="1">
      <alignment horizontal="center" wrapText="1"/>
    </xf>
    <xf numFmtId="49" fontId="38" fillId="23" borderId="72" xfId="0" applyNumberFormat="1" applyFont="1" applyFill="1" applyBorder="1"/>
    <xf numFmtId="0" fontId="38" fillId="23" borderId="72" xfId="0" applyFont="1" applyFill="1" applyBorder="1" applyAlignment="1">
      <alignment horizontal="center" wrapText="1"/>
    </xf>
    <xf numFmtId="0" fontId="57" fillId="23" borderId="72" xfId="0" applyFont="1" applyFill="1" applyBorder="1" applyAlignment="1">
      <alignment horizontal="left"/>
    </xf>
    <xf numFmtId="173" fontId="38" fillId="23" borderId="72" xfId="0" applyNumberFormat="1" applyFont="1" applyFill="1" applyBorder="1"/>
    <xf numFmtId="173" fontId="38" fillId="23" borderId="72" xfId="0" applyNumberFormat="1" applyFont="1" applyFill="1" applyBorder="1" applyAlignment="1">
      <alignment horizontal="center" wrapText="1"/>
    </xf>
    <xf numFmtId="175" fontId="38" fillId="23" borderId="72" xfId="0" applyNumberFormat="1" applyFont="1" applyFill="1" applyBorder="1" applyAlignment="1">
      <alignment horizontal="center" wrapText="1"/>
    </xf>
    <xf numFmtId="173" fontId="38" fillId="23" borderId="83" xfId="0" applyNumberFormat="1" applyFont="1" applyFill="1" applyBorder="1"/>
    <xf numFmtId="173" fontId="38" fillId="23" borderId="84" xfId="0" applyNumberFormat="1" applyFont="1" applyFill="1" applyBorder="1" applyAlignment="1">
      <alignment horizontal="center" wrapText="1"/>
    </xf>
    <xf numFmtId="175" fontId="38" fillId="23" borderId="84" xfId="0" applyNumberFormat="1" applyFont="1" applyFill="1" applyBorder="1" applyAlignment="1">
      <alignment horizontal="center" wrapText="1"/>
    </xf>
    <xf numFmtId="173" fontId="38" fillId="23" borderId="85" xfId="0" applyNumberFormat="1" applyFont="1" applyFill="1" applyBorder="1"/>
    <xf numFmtId="173" fontId="38" fillId="23" borderId="86" xfId="0" applyNumberFormat="1" applyFont="1" applyFill="1" applyBorder="1" applyAlignment="1">
      <alignment horizontal="center" wrapText="1"/>
    </xf>
    <xf numFmtId="175" fontId="38" fillId="23" borderId="86" xfId="0" applyNumberFormat="1" applyFont="1" applyFill="1" applyBorder="1" applyAlignment="1">
      <alignment horizontal="center" wrapText="1"/>
    </xf>
    <xf numFmtId="49" fontId="38" fillId="23" borderId="87" xfId="0" applyNumberFormat="1" applyFont="1" applyFill="1" applyBorder="1" applyAlignment="1">
      <alignment horizontal="left"/>
    </xf>
    <xf numFmtId="49" fontId="38" fillId="23" borderId="87" xfId="0" applyNumberFormat="1" applyFont="1" applyFill="1" applyBorder="1"/>
    <xf numFmtId="0" fontId="38" fillId="23" borderId="72" xfId="0" applyFont="1" applyFill="1" applyBorder="1"/>
    <xf numFmtId="174" fontId="38" fillId="23" borderId="72" xfId="0" applyNumberFormat="1" applyFont="1" applyFill="1" applyBorder="1"/>
    <xf numFmtId="49" fontId="57" fillId="23" borderId="72" xfId="0" applyNumberFormat="1" applyFont="1" applyFill="1" applyBorder="1" applyAlignment="1">
      <alignment horizontal="left"/>
    </xf>
    <xf numFmtId="49" fontId="38" fillId="23" borderId="72" xfId="0" applyNumberFormat="1" applyFont="1" applyFill="1" applyBorder="1" applyAlignment="1">
      <alignment horizontal="center"/>
    </xf>
    <xf numFmtId="49" fontId="38" fillId="23" borderId="88" xfId="0" applyNumberFormat="1" applyFont="1" applyFill="1" applyBorder="1"/>
    <xf numFmtId="49" fontId="38" fillId="23" borderId="89" xfId="0" applyNumberFormat="1" applyFont="1" applyFill="1" applyBorder="1" applyAlignment="1">
      <alignment horizontal="center" wrapText="1"/>
    </xf>
    <xf numFmtId="49" fontId="38" fillId="23" borderId="72" xfId="0" applyNumberFormat="1" applyFont="1" applyFill="1" applyBorder="1" applyAlignment="1">
      <alignment horizontal="center" wrapText="1"/>
    </xf>
    <xf numFmtId="173" fontId="0" fillId="23" borderId="73" xfId="0" applyNumberFormat="1" applyFill="1" applyBorder="1"/>
    <xf numFmtId="173" fontId="38" fillId="23" borderId="75" xfId="0" applyNumberFormat="1" applyFont="1" applyFill="1" applyBorder="1" applyAlignment="1">
      <alignment horizontal="center" wrapText="1"/>
    </xf>
    <xf numFmtId="0" fontId="67" fillId="23" borderId="72" xfId="0" applyFont="1" applyFill="1" applyBorder="1" applyAlignment="1">
      <alignment horizontal="left"/>
    </xf>
    <xf numFmtId="49" fontId="38" fillId="23" borderId="87" xfId="0" applyNumberFormat="1" applyFont="1" applyFill="1" applyBorder="1" applyAlignment="1">
      <alignment horizontal="center"/>
    </xf>
    <xf numFmtId="174" fontId="38" fillId="23" borderId="91" xfId="0" applyNumberFormat="1" applyFont="1" applyFill="1" applyBorder="1"/>
    <xf numFmtId="49" fontId="38" fillId="23" borderId="74" xfId="0" applyNumberFormat="1" applyFont="1" applyFill="1" applyBorder="1"/>
    <xf numFmtId="49" fontId="38" fillId="23" borderId="74" xfId="0" applyNumberFormat="1" applyFont="1" applyFill="1" applyBorder="1" applyAlignment="1">
      <alignment horizontal="center" wrapText="1"/>
    </xf>
    <xf numFmtId="49" fontId="38" fillId="23" borderId="75" xfId="0" applyNumberFormat="1" applyFont="1" applyFill="1" applyBorder="1"/>
    <xf numFmtId="0" fontId="38" fillId="23" borderId="75" xfId="0" applyFont="1" applyFill="1" applyBorder="1"/>
    <xf numFmtId="49" fontId="38" fillId="23" borderId="81" xfId="0" applyNumberFormat="1" applyFont="1" applyFill="1" applyBorder="1" applyAlignment="1">
      <alignment horizontal="center"/>
    </xf>
    <xf numFmtId="173" fontId="57" fillId="23" borderId="82" xfId="0" applyNumberFormat="1" applyFont="1" applyFill="1" applyBorder="1" applyAlignment="1">
      <alignment horizontal="right"/>
    </xf>
    <xf numFmtId="174" fontId="0" fillId="23" borderId="82" xfId="0" applyNumberFormat="1" applyFill="1" applyBorder="1"/>
    <xf numFmtId="49" fontId="68" fillId="23" borderId="85" xfId="0" applyNumberFormat="1" applyFont="1" applyFill="1" applyBorder="1"/>
    <xf numFmtId="174" fontId="38" fillId="23" borderId="72" xfId="0" applyNumberFormat="1" applyFont="1" applyFill="1" applyBorder="1" applyAlignment="1">
      <alignment horizontal="center"/>
    </xf>
    <xf numFmtId="173" fontId="0" fillId="23" borderId="72" xfId="0" applyNumberFormat="1" applyFill="1" applyBorder="1"/>
    <xf numFmtId="0" fontId="0" fillId="3" borderId="69" xfId="0" applyFill="1" applyBorder="1"/>
    <xf numFmtId="49" fontId="38" fillId="2" borderId="72" xfId="0" applyNumberFormat="1" applyFont="1" applyFill="1" applyBorder="1" applyAlignment="1">
      <alignment horizontal="center"/>
    </xf>
    <xf numFmtId="17" fontId="38" fillId="2" borderId="72" xfId="0" applyNumberFormat="1" applyFont="1" applyFill="1" applyBorder="1" applyAlignment="1">
      <alignment horizontal="center"/>
    </xf>
    <xf numFmtId="49" fontId="38" fillId="2" borderId="74" xfId="0" applyNumberFormat="1" applyFont="1" applyFill="1" applyBorder="1"/>
    <xf numFmtId="49" fontId="38" fillId="2" borderId="74" xfId="0" applyNumberFormat="1" applyFont="1" applyFill="1" applyBorder="1" applyAlignment="1">
      <alignment horizontal="center" wrapText="1"/>
    </xf>
    <xf numFmtId="0" fontId="0" fillId="2" borderId="71" xfId="0" applyFill="1" applyBorder="1"/>
    <xf numFmtId="49" fontId="38" fillId="2" borderId="81" xfId="0" applyNumberFormat="1" applyFont="1" applyFill="1" applyBorder="1" applyAlignment="1">
      <alignment horizontal="center"/>
    </xf>
    <xf numFmtId="174" fontId="38" fillId="2" borderId="81" xfId="0" applyNumberFormat="1" applyFont="1" applyFill="1" applyBorder="1"/>
    <xf numFmtId="49" fontId="38" fillId="2" borderId="92" xfId="0" applyNumberFormat="1" applyFont="1" applyFill="1" applyBorder="1" applyAlignment="1">
      <alignment horizontal="center" wrapText="1"/>
    </xf>
    <xf numFmtId="0" fontId="38" fillId="2" borderId="72" xfId="0" applyFont="1" applyFill="1" applyBorder="1" applyAlignment="1">
      <alignment horizontal="left"/>
    </xf>
    <xf numFmtId="49" fontId="38" fillId="2" borderId="72" xfId="0" applyNumberFormat="1" applyFont="1" applyFill="1" applyBorder="1" applyAlignment="1">
      <alignment horizontal="left"/>
    </xf>
    <xf numFmtId="49" fontId="38" fillId="2" borderId="72" xfId="0" applyNumberFormat="1" applyFont="1" applyFill="1" applyBorder="1" applyAlignment="1">
      <alignment horizontal="center" wrapText="1"/>
    </xf>
    <xf numFmtId="0" fontId="57" fillId="2" borderId="72" xfId="0" applyFont="1" applyFill="1" applyBorder="1" applyAlignment="1">
      <alignment horizontal="left"/>
    </xf>
    <xf numFmtId="174" fontId="38" fillId="2" borderId="72" xfId="0" applyNumberFormat="1" applyFont="1" applyFill="1" applyBorder="1"/>
    <xf numFmtId="173" fontId="38" fillId="2" borderId="84" xfId="0" applyNumberFormat="1" applyFont="1" applyFill="1" applyBorder="1" applyAlignment="1">
      <alignment horizontal="center" wrapText="1"/>
    </xf>
    <xf numFmtId="173" fontId="38" fillId="2" borderId="86" xfId="0" applyNumberFormat="1" applyFont="1" applyFill="1" applyBorder="1" applyAlignment="1">
      <alignment horizontal="center" wrapText="1"/>
    </xf>
    <xf numFmtId="49" fontId="38" fillId="2" borderId="87" xfId="0" applyNumberFormat="1" applyFont="1" applyFill="1" applyBorder="1"/>
    <xf numFmtId="173" fontId="38" fillId="2" borderId="78" xfId="0" applyNumberFormat="1" applyFont="1" applyFill="1" applyBorder="1" applyAlignment="1">
      <alignment horizontal="center" wrapText="1"/>
    </xf>
    <xf numFmtId="173" fontId="38" fillId="2" borderId="80" xfId="0" applyNumberFormat="1" applyFont="1" applyFill="1" applyBorder="1" applyAlignment="1">
      <alignment horizontal="center" wrapText="1"/>
    </xf>
    <xf numFmtId="49" fontId="38" fillId="2" borderId="83" xfId="0" applyNumberFormat="1" applyFont="1" applyFill="1" applyBorder="1"/>
    <xf numFmtId="17" fontId="38" fillId="2" borderId="74" xfId="0" applyNumberFormat="1" applyFont="1" applyFill="1" applyBorder="1" applyAlignment="1">
      <alignment horizontal="center"/>
    </xf>
    <xf numFmtId="49" fontId="38" fillId="2" borderId="72" xfId="0" applyNumberFormat="1" applyFont="1" applyFill="1" applyBorder="1"/>
    <xf numFmtId="173" fontId="38" fillId="2" borderId="75" xfId="0" applyNumberFormat="1" applyFont="1" applyFill="1" applyBorder="1" applyAlignment="1">
      <alignment horizontal="center" wrapText="1"/>
    </xf>
    <xf numFmtId="0" fontId="38" fillId="2" borderId="78" xfId="0" applyFont="1" applyFill="1" applyBorder="1" applyAlignment="1">
      <alignment wrapText="1"/>
    </xf>
    <xf numFmtId="173" fontId="38" fillId="2" borderId="85" xfId="0" applyNumberFormat="1" applyFont="1" applyFill="1" applyBorder="1" applyAlignment="1">
      <alignment horizontal="center" wrapText="1"/>
    </xf>
    <xf numFmtId="173" fontId="66" fillId="2" borderId="86" xfId="0" applyNumberFormat="1" applyFont="1" applyFill="1" applyBorder="1" applyAlignment="1">
      <alignment horizontal="center" wrapText="1"/>
    </xf>
    <xf numFmtId="173" fontId="38" fillId="2" borderId="90" xfId="0" applyNumberFormat="1" applyFont="1" applyFill="1" applyBorder="1" applyAlignment="1">
      <alignment horizontal="center" wrapText="1"/>
    </xf>
    <xf numFmtId="173" fontId="66" fillId="2" borderId="78" xfId="0" applyNumberFormat="1" applyFont="1" applyFill="1" applyBorder="1" applyAlignment="1">
      <alignment horizontal="center" wrapText="1"/>
    </xf>
    <xf numFmtId="49" fontId="38" fillId="2" borderId="74" xfId="0" applyNumberFormat="1" applyFont="1" applyFill="1" applyBorder="1" applyAlignment="1">
      <alignment horizontal="center"/>
    </xf>
    <xf numFmtId="173" fontId="38" fillId="2" borderId="72" xfId="0" applyNumberFormat="1" applyFont="1" applyFill="1" applyBorder="1"/>
    <xf numFmtId="173" fontId="38" fillId="2" borderId="74" xfId="0" applyNumberFormat="1" applyFont="1" applyFill="1" applyBorder="1"/>
    <xf numFmtId="173" fontId="11" fillId="0" borderId="0" xfId="0" applyNumberFormat="1" applyFont="1"/>
    <xf numFmtId="166" fontId="53" fillId="4" borderId="10" xfId="0" applyNumberFormat="1" applyFont="1" applyFill="1" applyBorder="1"/>
    <xf numFmtId="0" fontId="50" fillId="4" borderId="37" xfId="0" applyFont="1" applyFill="1" applyBorder="1"/>
    <xf numFmtId="41" fontId="22" fillId="2" borderId="27" xfId="10" applyFont="1" applyFill="1" applyBorder="1" applyAlignment="1">
      <alignment horizontal="center"/>
    </xf>
    <xf numFmtId="14" fontId="22" fillId="2" borderId="58" xfId="0" applyNumberFormat="1" applyFont="1" applyFill="1" applyBorder="1" applyAlignment="1">
      <alignment horizontal="center"/>
    </xf>
    <xf numFmtId="167" fontId="52" fillId="4" borderId="6" xfId="1" applyNumberFormat="1" applyFont="1" applyFill="1" applyBorder="1" applyAlignment="1">
      <alignment horizontal="center"/>
    </xf>
    <xf numFmtId="166" fontId="47" fillId="0" borderId="98" xfId="0" applyNumberFormat="1" applyFont="1" applyBorder="1"/>
    <xf numFmtId="0" fontId="71" fillId="3" borderId="0" xfId="0" applyFont="1" applyFill="1" applyAlignment="1">
      <alignment horizontal="center" vertical="center" wrapText="1"/>
    </xf>
    <xf numFmtId="0" fontId="11" fillId="3" borderId="0" xfId="0" applyFont="1" applyFill="1"/>
    <xf numFmtId="0" fontId="72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vertical="center" wrapText="1"/>
    </xf>
    <xf numFmtId="0" fontId="74" fillId="3" borderId="0" xfId="0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 wrapText="1"/>
    </xf>
    <xf numFmtId="0" fontId="74" fillId="3" borderId="0" xfId="0" applyFont="1" applyFill="1" applyAlignment="1">
      <alignment vertical="center" wrapText="1"/>
    </xf>
    <xf numFmtId="3" fontId="73" fillId="3" borderId="0" xfId="0" applyNumberFormat="1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/>
    </xf>
    <xf numFmtId="3" fontId="74" fillId="3" borderId="0" xfId="0" applyNumberFormat="1" applyFont="1" applyFill="1" applyAlignment="1">
      <alignment horizontal="right" vertical="center"/>
    </xf>
    <xf numFmtId="3" fontId="74" fillId="3" borderId="1" xfId="0" applyNumberFormat="1" applyFont="1" applyFill="1" applyBorder="1" applyAlignment="1">
      <alignment horizontal="right" vertical="center"/>
    </xf>
    <xf numFmtId="0" fontId="73" fillId="3" borderId="28" xfId="0" applyFont="1" applyFill="1" applyBorder="1" applyAlignment="1">
      <alignment vertical="center" wrapText="1"/>
    </xf>
    <xf numFmtId="3" fontId="73" fillId="3" borderId="1" xfId="0" applyNumberFormat="1" applyFont="1" applyFill="1" applyBorder="1" applyAlignment="1">
      <alignment horizontal="right" vertical="center"/>
    </xf>
    <xf numFmtId="0" fontId="71" fillId="3" borderId="0" xfId="0" applyFont="1" applyFill="1" applyAlignment="1">
      <alignment horizontal="right" vertical="center" wrapText="1"/>
    </xf>
    <xf numFmtId="0" fontId="71" fillId="3" borderId="0" xfId="0" applyFont="1" applyFill="1" applyAlignment="1">
      <alignment horizontal="right" vertical="center"/>
    </xf>
    <xf numFmtId="3" fontId="73" fillId="3" borderId="28" xfId="0" applyNumberFormat="1" applyFont="1" applyFill="1" applyBorder="1" applyAlignment="1">
      <alignment horizontal="right" vertical="center"/>
    </xf>
    <xf numFmtId="3" fontId="11" fillId="3" borderId="0" xfId="0" applyNumberFormat="1" applyFont="1" applyFill="1"/>
    <xf numFmtId="0" fontId="74" fillId="21" borderId="0" xfId="0" applyFont="1" applyFill="1" applyAlignment="1">
      <alignment vertical="center" wrapText="1"/>
    </xf>
    <xf numFmtId="3" fontId="73" fillId="3" borderId="55" xfId="0" applyNumberFormat="1" applyFont="1" applyFill="1" applyBorder="1" applyAlignment="1">
      <alignment horizontal="right" vertical="center"/>
    </xf>
    <xf numFmtId="0" fontId="73" fillId="3" borderId="0" xfId="0" applyFont="1" applyFill="1" applyAlignment="1">
      <alignment horizontal="center" vertical="center" wrapText="1"/>
    </xf>
    <xf numFmtId="0" fontId="46" fillId="0" borderId="1" xfId="0" applyFont="1" applyBorder="1" applyAlignment="1">
      <alignment vertical="center"/>
    </xf>
    <xf numFmtId="0" fontId="46" fillId="20" borderId="10" xfId="0" applyFont="1" applyFill="1" applyBorder="1" applyAlignment="1">
      <alignment horizontal="center" vertical="center"/>
    </xf>
    <xf numFmtId="0" fontId="46" fillId="20" borderId="12" xfId="0" applyFont="1" applyFill="1" applyBorder="1" applyAlignment="1">
      <alignment horizontal="center" vertical="center"/>
    </xf>
    <xf numFmtId="0" fontId="75" fillId="0" borderId="20" xfId="0" applyFont="1" applyBorder="1" applyAlignment="1">
      <alignment vertical="center"/>
    </xf>
    <xf numFmtId="3" fontId="75" fillId="0" borderId="4" xfId="0" applyNumberFormat="1" applyFont="1" applyBorder="1" applyAlignment="1">
      <alignment vertical="center"/>
    </xf>
    <xf numFmtId="0" fontId="75" fillId="0" borderId="95" xfId="0" applyFont="1" applyBorder="1" applyAlignment="1">
      <alignment horizontal="center" vertical="center"/>
    </xf>
    <xf numFmtId="3" fontId="22" fillId="0" borderId="95" xfId="0" applyNumberFormat="1" applyFont="1" applyBorder="1"/>
    <xf numFmtId="0" fontId="75" fillId="0" borderId="1" xfId="0" applyFont="1" applyBorder="1" applyAlignment="1">
      <alignment vertical="center"/>
    </xf>
    <xf numFmtId="0" fontId="45" fillId="0" borderId="103" xfId="0" applyFont="1" applyBorder="1" applyAlignment="1">
      <alignment vertical="center"/>
    </xf>
    <xf numFmtId="172" fontId="0" fillId="0" borderId="0" xfId="0" applyNumberFormat="1" applyAlignment="1">
      <alignment horizontal="center"/>
    </xf>
    <xf numFmtId="172" fontId="0" fillId="0" borderId="0" xfId="0" applyNumberFormat="1"/>
    <xf numFmtId="164" fontId="2" fillId="24" borderId="7" xfId="1" applyFont="1" applyFill="1" applyBorder="1" applyAlignment="1">
      <alignment horizontal="center"/>
    </xf>
    <xf numFmtId="0" fontId="66" fillId="23" borderId="75" xfId="0" applyFont="1" applyFill="1" applyBorder="1"/>
    <xf numFmtId="173" fontId="38" fillId="23" borderId="105" xfId="0" applyNumberFormat="1" applyFont="1" applyFill="1" applyBorder="1" applyAlignment="1">
      <alignment horizontal="center" wrapText="1"/>
    </xf>
    <xf numFmtId="0" fontId="50" fillId="4" borderId="107" xfId="0" applyFont="1" applyFill="1" applyBorder="1"/>
    <xf numFmtId="0" fontId="52" fillId="4" borderId="32" xfId="0" applyFont="1" applyFill="1" applyBorder="1"/>
    <xf numFmtId="0" fontId="78" fillId="0" borderId="0" xfId="0" applyFont="1"/>
    <xf numFmtId="0" fontId="79" fillId="0" borderId="0" xfId="0" applyFont="1"/>
    <xf numFmtId="0" fontId="79" fillId="0" borderId="0" xfId="0" applyFont="1" applyAlignment="1">
      <alignment horizontal="center"/>
    </xf>
    <xf numFmtId="0" fontId="78" fillId="0" borderId="10" xfId="0" applyFont="1" applyBorder="1" applyAlignment="1">
      <alignment horizontal="center"/>
    </xf>
    <xf numFmtId="17" fontId="78" fillId="0" borderId="10" xfId="0" applyNumberFormat="1" applyFont="1" applyBorder="1" applyAlignment="1">
      <alignment horizontal="center"/>
    </xf>
    <xf numFmtId="8" fontId="78" fillId="0" borderId="10" xfId="0" applyNumberFormat="1" applyFont="1" applyBorder="1" applyAlignment="1">
      <alignment horizontal="center"/>
    </xf>
    <xf numFmtId="0" fontId="78" fillId="0" borderId="0" xfId="0" applyFont="1" applyAlignment="1">
      <alignment horizontal="left"/>
    </xf>
    <xf numFmtId="0" fontId="78" fillId="28" borderId="11" xfId="0" applyFont="1" applyFill="1" applyBorder="1" applyAlignment="1">
      <alignment horizontal="center"/>
    </xf>
    <xf numFmtId="0" fontId="78" fillId="28" borderId="10" xfId="0" applyFont="1" applyFill="1" applyBorder="1" applyAlignment="1">
      <alignment horizontal="center"/>
    </xf>
    <xf numFmtId="17" fontId="78" fillId="28" borderId="10" xfId="0" applyNumberFormat="1" applyFont="1" applyFill="1" applyBorder="1" applyAlignment="1">
      <alignment horizontal="center"/>
    </xf>
    <xf numFmtId="0" fontId="78" fillId="28" borderId="19" xfId="0" applyFont="1" applyFill="1" applyBorder="1"/>
    <xf numFmtId="0" fontId="78" fillId="28" borderId="2" xfId="0" applyFont="1" applyFill="1" applyBorder="1" applyAlignment="1">
      <alignment horizontal="center" wrapText="1"/>
    </xf>
    <xf numFmtId="0" fontId="80" fillId="0" borderId="68" xfId="0" applyFont="1" applyBorder="1"/>
    <xf numFmtId="3" fontId="78" fillId="0" borderId="98" xfId="0" applyNumberFormat="1" applyFont="1" applyBorder="1" applyAlignment="1">
      <alignment horizontal="center" wrapText="1"/>
    </xf>
    <xf numFmtId="0" fontId="78" fillId="0" borderId="98" xfId="0" applyFont="1" applyBorder="1" applyAlignment="1">
      <alignment horizontal="center" wrapText="1"/>
    </xf>
    <xf numFmtId="0" fontId="78" fillId="0" borderId="109" xfId="0" applyFont="1" applyBorder="1" applyAlignment="1">
      <alignment horizontal="center" wrapText="1"/>
    </xf>
    <xf numFmtId="3" fontId="78" fillId="0" borderId="108" xfId="0" applyNumberFormat="1" applyFont="1" applyBorder="1" applyAlignment="1">
      <alignment horizontal="center" wrapText="1"/>
    </xf>
    <xf numFmtId="4" fontId="78" fillId="0" borderId="98" xfId="0" applyNumberFormat="1" applyFont="1" applyBorder="1" applyAlignment="1">
      <alignment horizontal="center" wrapText="1"/>
    </xf>
    <xf numFmtId="0" fontId="78" fillId="29" borderId="20" xfId="0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78" fillId="28" borderId="101" xfId="0" applyFont="1" applyFill="1" applyBorder="1" applyAlignment="1">
      <alignment horizontal="center"/>
    </xf>
    <xf numFmtId="0" fontId="78" fillId="0" borderId="108" xfId="0" applyFont="1" applyBorder="1" applyAlignment="1">
      <alignment horizontal="center" wrapText="1"/>
    </xf>
    <xf numFmtId="0" fontId="78" fillId="28" borderId="101" xfId="0" applyFont="1" applyFill="1" applyBorder="1" applyAlignment="1">
      <alignment horizontal="center" wrapText="1"/>
    </xf>
    <xf numFmtId="3" fontId="78" fillId="28" borderId="10" xfId="0" applyNumberFormat="1" applyFont="1" applyFill="1" applyBorder="1"/>
    <xf numFmtId="0" fontId="78" fillId="29" borderId="11" xfId="0" applyFont="1" applyFill="1" applyBorder="1" applyAlignment="1">
      <alignment horizontal="center"/>
    </xf>
    <xf numFmtId="0" fontId="78" fillId="29" borderId="10" xfId="0" applyFont="1" applyFill="1" applyBorder="1" applyAlignment="1">
      <alignment horizontal="center"/>
    </xf>
    <xf numFmtId="17" fontId="78" fillId="29" borderId="10" xfId="0" applyNumberFormat="1" applyFont="1" applyFill="1" applyBorder="1" applyAlignment="1">
      <alignment horizontal="center"/>
    </xf>
    <xf numFmtId="0" fontId="78" fillId="0" borderId="101" xfId="0" applyFont="1" applyBorder="1"/>
    <xf numFmtId="0" fontId="78" fillId="0" borderId="101" xfId="0" applyFont="1" applyBorder="1" applyAlignment="1">
      <alignment horizontal="center" wrapText="1"/>
    </xf>
    <xf numFmtId="3" fontId="78" fillId="0" borderId="101" xfId="0" applyNumberFormat="1" applyFont="1" applyBorder="1" applyAlignment="1">
      <alignment horizontal="right" wrapText="1"/>
    </xf>
    <xf numFmtId="0" fontId="78" fillId="0" borderId="101" xfId="0" applyFont="1" applyBorder="1" applyAlignment="1">
      <alignment horizontal="right" wrapText="1"/>
    </xf>
    <xf numFmtId="3" fontId="78" fillId="28" borderId="98" xfId="0" applyNumberFormat="1" applyFont="1" applyFill="1" applyBorder="1" applyAlignment="1">
      <alignment horizontal="center" wrapText="1"/>
    </xf>
    <xf numFmtId="0" fontId="78" fillId="28" borderId="98" xfId="0" applyFont="1" applyFill="1" applyBorder="1" applyAlignment="1">
      <alignment horizontal="center" wrapText="1"/>
    </xf>
    <xf numFmtId="0" fontId="78" fillId="28" borderId="109" xfId="0" applyFont="1" applyFill="1" applyBorder="1" applyAlignment="1">
      <alignment horizontal="center" wrapText="1"/>
    </xf>
    <xf numFmtId="0" fontId="78" fillId="0" borderId="2" xfId="0" applyFont="1" applyBorder="1" applyAlignment="1">
      <alignment horizontal="center" wrapText="1"/>
    </xf>
    <xf numFmtId="0" fontId="79" fillId="0" borderId="103" xfId="0" applyFont="1" applyBorder="1"/>
    <xf numFmtId="0" fontId="79" fillId="0" borderId="103" xfId="0" applyFont="1" applyBorder="1" applyAlignment="1">
      <alignment horizontal="right"/>
    </xf>
    <xf numFmtId="0" fontId="78" fillId="0" borderId="101" xfId="0" applyFont="1" applyBorder="1" applyAlignment="1">
      <alignment horizontal="center"/>
    </xf>
    <xf numFmtId="0" fontId="78" fillId="0" borderId="11" xfId="0" applyFont="1" applyBorder="1"/>
    <xf numFmtId="0" fontId="78" fillId="0" borderId="10" xfId="0" applyFont="1" applyBorder="1" applyAlignment="1">
      <alignment horizontal="center" wrapText="1"/>
    </xf>
    <xf numFmtId="0" fontId="79" fillId="0" borderId="11" xfId="0" applyFont="1" applyBorder="1" applyAlignment="1">
      <alignment horizontal="left" indent="2"/>
    </xf>
    <xf numFmtId="0" fontId="78" fillId="31" borderId="98" xfId="0" applyFont="1" applyFill="1" applyBorder="1" applyAlignment="1">
      <alignment horizontal="center" wrapText="1"/>
    </xf>
    <xf numFmtId="0" fontId="78" fillId="0" borderId="11" xfId="0" applyFont="1" applyBorder="1" applyAlignment="1">
      <alignment horizontal="center"/>
    </xf>
    <xf numFmtId="0" fontId="78" fillId="0" borderId="10" xfId="0" applyFont="1" applyBorder="1"/>
    <xf numFmtId="0" fontId="82" fillId="0" borderId="108" xfId="0" applyFont="1" applyBorder="1" applyAlignment="1">
      <alignment horizontal="center" wrapText="1"/>
    </xf>
    <xf numFmtId="0" fontId="82" fillId="0" borderId="98" xfId="0" applyFont="1" applyBorder="1" applyAlignment="1">
      <alignment horizontal="center" wrapText="1"/>
    </xf>
    <xf numFmtId="0" fontId="82" fillId="0" borderId="109" xfId="0" applyFont="1" applyBorder="1" applyAlignment="1">
      <alignment horizontal="center" wrapText="1"/>
    </xf>
    <xf numFmtId="3" fontId="78" fillId="0" borderId="101" xfId="0" applyNumberFormat="1" applyFont="1" applyBorder="1"/>
    <xf numFmtId="0" fontId="79" fillId="32" borderId="98" xfId="0" applyFont="1" applyFill="1" applyBorder="1" applyAlignment="1">
      <alignment horizontal="left"/>
    </xf>
    <xf numFmtId="0" fontId="79" fillId="33" borderId="98" xfId="0" applyFont="1" applyFill="1" applyBorder="1" applyAlignment="1">
      <alignment horizontal="left"/>
    </xf>
    <xf numFmtId="0" fontId="79" fillId="29" borderId="98" xfId="0" applyFont="1" applyFill="1" applyBorder="1" applyAlignment="1">
      <alignment horizontal="left"/>
    </xf>
    <xf numFmtId="0" fontId="78" fillId="0" borderId="1" xfId="0" applyFont="1" applyBorder="1" applyAlignment="1">
      <alignment horizontal="center"/>
    </xf>
    <xf numFmtId="0" fontId="78" fillId="28" borderId="99" xfId="0" applyFont="1" applyFill="1" applyBorder="1" applyAlignment="1">
      <alignment horizontal="center" wrapText="1"/>
    </xf>
    <xf numFmtId="0" fontId="81" fillId="28" borderId="99" xfId="0" applyFont="1" applyFill="1" applyBorder="1" applyAlignment="1">
      <alignment horizontal="center" wrapText="1"/>
    </xf>
    <xf numFmtId="0" fontId="78" fillId="29" borderId="101" xfId="0" applyFont="1" applyFill="1" applyBorder="1"/>
    <xf numFmtId="3" fontId="78" fillId="29" borderId="101" xfId="0" applyNumberFormat="1" applyFont="1" applyFill="1" applyBorder="1"/>
    <xf numFmtId="0" fontId="78" fillId="29" borderId="4" xfId="0" applyFont="1" applyFill="1" applyBorder="1"/>
    <xf numFmtId="3" fontId="78" fillId="29" borderId="4" xfId="0" applyNumberFormat="1" applyFont="1" applyFill="1" applyBorder="1"/>
    <xf numFmtId="3" fontId="78" fillId="30" borderId="4" xfId="0" applyNumberFormat="1" applyFont="1" applyFill="1" applyBorder="1"/>
    <xf numFmtId="0" fontId="78" fillId="29" borderId="67" xfId="0" applyFont="1" applyFill="1" applyBorder="1"/>
    <xf numFmtId="0" fontId="78" fillId="30" borderId="20" xfId="0" applyFont="1" applyFill="1" applyBorder="1"/>
    <xf numFmtId="3" fontId="78" fillId="30" borderId="20" xfId="0" applyNumberFormat="1" applyFont="1" applyFill="1" applyBorder="1"/>
    <xf numFmtId="3" fontId="78" fillId="28" borderId="101" xfId="0" applyNumberFormat="1" applyFont="1" applyFill="1" applyBorder="1"/>
    <xf numFmtId="0" fontId="84" fillId="0" borderId="113" xfId="0" applyFont="1" applyBorder="1"/>
    <xf numFmtId="0" fontId="78" fillId="28" borderId="20" xfId="0" applyFont="1" applyFill="1" applyBorder="1" applyAlignment="1">
      <alignment horizontal="center"/>
    </xf>
    <xf numFmtId="0" fontId="79" fillId="28" borderId="10" xfId="0" applyFont="1" applyFill="1" applyBorder="1"/>
    <xf numFmtId="0" fontId="79" fillId="0" borderId="19" xfId="0" applyFont="1" applyBorder="1" applyAlignment="1">
      <alignment horizontal="left" indent="2"/>
    </xf>
    <xf numFmtId="0" fontId="78" fillId="0" borderId="19" xfId="0" applyFont="1" applyBorder="1"/>
    <xf numFmtId="0" fontId="78" fillId="0" borderId="3" xfId="0" applyFont="1" applyBorder="1" applyAlignment="1">
      <alignment horizontal="center"/>
    </xf>
    <xf numFmtId="0" fontId="79" fillId="0" borderId="19" xfId="0" applyFont="1" applyBorder="1" applyAlignment="1">
      <alignment horizontal="left" indent="3"/>
    </xf>
    <xf numFmtId="0" fontId="82" fillId="0" borderId="19" xfId="0" applyFont="1" applyBorder="1" applyAlignment="1">
      <alignment horizontal="left" indent="3"/>
    </xf>
    <xf numFmtId="0" fontId="78" fillId="0" borderId="64" xfId="0" applyFont="1" applyBorder="1" applyAlignment="1">
      <alignment horizontal="center"/>
    </xf>
    <xf numFmtId="0" fontId="78" fillId="34" borderId="11" xfId="0" applyFont="1" applyFill="1" applyBorder="1"/>
    <xf numFmtId="0" fontId="78" fillId="29" borderId="10" xfId="0" applyFont="1" applyFill="1" applyBorder="1"/>
    <xf numFmtId="0" fontId="78" fillId="29" borderId="20" xfId="0" applyFont="1" applyFill="1" applyBorder="1"/>
    <xf numFmtId="0" fontId="78" fillId="30" borderId="115" xfId="0" applyFont="1" applyFill="1" applyBorder="1"/>
    <xf numFmtId="0" fontId="78" fillId="29" borderId="66" xfId="0" applyFont="1" applyFill="1" applyBorder="1"/>
    <xf numFmtId="0" fontId="83" fillId="28" borderId="95" xfId="0" applyFont="1" applyFill="1" applyBorder="1" applyAlignment="1">
      <alignment horizontal="left"/>
    </xf>
    <xf numFmtId="3" fontId="79" fillId="0" borderId="0" xfId="0" applyNumberFormat="1" applyFont="1"/>
    <xf numFmtId="3" fontId="71" fillId="3" borderId="0" xfId="0" applyNumberFormat="1" applyFont="1" applyFill="1" applyAlignment="1">
      <alignment horizontal="right" vertical="center" wrapText="1"/>
    </xf>
    <xf numFmtId="0" fontId="73" fillId="3" borderId="1" xfId="0" applyFont="1" applyFill="1" applyBorder="1" applyAlignment="1">
      <alignment vertical="center" wrapText="1"/>
    </xf>
    <xf numFmtId="0" fontId="74" fillId="3" borderId="1" xfId="0" applyFont="1" applyFill="1" applyBorder="1" applyAlignment="1">
      <alignment vertical="center" wrapText="1"/>
    </xf>
    <xf numFmtId="0" fontId="74" fillId="3" borderId="100" xfId="0" applyFont="1" applyFill="1" applyBorder="1" applyAlignment="1">
      <alignment vertical="center" wrapText="1"/>
    </xf>
    <xf numFmtId="3" fontId="74" fillId="3" borderId="100" xfId="0" applyNumberFormat="1" applyFont="1" applyFill="1" applyBorder="1" applyAlignment="1">
      <alignment horizontal="right" vertical="center"/>
    </xf>
    <xf numFmtId="41" fontId="11" fillId="3" borderId="0" xfId="0" applyNumberFormat="1" applyFont="1" applyFill="1"/>
    <xf numFmtId="3" fontId="74" fillId="0" borderId="0" xfId="0" applyNumberFormat="1" applyFont="1" applyAlignment="1">
      <alignment horizontal="right" vertical="center"/>
    </xf>
    <xf numFmtId="3" fontId="37" fillId="3" borderId="0" xfId="0" applyNumberFormat="1" applyFont="1" applyFill="1" applyAlignment="1">
      <alignment horizontal="right" vertical="center" wrapText="1"/>
    </xf>
    <xf numFmtId="41" fontId="37" fillId="3" borderId="0" xfId="10" applyFont="1" applyFill="1" applyAlignment="1">
      <alignment horizontal="right" vertical="center" wrapText="1"/>
    </xf>
    <xf numFmtId="41" fontId="11" fillId="3" borderId="0" xfId="10" applyFont="1" applyFill="1"/>
    <xf numFmtId="3" fontId="73" fillId="3" borderId="100" xfId="0" applyNumberFormat="1" applyFont="1" applyFill="1" applyBorder="1" applyAlignment="1">
      <alignment horizontal="right" vertical="center"/>
    </xf>
    <xf numFmtId="9" fontId="71" fillId="3" borderId="0" xfId="11" applyFont="1" applyFill="1" applyAlignment="1">
      <alignment horizontal="right" vertical="center" wrapText="1"/>
    </xf>
    <xf numFmtId="0" fontId="73" fillId="3" borderId="100" xfId="0" applyFont="1" applyFill="1" applyBorder="1" applyAlignment="1">
      <alignment vertical="center" wrapText="1"/>
    </xf>
    <xf numFmtId="0" fontId="73" fillId="4" borderId="28" xfId="0" applyFont="1" applyFill="1" applyBorder="1" applyAlignment="1">
      <alignment vertical="center" wrapText="1"/>
    </xf>
    <xf numFmtId="3" fontId="73" fillId="4" borderId="1" xfId="0" applyNumberFormat="1" applyFont="1" applyFill="1" applyBorder="1" applyAlignment="1">
      <alignment horizontal="right" vertical="center"/>
    </xf>
    <xf numFmtId="0" fontId="73" fillId="4" borderId="1" xfId="0" applyFont="1" applyFill="1" applyBorder="1" applyAlignment="1">
      <alignment horizontal="center" vertical="center" wrapText="1"/>
    </xf>
    <xf numFmtId="0" fontId="4" fillId="3" borderId="100" xfId="0" applyFont="1" applyFill="1" applyBorder="1"/>
    <xf numFmtId="0" fontId="0" fillId="0" borderId="0" xfId="0" applyAlignment="1">
      <alignment horizontal="right"/>
    </xf>
    <xf numFmtId="164" fontId="2" fillId="24" borderId="116" xfId="1" applyFont="1" applyFill="1" applyBorder="1" applyAlignment="1">
      <alignment horizontal="right"/>
    </xf>
    <xf numFmtId="0" fontId="86" fillId="24" borderId="116" xfId="0" applyFont="1" applyFill="1" applyBorder="1" applyAlignment="1">
      <alignment horizontal="center" vertical="center" wrapText="1"/>
    </xf>
    <xf numFmtId="10" fontId="2" fillId="24" borderId="116" xfId="11" applyNumberFormat="1" applyFont="1" applyFill="1" applyBorder="1" applyAlignment="1">
      <alignment horizontal="right"/>
    </xf>
    <xf numFmtId="0" fontId="87" fillId="24" borderId="116" xfId="0" applyFont="1" applyFill="1" applyBorder="1" applyAlignment="1">
      <alignment horizontal="right"/>
    </xf>
    <xf numFmtId="0" fontId="35" fillId="0" borderId="118" xfId="0" applyFont="1" applyBorder="1" applyAlignment="1">
      <alignment horizontal="justify" vertical="center" wrapText="1"/>
    </xf>
    <xf numFmtId="0" fontId="0" fillId="0" borderId="116" xfId="0" applyBorder="1" applyAlignment="1">
      <alignment horizontal="center"/>
    </xf>
    <xf numFmtId="176" fontId="0" fillId="0" borderId="116" xfId="0" applyNumberFormat="1" applyBorder="1" applyAlignment="1">
      <alignment horizontal="center"/>
    </xf>
    <xf numFmtId="172" fontId="0" fillId="0" borderId="116" xfId="0" applyNumberFormat="1" applyBorder="1" applyAlignment="1">
      <alignment horizontal="center"/>
    </xf>
    <xf numFmtId="164" fontId="0" fillId="0" borderId="116" xfId="1" applyFont="1" applyFill="1" applyBorder="1"/>
    <xf numFmtId="4" fontId="0" fillId="0" borderId="116" xfId="0" applyNumberFormat="1" applyBorder="1"/>
    <xf numFmtId="164" fontId="0" fillId="0" borderId="116" xfId="1" applyFont="1" applyFill="1" applyBorder="1" applyAlignment="1">
      <alignment horizontal="right"/>
    </xf>
    <xf numFmtId="4" fontId="2" fillId="25" borderId="116" xfId="0" applyNumberFormat="1" applyFont="1" applyFill="1" applyBorder="1"/>
    <xf numFmtId="4" fontId="79" fillId="0" borderId="0" xfId="0" applyNumberFormat="1" applyFont="1"/>
    <xf numFmtId="0" fontId="79" fillId="0" borderId="119" xfId="0" applyFont="1" applyBorder="1"/>
    <xf numFmtId="0" fontId="0" fillId="0" borderId="116" xfId="0" applyBorder="1"/>
    <xf numFmtId="0" fontId="38" fillId="2" borderId="20" xfId="0" applyFont="1" applyFill="1" applyBorder="1" applyAlignment="1">
      <alignment horizontal="center" vertical="center"/>
    </xf>
    <xf numFmtId="49" fontId="0" fillId="0" borderId="116" xfId="0" applyNumberFormat="1" applyBorder="1"/>
    <xf numFmtId="41" fontId="0" fillId="0" borderId="116" xfId="10" applyFont="1" applyFill="1" applyBorder="1"/>
    <xf numFmtId="41" fontId="0" fillId="0" borderId="7" xfId="10" applyFont="1" applyFill="1" applyBorder="1"/>
    <xf numFmtId="0" fontId="26" fillId="0" borderId="116" xfId="0" applyFont="1" applyBorder="1" applyAlignment="1">
      <alignment horizontal="center"/>
    </xf>
    <xf numFmtId="3" fontId="12" fillId="0" borderId="116" xfId="0" applyNumberFormat="1" applyFont="1" applyBorder="1"/>
    <xf numFmtId="1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3" fontId="24" fillId="0" borderId="0" xfId="0" applyNumberFormat="1" applyFont="1"/>
    <xf numFmtId="3" fontId="12" fillId="0" borderId="0" xfId="0" applyNumberFormat="1" applyFont="1"/>
    <xf numFmtId="14" fontId="27" fillId="0" borderId="0" xfId="0" applyNumberFormat="1" applyFont="1" applyAlignment="1">
      <alignment horizontal="center"/>
    </xf>
    <xf numFmtId="0" fontId="0" fillId="0" borderId="116" xfId="0" quotePrefix="1" applyBorder="1"/>
    <xf numFmtId="172" fontId="37" fillId="0" borderId="0" xfId="0" applyNumberFormat="1" applyFont="1"/>
    <xf numFmtId="172" fontId="0" fillId="0" borderId="116" xfId="0" quotePrefix="1" applyNumberFormat="1" applyBorder="1"/>
    <xf numFmtId="172" fontId="37" fillId="0" borderId="0" xfId="0" applyNumberFormat="1" applyFont="1" applyAlignment="1">
      <alignment horizontal="center"/>
    </xf>
    <xf numFmtId="172" fontId="0" fillId="0" borderId="116" xfId="0" quotePrefix="1" applyNumberFormat="1" applyBorder="1" applyAlignment="1">
      <alignment horizontal="center"/>
    </xf>
    <xf numFmtId="14" fontId="26" fillId="12" borderId="5" xfId="0" applyNumberFormat="1" applyFont="1" applyFill="1" applyBorder="1" applyAlignment="1">
      <alignment horizontal="center"/>
    </xf>
    <xf numFmtId="0" fontId="0" fillId="3" borderId="0" xfId="0" applyFill="1"/>
    <xf numFmtId="49" fontId="26" fillId="3" borderId="75" xfId="0" applyNumberFormat="1" applyFont="1" applyFill="1" applyBorder="1" applyAlignment="1">
      <alignment horizontal="center"/>
    </xf>
    <xf numFmtId="0" fontId="26" fillId="3" borderId="78" xfId="0" applyFont="1" applyFill="1" applyBorder="1" applyAlignment="1">
      <alignment horizontal="center"/>
    </xf>
    <xf numFmtId="49" fontId="0" fillId="3" borderId="78" xfId="0" applyNumberFormat="1" applyFill="1" applyBorder="1"/>
    <xf numFmtId="49" fontId="90" fillId="3" borderId="78" xfId="0" applyNumberFormat="1" applyFont="1" applyFill="1" applyBorder="1" applyAlignment="1">
      <alignment horizontal="left"/>
    </xf>
    <xf numFmtId="3" fontId="91" fillId="3" borderId="78" xfId="0" applyNumberFormat="1" applyFont="1" applyFill="1" applyBorder="1"/>
    <xf numFmtId="49" fontId="91" fillId="3" borderId="80" xfId="0" applyNumberFormat="1" applyFont="1" applyFill="1" applyBorder="1" applyAlignment="1">
      <alignment horizontal="center"/>
    </xf>
    <xf numFmtId="3" fontId="0" fillId="3" borderId="78" xfId="0" applyNumberFormat="1" applyFill="1" applyBorder="1"/>
    <xf numFmtId="49" fontId="26" fillId="3" borderId="78" xfId="0" applyNumberFormat="1" applyFont="1" applyFill="1" applyBorder="1" applyAlignment="1">
      <alignment horizontal="center"/>
    </xf>
    <xf numFmtId="14" fontId="90" fillId="3" borderId="78" xfId="0" applyNumberFormat="1" applyFont="1" applyFill="1" applyBorder="1" applyAlignment="1">
      <alignment horizontal="center"/>
    </xf>
    <xf numFmtId="14" fontId="92" fillId="3" borderId="87" xfId="0" applyNumberFormat="1" applyFont="1" applyFill="1" applyBorder="1" applyAlignment="1">
      <alignment horizontal="center"/>
    </xf>
    <xf numFmtId="0" fontId="92" fillId="3" borderId="127" xfId="0" applyFont="1" applyFill="1" applyBorder="1" applyAlignment="1">
      <alignment horizontal="center"/>
    </xf>
    <xf numFmtId="3" fontId="93" fillId="3" borderId="127" xfId="0" applyNumberFormat="1" applyFont="1" applyFill="1" applyBorder="1"/>
    <xf numFmtId="49" fontId="91" fillId="3" borderId="127" xfId="0" applyNumberFormat="1" applyFont="1" applyFill="1" applyBorder="1" applyAlignment="1">
      <alignment horizontal="center"/>
    </xf>
    <xf numFmtId="3" fontId="91" fillId="3" borderId="127" xfId="0" applyNumberFormat="1" applyFont="1" applyFill="1" applyBorder="1"/>
    <xf numFmtId="3" fontId="0" fillId="3" borderId="91" xfId="0" applyNumberFormat="1" applyFill="1" applyBorder="1"/>
    <xf numFmtId="49" fontId="91" fillId="3" borderId="129" xfId="0" applyNumberFormat="1" applyFont="1" applyFill="1" applyBorder="1"/>
    <xf numFmtId="49" fontId="91" fillId="3" borderId="79" xfId="0" applyNumberFormat="1" applyFont="1" applyFill="1" applyBorder="1" applyAlignment="1">
      <alignment horizontal="center"/>
    </xf>
    <xf numFmtId="49" fontId="91" fillId="3" borderId="130" xfId="0" applyNumberFormat="1" applyFont="1" applyFill="1" applyBorder="1" applyAlignment="1">
      <alignment horizontal="center"/>
    </xf>
    <xf numFmtId="0" fontId="0" fillId="3" borderId="128" xfId="0" applyFill="1" applyBorder="1"/>
    <xf numFmtId="49" fontId="91" fillId="3" borderId="131" xfId="0" applyNumberFormat="1" applyFont="1" applyFill="1" applyBorder="1" applyAlignment="1">
      <alignment horizontal="center"/>
    </xf>
    <xf numFmtId="49" fontId="88" fillId="3" borderId="0" xfId="0" applyNumberFormat="1" applyFont="1" applyFill="1"/>
    <xf numFmtId="0" fontId="89" fillId="3" borderId="0" xfId="0" applyFont="1" applyFill="1"/>
    <xf numFmtId="177" fontId="0" fillId="3" borderId="0" xfId="0" applyNumberFormat="1" applyFill="1"/>
    <xf numFmtId="3" fontId="0" fillId="3" borderId="0" xfId="0" applyNumberFormat="1" applyFill="1"/>
    <xf numFmtId="0" fontId="0" fillId="3" borderId="132" xfId="0" applyFill="1" applyBorder="1"/>
    <xf numFmtId="3" fontId="90" fillId="3" borderId="132" xfId="0" applyNumberFormat="1" applyFont="1" applyFill="1" applyBorder="1" applyAlignment="1">
      <alignment horizontal="center"/>
    </xf>
    <xf numFmtId="3" fontId="0" fillId="3" borderId="132" xfId="0" applyNumberFormat="1" applyFill="1" applyBorder="1"/>
    <xf numFmtId="0" fontId="90" fillId="3" borderId="132" xfId="0" applyFont="1" applyFill="1" applyBorder="1" applyAlignment="1">
      <alignment horizontal="center"/>
    </xf>
    <xf numFmtId="14" fontId="92" fillId="3" borderId="133" xfId="0" applyNumberFormat="1" applyFont="1" applyFill="1" applyBorder="1" applyAlignment="1">
      <alignment horizontal="center"/>
    </xf>
    <xf numFmtId="0" fontId="92" fillId="3" borderId="134" xfId="0" applyFont="1" applyFill="1" applyBorder="1" applyAlignment="1">
      <alignment horizontal="center"/>
    </xf>
    <xf numFmtId="3" fontId="93" fillId="3" borderId="134" xfId="0" applyNumberFormat="1" applyFont="1" applyFill="1" applyBorder="1"/>
    <xf numFmtId="0" fontId="91" fillId="3" borderId="134" xfId="0" applyFont="1" applyFill="1" applyBorder="1" applyAlignment="1">
      <alignment horizontal="center"/>
    </xf>
    <xf numFmtId="3" fontId="91" fillId="3" borderId="134" xfId="0" applyNumberFormat="1" applyFont="1" applyFill="1" applyBorder="1"/>
    <xf numFmtId="49" fontId="91" fillId="3" borderId="135" xfId="0" applyNumberFormat="1" applyFont="1" applyFill="1" applyBorder="1" applyAlignment="1">
      <alignment horizontal="center"/>
    </xf>
    <xf numFmtId="49" fontId="26" fillId="3" borderId="79" xfId="0" applyNumberFormat="1" applyFont="1" applyFill="1" applyBorder="1" applyAlignment="1">
      <alignment horizontal="center"/>
    </xf>
    <xf numFmtId="0" fontId="26" fillId="3" borderId="79" xfId="0" applyFont="1" applyFill="1" applyBorder="1" applyAlignment="1">
      <alignment horizontal="center"/>
    </xf>
    <xf numFmtId="49" fontId="0" fillId="3" borderId="79" xfId="0" applyNumberFormat="1" applyFill="1" applyBorder="1"/>
    <xf numFmtId="49" fontId="90" fillId="3" borderId="79" xfId="0" applyNumberFormat="1" applyFont="1" applyFill="1" applyBorder="1" applyAlignment="1">
      <alignment horizontal="left"/>
    </xf>
    <xf numFmtId="3" fontId="91" fillId="3" borderId="79" xfId="0" applyNumberFormat="1" applyFont="1" applyFill="1" applyBorder="1"/>
    <xf numFmtId="49" fontId="91" fillId="3" borderId="91" xfId="0" applyNumberFormat="1" applyFont="1" applyFill="1" applyBorder="1" applyAlignment="1">
      <alignment horizontal="center"/>
    </xf>
    <xf numFmtId="41" fontId="22" fillId="0" borderId="0" xfId="10" applyFont="1" applyAlignment="1">
      <alignment horizontal="center"/>
    </xf>
    <xf numFmtId="0" fontId="41" fillId="0" borderId="29" xfId="0" applyFont="1" applyBorder="1" applyAlignment="1">
      <alignment horizontal="center"/>
    </xf>
    <xf numFmtId="3" fontId="42" fillId="0" borderId="29" xfId="0" applyNumberFormat="1" applyFont="1" applyBorder="1"/>
    <xf numFmtId="168" fontId="22" fillId="0" borderId="0" xfId="10" applyNumberFormat="1" applyFont="1"/>
    <xf numFmtId="49" fontId="66" fillId="23" borderId="141" xfId="0" applyNumberFormat="1" applyFont="1" applyFill="1" applyBorder="1"/>
    <xf numFmtId="49" fontId="57" fillId="23" borderId="88" xfId="0" applyNumberFormat="1" applyFont="1" applyFill="1" applyBorder="1" applyAlignment="1">
      <alignment horizontal="left"/>
    </xf>
    <xf numFmtId="49" fontId="94" fillId="23" borderId="72" xfId="0" applyNumberFormat="1" applyFont="1" applyFill="1" applyBorder="1" applyAlignment="1">
      <alignment horizontal="left"/>
    </xf>
    <xf numFmtId="49" fontId="38" fillId="4" borderId="72" xfId="0" applyNumberFormat="1" applyFont="1" applyFill="1" applyBorder="1"/>
    <xf numFmtId="173" fontId="38" fillId="4" borderId="72" xfId="0" applyNumberFormat="1" applyFont="1" applyFill="1" applyBorder="1"/>
    <xf numFmtId="49" fontId="38" fillId="4" borderId="81" xfId="0" applyNumberFormat="1" applyFont="1" applyFill="1" applyBorder="1"/>
    <xf numFmtId="173" fontId="38" fillId="4" borderId="81" xfId="0" applyNumberFormat="1" applyFont="1" applyFill="1" applyBorder="1"/>
    <xf numFmtId="0" fontId="75" fillId="0" borderId="0" xfId="0" applyFont="1" applyAlignment="1">
      <alignment horizontal="center" vertical="center"/>
    </xf>
    <xf numFmtId="167" fontId="4" fillId="0" borderId="138" xfId="1" applyNumberFormat="1" applyFont="1" applyFill="1" applyBorder="1" applyAlignment="1">
      <alignment horizontal="center" wrapText="1"/>
    </xf>
    <xf numFmtId="167" fontId="4" fillId="0" borderId="136" xfId="1" applyNumberFormat="1" applyFont="1" applyFill="1" applyBorder="1" applyAlignment="1">
      <alignment horizontal="center" wrapText="1"/>
    </xf>
    <xf numFmtId="167" fontId="4" fillId="0" borderId="144" xfId="1" applyNumberFormat="1" applyFont="1" applyFill="1" applyBorder="1" applyAlignment="1">
      <alignment horizontal="center" wrapText="1"/>
    </xf>
    <xf numFmtId="0" fontId="78" fillId="0" borderId="96" xfId="0" applyFont="1" applyBorder="1"/>
    <xf numFmtId="41" fontId="78" fillId="29" borderId="4" xfId="0" applyNumberFormat="1" applyFont="1" applyFill="1" applyBorder="1"/>
    <xf numFmtId="0" fontId="75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96" fillId="0" borderId="0" xfId="0" applyFont="1"/>
    <xf numFmtId="166" fontId="95" fillId="0" borderId="0" xfId="0" applyNumberFormat="1" applyFont="1" applyAlignment="1">
      <alignment horizontal="center"/>
    </xf>
    <xf numFmtId="41" fontId="96" fillId="0" borderId="0" xfId="10" applyFont="1"/>
    <xf numFmtId="41" fontId="95" fillId="0" borderId="0" xfId="10" applyFont="1"/>
    <xf numFmtId="41" fontId="95" fillId="0" borderId="0" xfId="10" applyFont="1" applyAlignment="1">
      <alignment horizontal="center"/>
    </xf>
    <xf numFmtId="167" fontId="95" fillId="8" borderId="10" xfId="1" applyNumberFormat="1" applyFont="1" applyFill="1" applyBorder="1" applyAlignment="1">
      <alignment horizontal="left"/>
    </xf>
    <xf numFmtId="166" fontId="96" fillId="0" borderId="0" xfId="0" applyNumberFormat="1" applyFont="1"/>
    <xf numFmtId="0" fontId="97" fillId="7" borderId="10" xfId="0" applyFont="1" applyFill="1" applyBorder="1" applyAlignment="1">
      <alignment horizontal="center"/>
    </xf>
    <xf numFmtId="17" fontId="40" fillId="2" borderId="10" xfId="0" applyNumberFormat="1" applyFont="1" applyFill="1" applyBorder="1" applyAlignment="1">
      <alignment horizontal="center"/>
    </xf>
    <xf numFmtId="0" fontId="95" fillId="11" borderId="3" xfId="0" applyFont="1" applyFill="1" applyBorder="1"/>
    <xf numFmtId="167" fontId="95" fillId="11" borderId="14" xfId="1" applyNumberFormat="1" applyFont="1" applyFill="1" applyBorder="1" applyAlignment="1">
      <alignment horizontal="center"/>
    </xf>
    <xf numFmtId="0" fontId="95" fillId="0" borderId="0" xfId="0" applyFont="1"/>
    <xf numFmtId="167" fontId="95" fillId="0" borderId="0" xfId="1" applyNumberFormat="1" applyFont="1" applyFill="1" applyBorder="1" applyAlignment="1">
      <alignment horizontal="center"/>
    </xf>
    <xf numFmtId="0" fontId="95" fillId="7" borderId="59" xfId="0" applyFont="1" applyFill="1" applyBorder="1"/>
    <xf numFmtId="167" fontId="95" fillId="4" borderId="143" xfId="1" applyNumberFormat="1" applyFont="1" applyFill="1" applyBorder="1"/>
    <xf numFmtId="167" fontId="95" fillId="4" borderId="64" xfId="1" applyNumberFormat="1" applyFont="1" applyFill="1" applyBorder="1"/>
    <xf numFmtId="0" fontId="95" fillId="7" borderId="3" xfId="0" applyFont="1" applyFill="1" applyBorder="1"/>
    <xf numFmtId="167" fontId="95" fillId="7" borderId="3" xfId="1" applyNumberFormat="1" applyFont="1" applyFill="1" applyBorder="1"/>
    <xf numFmtId="167" fontId="95" fillId="4" borderId="3" xfId="1" applyNumberFormat="1" applyFont="1" applyFill="1" applyBorder="1"/>
    <xf numFmtId="0" fontId="26" fillId="0" borderId="0" xfId="0" applyFont="1"/>
    <xf numFmtId="167" fontId="96" fillId="0" borderId="0" xfId="0" applyNumberFormat="1" applyFont="1"/>
    <xf numFmtId="0" fontId="44" fillId="8" borderId="10" xfId="0" applyFont="1" applyFill="1" applyBorder="1"/>
    <xf numFmtId="41" fontId="22" fillId="0" borderId="0" xfId="10" applyFont="1" applyFill="1" applyBorder="1"/>
    <xf numFmtId="0" fontId="97" fillId="0" borderId="32" xfId="0" applyFont="1" applyBorder="1"/>
    <xf numFmtId="166" fontId="33" fillId="0" borderId="94" xfId="0" applyNumberFormat="1" applyFont="1" applyBorder="1"/>
    <xf numFmtId="0" fontId="97" fillId="0" borderId="35" xfId="0" applyFont="1" applyBorder="1"/>
    <xf numFmtId="166" fontId="33" fillId="0" borderId="5" xfId="0" applyNumberFormat="1" applyFont="1" applyBorder="1"/>
    <xf numFmtId="166" fontId="33" fillId="0" borderId="136" xfId="0" applyNumberFormat="1" applyFont="1" applyBorder="1"/>
    <xf numFmtId="166" fontId="33" fillId="0" borderId="33" xfId="0" applyNumberFormat="1" applyFont="1" applyBorder="1"/>
    <xf numFmtId="166" fontId="33" fillId="0" borderId="142" xfId="0" applyNumberFormat="1" applyFont="1" applyBorder="1"/>
    <xf numFmtId="167" fontId="97" fillId="7" borderId="3" xfId="1" applyNumberFormat="1" applyFont="1" applyFill="1" applyBorder="1"/>
    <xf numFmtId="9" fontId="95" fillId="0" borderId="0" xfId="11" applyFont="1"/>
    <xf numFmtId="166" fontId="95" fillId="0" borderId="0" xfId="0" applyNumberFormat="1" applyFont="1"/>
    <xf numFmtId="0" fontId="44" fillId="7" borderId="59" xfId="0" applyFont="1" applyFill="1" applyBorder="1"/>
    <xf numFmtId="0" fontId="33" fillId="0" borderId="32" xfId="0" applyFont="1" applyBorder="1"/>
    <xf numFmtId="166" fontId="33" fillId="0" borderId="8" xfId="0" applyNumberFormat="1" applyFont="1" applyBorder="1"/>
    <xf numFmtId="0" fontId="33" fillId="0" borderId="37" xfId="0" applyFont="1" applyBorder="1"/>
    <xf numFmtId="166" fontId="33" fillId="0" borderId="99" xfId="0" applyNumberFormat="1" applyFont="1" applyBorder="1"/>
    <xf numFmtId="0" fontId="95" fillId="4" borderId="95" xfId="0" applyFont="1" applyFill="1" applyBorder="1"/>
    <xf numFmtId="166" fontId="95" fillId="4" borderId="38" xfId="0" applyNumberFormat="1" applyFont="1" applyFill="1" applyBorder="1"/>
    <xf numFmtId="166" fontId="95" fillId="4" borderId="95" xfId="0" applyNumberFormat="1" applyFont="1" applyFill="1" applyBorder="1"/>
    <xf numFmtId="167" fontId="96" fillId="0" borderId="0" xfId="1" applyNumberFormat="1" applyFont="1" applyFill="1" applyBorder="1" applyAlignment="1">
      <alignment horizontal="center"/>
    </xf>
    <xf numFmtId="167" fontId="95" fillId="4" borderId="5" xfId="1" applyNumberFormat="1" applyFont="1" applyFill="1" applyBorder="1" applyAlignment="1">
      <alignment horizontal="center"/>
    </xf>
    <xf numFmtId="0" fontId="95" fillId="4" borderId="45" xfId="0" applyFont="1" applyFill="1" applyBorder="1"/>
    <xf numFmtId="167" fontId="95" fillId="4" borderId="98" xfId="1" applyNumberFormat="1" applyFont="1" applyFill="1" applyBorder="1" applyAlignment="1">
      <alignment horizontal="center"/>
    </xf>
    <xf numFmtId="0" fontId="95" fillId="4" borderId="61" xfId="0" applyFont="1" applyFill="1" applyBorder="1"/>
    <xf numFmtId="0" fontId="95" fillId="4" borderId="11" xfId="0" applyFont="1" applyFill="1" applyBorder="1"/>
    <xf numFmtId="166" fontId="95" fillId="4" borderId="29" xfId="0" applyNumberFormat="1" applyFont="1" applyFill="1" applyBorder="1"/>
    <xf numFmtId="0" fontId="97" fillId="4" borderId="64" xfId="0" applyFont="1" applyFill="1" applyBorder="1"/>
    <xf numFmtId="0" fontId="97" fillId="4" borderId="145" xfId="0" applyFont="1" applyFill="1" applyBorder="1"/>
    <xf numFmtId="166" fontId="97" fillId="4" borderId="95" xfId="0" applyNumberFormat="1" applyFont="1" applyFill="1" applyBorder="1"/>
    <xf numFmtId="0" fontId="40" fillId="0" borderId="0" xfId="0" applyFont="1"/>
    <xf numFmtId="166" fontId="95" fillId="11" borderId="10" xfId="0" applyNumberFormat="1" applyFont="1" applyFill="1" applyBorder="1"/>
    <xf numFmtId="0" fontId="95" fillId="0" borderId="1" xfId="0" applyFont="1" applyBorder="1"/>
    <xf numFmtId="166" fontId="96" fillId="0" borderId="1" xfId="0" applyNumberFormat="1" applyFont="1" applyBorder="1"/>
    <xf numFmtId="0" fontId="95" fillId="4" borderId="3" xfId="0" applyFont="1" applyFill="1" applyBorder="1"/>
    <xf numFmtId="166" fontId="95" fillId="4" borderId="10" xfId="0" applyNumberFormat="1" applyFont="1" applyFill="1" applyBorder="1"/>
    <xf numFmtId="166" fontId="95" fillId="2" borderId="10" xfId="0" applyNumberFormat="1" applyFont="1" applyFill="1" applyBorder="1"/>
    <xf numFmtId="41" fontId="96" fillId="0" borderId="0" xfId="10" applyFont="1" applyFill="1"/>
    <xf numFmtId="167" fontId="96" fillId="0" borderId="0" xfId="1" applyNumberFormat="1" applyFont="1" applyFill="1"/>
    <xf numFmtId="41" fontId="96" fillId="0" borderId="0" xfId="0" applyNumberFormat="1" applyFont="1"/>
    <xf numFmtId="167" fontId="95" fillId="11" borderId="95" xfId="1" applyNumberFormat="1" applyFont="1" applyFill="1" applyBorder="1" applyAlignment="1">
      <alignment horizontal="center"/>
    </xf>
    <xf numFmtId="167" fontId="95" fillId="0" borderId="48" xfId="1" applyNumberFormat="1" applyFont="1" applyFill="1" applyBorder="1" applyAlignment="1">
      <alignment horizontal="center"/>
    </xf>
    <xf numFmtId="41" fontId="96" fillId="0" borderId="0" xfId="10" applyFont="1" applyFill="1" applyBorder="1"/>
    <xf numFmtId="41" fontId="95" fillId="0" borderId="0" xfId="10" applyFont="1" applyFill="1"/>
    <xf numFmtId="0" fontId="95" fillId="8" borderId="10" xfId="0" applyFont="1" applyFill="1" applyBorder="1"/>
    <xf numFmtId="166" fontId="33" fillId="26" borderId="22" xfId="0" applyNumberFormat="1" applyFont="1" applyFill="1" applyBorder="1"/>
    <xf numFmtId="166" fontId="33" fillId="0" borderId="0" xfId="0" applyNumberFormat="1" applyFont="1"/>
    <xf numFmtId="166" fontId="33" fillId="26" borderId="109" xfId="0" applyNumberFormat="1" applyFont="1" applyFill="1" applyBorder="1"/>
    <xf numFmtId="166" fontId="33" fillId="26" borderId="112" xfId="0" applyNumberFormat="1" applyFont="1" applyFill="1" applyBorder="1"/>
    <xf numFmtId="166" fontId="95" fillId="4" borderId="13" xfId="0" applyNumberFormat="1" applyFont="1" applyFill="1" applyBorder="1"/>
    <xf numFmtId="166" fontId="95" fillId="0" borderId="13" xfId="0" applyNumberFormat="1" applyFont="1" applyBorder="1"/>
    <xf numFmtId="167" fontId="96" fillId="0" borderId="60" xfId="1" applyNumberFormat="1" applyFont="1" applyFill="1" applyBorder="1" applyAlignment="1">
      <alignment horizontal="center"/>
    </xf>
    <xf numFmtId="167" fontId="95" fillId="4" borderId="22" xfId="1" applyNumberFormat="1" applyFont="1" applyFill="1" applyBorder="1" applyAlignment="1">
      <alignment horizontal="center"/>
    </xf>
    <xf numFmtId="0" fontId="97" fillId="4" borderId="107" xfId="0" applyFont="1" applyFill="1" applyBorder="1"/>
    <xf numFmtId="167" fontId="95" fillId="4" borderId="111" xfId="1" applyNumberFormat="1" applyFont="1" applyFill="1" applyBorder="1" applyAlignment="1">
      <alignment horizontal="center"/>
    </xf>
    <xf numFmtId="167" fontId="95" fillId="26" borderId="111" xfId="1" applyNumberFormat="1" applyFont="1" applyFill="1" applyBorder="1" applyAlignment="1">
      <alignment horizontal="center"/>
    </xf>
    <xf numFmtId="167" fontId="95" fillId="4" borderId="30" xfId="1" applyNumberFormat="1" applyFont="1" applyFill="1" applyBorder="1" applyAlignment="1">
      <alignment horizontal="center"/>
    </xf>
    <xf numFmtId="0" fontId="95" fillId="4" borderId="50" xfId="0" applyFont="1" applyFill="1" applyBorder="1"/>
    <xf numFmtId="167" fontId="95" fillId="4" borderId="108" xfId="1" applyNumberFormat="1" applyFont="1" applyFill="1" applyBorder="1" applyAlignment="1">
      <alignment horizontal="center"/>
    </xf>
    <xf numFmtId="0" fontId="95" fillId="4" borderId="104" xfId="0" applyFont="1" applyFill="1" applyBorder="1"/>
    <xf numFmtId="167" fontId="95" fillId="4" borderId="7" xfId="1" applyNumberFormat="1" applyFont="1" applyFill="1" applyBorder="1" applyAlignment="1">
      <alignment horizontal="center"/>
    </xf>
    <xf numFmtId="167" fontId="95" fillId="4" borderId="31" xfId="1" applyNumberFormat="1" applyFont="1" applyFill="1" applyBorder="1" applyAlignment="1">
      <alignment horizontal="center"/>
    </xf>
    <xf numFmtId="167" fontId="95" fillId="4" borderId="144" xfId="1" applyNumberFormat="1" applyFont="1" applyFill="1" applyBorder="1" applyAlignment="1">
      <alignment horizontal="center"/>
    </xf>
    <xf numFmtId="167" fontId="95" fillId="4" borderId="33" xfId="1" applyNumberFormat="1" applyFont="1" applyFill="1" applyBorder="1" applyAlignment="1">
      <alignment horizontal="center"/>
    </xf>
    <xf numFmtId="167" fontId="95" fillId="4" borderId="62" xfId="1" applyNumberFormat="1" applyFont="1" applyFill="1" applyBorder="1" applyAlignment="1">
      <alignment horizontal="center"/>
    </xf>
    <xf numFmtId="166" fontId="95" fillId="26" borderId="29" xfId="0" applyNumberFormat="1" applyFont="1" applyFill="1" applyBorder="1"/>
    <xf numFmtId="0" fontId="97" fillId="4" borderId="32" xfId="0" applyFont="1" applyFill="1" applyBorder="1"/>
    <xf numFmtId="166" fontId="97" fillId="4" borderId="8" xfId="0" applyNumberFormat="1" applyFont="1" applyFill="1" applyBorder="1"/>
    <xf numFmtId="166" fontId="97" fillId="4" borderId="22" xfId="0" applyNumberFormat="1" applyFont="1" applyFill="1" applyBorder="1"/>
    <xf numFmtId="0" fontId="95" fillId="4" borderId="35" xfId="0" applyFont="1" applyFill="1" applyBorder="1"/>
    <xf numFmtId="166" fontId="97" fillId="4" borderId="5" xfId="0" applyNumberFormat="1" applyFont="1" applyFill="1" applyBorder="1"/>
    <xf numFmtId="166" fontId="97" fillId="4" borderId="109" xfId="0" applyNumberFormat="1" applyFont="1" applyFill="1" applyBorder="1"/>
    <xf numFmtId="0" fontId="95" fillId="4" borderId="106" xfId="0" applyFont="1" applyFill="1" applyBorder="1"/>
    <xf numFmtId="166" fontId="97" fillId="4" borderId="98" xfId="0" applyNumberFormat="1" applyFont="1" applyFill="1" applyBorder="1"/>
    <xf numFmtId="0" fontId="95" fillId="4" borderId="102" xfId="0" applyFont="1" applyFill="1" applyBorder="1"/>
    <xf numFmtId="167" fontId="95" fillId="4" borderId="47" xfId="1" applyNumberFormat="1" applyFont="1" applyFill="1" applyBorder="1" applyAlignment="1">
      <alignment horizontal="center"/>
    </xf>
    <xf numFmtId="167" fontId="95" fillId="4" borderId="114" xfId="1" applyNumberFormat="1" applyFont="1" applyFill="1" applyBorder="1" applyAlignment="1">
      <alignment horizontal="center"/>
    </xf>
    <xf numFmtId="0" fontId="44" fillId="4" borderId="3" xfId="0" applyFont="1" applyFill="1" applyBorder="1"/>
    <xf numFmtId="166" fontId="97" fillId="4" borderId="38" xfId="0" applyNumberFormat="1" applyFont="1" applyFill="1" applyBorder="1"/>
    <xf numFmtId="0" fontId="95" fillId="4" borderId="59" xfId="0" applyFont="1" applyFill="1" applyBorder="1"/>
    <xf numFmtId="166" fontId="96" fillId="0" borderId="60" xfId="0" applyNumberFormat="1" applyFont="1" applyBorder="1"/>
    <xf numFmtId="0" fontId="40" fillId="4" borderId="32" xfId="0" applyFont="1" applyFill="1" applyBorder="1"/>
    <xf numFmtId="41" fontId="97" fillId="4" borderId="8" xfId="10" applyFont="1" applyFill="1" applyBorder="1"/>
    <xf numFmtId="166" fontId="97" fillId="4" borderId="8" xfId="1" applyNumberFormat="1" applyFont="1" applyFill="1" applyBorder="1"/>
    <xf numFmtId="166" fontId="97" fillId="4" borderId="22" xfId="1" applyNumberFormat="1" applyFont="1" applyFill="1" applyBorder="1"/>
    <xf numFmtId="0" fontId="40" fillId="4" borderId="35" xfId="0" applyFont="1" applyFill="1" applyBorder="1"/>
    <xf numFmtId="166" fontId="97" fillId="4" borderId="5" xfId="1" applyNumberFormat="1" applyFont="1" applyFill="1" applyBorder="1"/>
    <xf numFmtId="166" fontId="97" fillId="4" borderId="25" xfId="1" applyNumberFormat="1" applyFont="1" applyFill="1" applyBorder="1"/>
    <xf numFmtId="166" fontId="97" fillId="4" borderId="13" xfId="0" applyNumberFormat="1" applyFont="1" applyFill="1" applyBorder="1"/>
    <xf numFmtId="166" fontId="44" fillId="4" borderId="10" xfId="0" applyNumberFormat="1" applyFont="1" applyFill="1" applyBorder="1"/>
    <xf numFmtId="166" fontId="97" fillId="4" borderId="10" xfId="0" applyNumberFormat="1" applyFont="1" applyFill="1" applyBorder="1"/>
    <xf numFmtId="41" fontId="95" fillId="0" borderId="0" xfId="0" applyNumberFormat="1" applyFont="1"/>
    <xf numFmtId="0" fontId="95" fillId="17" borderId="0" xfId="0" applyFont="1" applyFill="1" applyAlignment="1">
      <alignment horizontal="center"/>
    </xf>
    <xf numFmtId="166" fontId="96" fillId="17" borderId="0" xfId="0" applyNumberFormat="1" applyFont="1" applyFill="1"/>
    <xf numFmtId="166" fontId="95" fillId="0" borderId="0" xfId="1" applyNumberFormat="1" applyFont="1" applyFill="1" applyBorder="1"/>
    <xf numFmtId="0" fontId="40" fillId="4" borderId="11" xfId="0" applyFont="1" applyFill="1" applyBorder="1" applyAlignment="1">
      <alignment horizontal="center"/>
    </xf>
    <xf numFmtId="0" fontId="95" fillId="4" borderId="10" xfId="0" applyFont="1" applyFill="1" applyBorder="1"/>
    <xf numFmtId="0" fontId="95" fillId="4" borderId="12" xfId="0" applyFont="1" applyFill="1" applyBorder="1" applyAlignment="1">
      <alignment horizontal="center" wrapText="1"/>
    </xf>
    <xf numFmtId="0" fontId="96" fillId="3" borderId="5" xfId="0" applyFont="1" applyFill="1" applyBorder="1"/>
    <xf numFmtId="3" fontId="96" fillId="0" borderId="5" xfId="0" applyNumberFormat="1" applyFont="1" applyBorder="1" applyAlignment="1">
      <alignment horizontal="right"/>
    </xf>
    <xf numFmtId="3" fontId="96" fillId="0" borderId="5" xfId="0" applyNumberFormat="1" applyFont="1" applyBorder="1" applyAlignment="1">
      <alignment horizontal="center"/>
    </xf>
    <xf numFmtId="3" fontId="98" fillId="0" borderId="5" xfId="0" applyNumberFormat="1" applyFont="1" applyBorder="1" applyAlignment="1">
      <alignment horizontal="center"/>
    </xf>
    <xf numFmtId="3" fontId="33" fillId="0" borderId="5" xfId="0" applyNumberFormat="1" applyFont="1" applyBorder="1" applyAlignment="1">
      <alignment horizontal="center"/>
    </xf>
    <xf numFmtId="0" fontId="96" fillId="0" borderId="5" xfId="0" applyFont="1" applyBorder="1"/>
    <xf numFmtId="3" fontId="98" fillId="0" borderId="5" xfId="0" applyNumberFormat="1" applyFont="1" applyBorder="1" applyAlignment="1">
      <alignment horizontal="right"/>
    </xf>
    <xf numFmtId="0" fontId="40" fillId="4" borderId="10" xfId="0" applyFont="1" applyFill="1" applyBorder="1" applyAlignment="1">
      <alignment horizontal="center"/>
    </xf>
    <xf numFmtId="166" fontId="95" fillId="4" borderId="10" xfId="1" applyNumberFormat="1" applyFont="1" applyFill="1" applyBorder="1"/>
    <xf numFmtId="0" fontId="96" fillId="0" borderId="6" xfId="0" applyFont="1" applyBorder="1"/>
    <xf numFmtId="167" fontId="95" fillId="0" borderId="5" xfId="1" applyNumberFormat="1" applyFont="1" applyFill="1" applyBorder="1" applyAlignment="1">
      <alignment horizontal="right"/>
    </xf>
    <xf numFmtId="167" fontId="95" fillId="0" borderId="5" xfId="1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41" fontId="99" fillId="0" borderId="5" xfId="10" applyFont="1" applyFill="1" applyBorder="1"/>
    <xf numFmtId="41" fontId="100" fillId="0" borderId="5" xfId="10" applyFont="1" applyFill="1" applyBorder="1"/>
    <xf numFmtId="0" fontId="99" fillId="0" borderId="37" xfId="0" applyFont="1" applyBorder="1"/>
    <xf numFmtId="166" fontId="96" fillId="0" borderId="5" xfId="1" applyNumberFormat="1" applyFont="1" applyFill="1" applyBorder="1"/>
    <xf numFmtId="167" fontId="96" fillId="0" borderId="6" xfId="1" applyNumberFormat="1" applyFont="1" applyFill="1" applyBorder="1"/>
    <xf numFmtId="0" fontId="96" fillId="4" borderId="10" xfId="0" applyFont="1" applyFill="1" applyBorder="1"/>
    <xf numFmtId="0" fontId="40" fillId="7" borderId="11" xfId="0" applyFont="1" applyFill="1" applyBorder="1" applyAlignment="1">
      <alignment horizontal="center"/>
    </xf>
    <xf numFmtId="166" fontId="95" fillId="7" borderId="10" xfId="1" applyNumberFormat="1" applyFont="1" applyFill="1" applyBorder="1"/>
    <xf numFmtId="0" fontId="40" fillId="2" borderId="11" xfId="0" applyFont="1" applyFill="1" applyBorder="1" applyAlignment="1">
      <alignment horizontal="center"/>
    </xf>
    <xf numFmtId="0" fontId="95" fillId="0" borderId="10" xfId="0" applyFont="1" applyBorder="1"/>
    <xf numFmtId="0" fontId="95" fillId="0" borderId="12" xfId="0" applyFont="1" applyBorder="1" applyAlignment="1">
      <alignment horizontal="center" wrapText="1"/>
    </xf>
    <xf numFmtId="0" fontId="26" fillId="0" borderId="32" xfId="0" applyFont="1" applyBorder="1"/>
    <xf numFmtId="41" fontId="96" fillId="0" borderId="5" xfId="10" applyFont="1" applyBorder="1" applyAlignment="1">
      <alignment horizontal="right"/>
    </xf>
    <xf numFmtId="41" fontId="96" fillId="0" borderId="5" xfId="10" applyFont="1" applyFill="1" applyBorder="1" applyAlignment="1">
      <alignment horizontal="right"/>
    </xf>
    <xf numFmtId="41" fontId="95" fillId="0" borderId="5" xfId="10" applyFont="1" applyFill="1" applyBorder="1" applyAlignment="1">
      <alignment horizontal="right"/>
    </xf>
    <xf numFmtId="0" fontId="26" fillId="0" borderId="35" xfId="0" applyFont="1" applyBorder="1"/>
    <xf numFmtId="49" fontId="96" fillId="0" borderId="35" xfId="0" applyNumberFormat="1" applyFont="1" applyBorder="1"/>
    <xf numFmtId="41" fontId="96" fillId="0" borderId="5" xfId="10" applyFont="1" applyBorder="1"/>
    <xf numFmtId="41" fontId="96" fillId="0" borderId="5" xfId="10" applyFont="1" applyFill="1" applyBorder="1"/>
    <xf numFmtId="41" fontId="95" fillId="0" borderId="0" xfId="10" applyFont="1" applyFill="1" applyBorder="1"/>
    <xf numFmtId="166" fontId="33" fillId="0" borderId="5" xfId="1" applyNumberFormat="1" applyFont="1" applyFill="1" applyBorder="1"/>
    <xf numFmtId="166" fontId="33" fillId="4" borderId="5" xfId="1" applyNumberFormat="1" applyFont="1" applyFill="1" applyBorder="1"/>
    <xf numFmtId="166" fontId="33" fillId="4" borderId="7" xfId="1" applyNumberFormat="1" applyFont="1" applyFill="1" applyBorder="1"/>
    <xf numFmtId="166" fontId="33" fillId="0" borderId="7" xfId="1" applyNumberFormat="1" applyFont="1" applyFill="1" applyBorder="1"/>
    <xf numFmtId="41" fontId="96" fillId="4" borderId="5" xfId="10" applyFont="1" applyFill="1" applyBorder="1" applyAlignment="1">
      <alignment horizontal="right"/>
    </xf>
    <xf numFmtId="166" fontId="97" fillId="4" borderId="7" xfId="1" applyNumberFormat="1" applyFont="1" applyFill="1" applyBorder="1"/>
    <xf numFmtId="41" fontId="96" fillId="0" borderId="7" xfId="10" applyFont="1" applyFill="1" applyBorder="1" applyAlignment="1">
      <alignment horizontal="right"/>
    </xf>
    <xf numFmtId="0" fontId="26" fillId="0" borderId="106" xfId="0" applyFont="1" applyBorder="1"/>
    <xf numFmtId="0" fontId="26" fillId="0" borderId="137" xfId="0" applyFont="1" applyBorder="1"/>
    <xf numFmtId="166" fontId="96" fillId="0" borderId="7" xfId="1" applyNumberFormat="1" applyFont="1" applyFill="1" applyBorder="1"/>
    <xf numFmtId="166" fontId="95" fillId="26" borderId="5" xfId="1" applyNumberFormat="1" applyFont="1" applyFill="1" applyBorder="1"/>
    <xf numFmtId="0" fontId="96" fillId="36" borderId="5" xfId="0" applyFont="1" applyFill="1" applyBorder="1"/>
    <xf numFmtId="0" fontId="40" fillId="0" borderId="11" xfId="0" applyFont="1" applyBorder="1"/>
    <xf numFmtId="166" fontId="96" fillId="0" borderId="3" xfId="1" applyNumberFormat="1" applyFont="1" applyFill="1" applyBorder="1"/>
    <xf numFmtId="0" fontId="26" fillId="0" borderId="46" xfId="0" applyFont="1" applyBorder="1"/>
    <xf numFmtId="166" fontId="96" fillId="0" borderId="47" xfId="1" applyNumberFormat="1" applyFont="1" applyFill="1" applyBorder="1"/>
    <xf numFmtId="0" fontId="40" fillId="0" borderId="10" xfId="0" applyFont="1" applyBorder="1" applyAlignment="1">
      <alignment horizontal="center"/>
    </xf>
    <xf numFmtId="166" fontId="40" fillId="11" borderId="12" xfId="1" applyNumberFormat="1" applyFont="1" applyFill="1" applyBorder="1" applyAlignment="1"/>
    <xf numFmtId="0" fontId="40" fillId="2" borderId="11" xfId="0" applyFont="1" applyFill="1" applyBorder="1" applyAlignment="1">
      <alignment horizontal="left"/>
    </xf>
    <xf numFmtId="166" fontId="33" fillId="0" borderId="27" xfId="1" applyNumberFormat="1" applyFont="1" applyFill="1" applyBorder="1"/>
    <xf numFmtId="166" fontId="33" fillId="0" borderId="51" xfId="1" applyNumberFormat="1" applyFont="1" applyFill="1" applyBorder="1"/>
    <xf numFmtId="166" fontId="97" fillId="0" borderId="51" xfId="1" applyNumberFormat="1" applyFont="1" applyFill="1" applyBorder="1"/>
    <xf numFmtId="0" fontId="26" fillId="4" borderId="35" xfId="0" applyFont="1" applyFill="1" applyBorder="1"/>
    <xf numFmtId="167" fontId="96" fillId="0" borderId="7" xfId="1" applyNumberFormat="1" applyFont="1" applyFill="1" applyBorder="1" applyAlignment="1">
      <alignment horizontal="right"/>
    </xf>
    <xf numFmtId="167" fontId="95" fillId="0" borderId="7" xfId="1" applyNumberFormat="1" applyFont="1" applyFill="1" applyBorder="1" applyAlignment="1">
      <alignment horizontal="right"/>
    </xf>
    <xf numFmtId="167" fontId="95" fillId="0" borderId="0" xfId="1" applyNumberFormat="1" applyFont="1" applyFill="1" applyBorder="1" applyAlignment="1">
      <alignment horizontal="right"/>
    </xf>
    <xf numFmtId="167" fontId="96" fillId="0" borderId="0" xfId="1" applyNumberFormat="1" applyFont="1" applyFill="1" applyBorder="1" applyAlignment="1">
      <alignment horizontal="right"/>
    </xf>
    <xf numFmtId="167" fontId="96" fillId="0" borderId="5" xfId="1" applyNumberFormat="1" applyFont="1" applyFill="1" applyBorder="1" applyAlignment="1">
      <alignment horizontal="right"/>
    </xf>
    <xf numFmtId="0" fontId="40" fillId="0" borderId="3" xfId="0" applyFont="1" applyBorder="1" applyAlignment="1">
      <alignment horizontal="center"/>
    </xf>
    <xf numFmtId="166" fontId="97" fillId="0" borderId="10" xfId="1" applyNumberFormat="1" applyFont="1" applyFill="1" applyBorder="1"/>
    <xf numFmtId="167" fontId="95" fillId="4" borderId="10" xfId="1" applyNumberFormat="1" applyFont="1" applyFill="1" applyBorder="1"/>
    <xf numFmtId="0" fontId="33" fillId="0" borderId="35" xfId="0" applyFont="1" applyBorder="1"/>
    <xf numFmtId="167" fontId="96" fillId="0" borderId="7" xfId="1" applyNumberFormat="1" applyFont="1" applyFill="1" applyBorder="1"/>
    <xf numFmtId="167" fontId="96" fillId="0" borderId="0" xfId="1" applyNumberFormat="1" applyFont="1" applyFill="1" applyBorder="1"/>
    <xf numFmtId="167" fontId="95" fillId="0" borderId="7" xfId="1" applyNumberFormat="1" applyFont="1" applyFill="1" applyBorder="1"/>
    <xf numFmtId="167" fontId="97" fillId="0" borderId="7" xfId="1" applyNumberFormat="1" applyFont="1" applyFill="1" applyBorder="1" applyAlignment="1">
      <alignment horizontal="right"/>
    </xf>
    <xf numFmtId="167" fontId="33" fillId="0" borderId="7" xfId="1" applyNumberFormat="1" applyFont="1" applyFill="1" applyBorder="1" applyAlignment="1">
      <alignment horizontal="right"/>
    </xf>
    <xf numFmtId="167" fontId="98" fillId="0" borderId="7" xfId="1" applyNumberFormat="1" applyFont="1" applyFill="1" applyBorder="1" applyAlignment="1">
      <alignment horizontal="right"/>
    </xf>
    <xf numFmtId="0" fontId="26" fillId="4" borderId="106" xfId="0" applyFont="1" applyFill="1" applyBorder="1"/>
    <xf numFmtId="0" fontId="40" fillId="0" borderId="11" xfId="0" applyFont="1" applyBorder="1" applyAlignment="1">
      <alignment horizontal="center"/>
    </xf>
    <xf numFmtId="166" fontId="40" fillId="0" borderId="10" xfId="1" applyNumberFormat="1" applyFont="1" applyFill="1" applyBorder="1" applyAlignment="1"/>
    <xf numFmtId="0" fontId="26" fillId="0" borderId="34" xfId="0" applyFont="1" applyBorder="1"/>
    <xf numFmtId="166" fontId="95" fillId="0" borderId="5" xfId="1" applyNumberFormat="1" applyFont="1" applyFill="1" applyBorder="1"/>
    <xf numFmtId="166" fontId="40" fillId="0" borderId="12" xfId="1" applyNumberFormat="1" applyFont="1" applyFill="1" applyBorder="1" applyAlignment="1">
      <alignment horizontal="center"/>
    </xf>
    <xf numFmtId="167" fontId="96" fillId="0" borderId="5" xfId="1" applyNumberFormat="1" applyFont="1" applyFill="1" applyBorder="1"/>
    <xf numFmtId="0" fontId="96" fillId="0" borderId="35" xfId="0" applyFont="1" applyBorder="1"/>
    <xf numFmtId="0" fontId="26" fillId="2" borderId="34" xfId="0" applyFont="1" applyFill="1" applyBorder="1"/>
    <xf numFmtId="166" fontId="96" fillId="2" borderId="7" xfId="1" applyNumberFormat="1" applyFont="1" applyFill="1" applyBorder="1"/>
    <xf numFmtId="167" fontId="96" fillId="2" borderId="5" xfId="1" applyNumberFormat="1" applyFont="1" applyFill="1" applyBorder="1"/>
    <xf numFmtId="0" fontId="26" fillId="2" borderId="35" xfId="0" applyFont="1" applyFill="1" applyBorder="1"/>
    <xf numFmtId="166" fontId="96" fillId="2" borderId="5" xfId="1" applyNumberFormat="1" applyFont="1" applyFill="1" applyBorder="1"/>
    <xf numFmtId="167" fontId="96" fillId="2" borderId="7" xfId="1" applyNumberFormat="1" applyFont="1" applyFill="1" applyBorder="1"/>
    <xf numFmtId="167" fontId="33" fillId="0" borderId="5" xfId="1" applyNumberFormat="1" applyFont="1" applyFill="1" applyBorder="1"/>
    <xf numFmtId="166" fontId="40" fillId="0" borderId="12" xfId="1" applyNumberFormat="1" applyFont="1" applyFill="1" applyBorder="1" applyAlignment="1"/>
    <xf numFmtId="166" fontId="96" fillId="0" borderId="6" xfId="1" applyNumberFormat="1" applyFont="1" applyFill="1" applyBorder="1"/>
    <xf numFmtId="166" fontId="40" fillId="0" borderId="13" xfId="1" applyNumberFormat="1" applyFont="1" applyFill="1" applyBorder="1" applyAlignment="1"/>
    <xf numFmtId="167" fontId="96" fillId="0" borderId="48" xfId="1" applyNumberFormat="1" applyFont="1" applyFill="1" applyBorder="1" applyAlignment="1">
      <alignment horizontal="right"/>
    </xf>
    <xf numFmtId="167" fontId="40" fillId="2" borderId="10" xfId="1" applyNumberFormat="1" applyFont="1" applyFill="1" applyBorder="1" applyAlignment="1"/>
    <xf numFmtId="167" fontId="40" fillId="2" borderId="11" xfId="1" applyNumberFormat="1" applyFont="1" applyFill="1" applyBorder="1" applyAlignment="1"/>
    <xf numFmtId="167" fontId="40" fillId="0" borderId="0" xfId="1" applyNumberFormat="1" applyFont="1" applyFill="1" applyBorder="1" applyAlignment="1"/>
    <xf numFmtId="167" fontId="40" fillId="7" borderId="10" xfId="1" applyNumberFormat="1" applyFont="1" applyFill="1" applyBorder="1" applyAlignment="1"/>
    <xf numFmtId="167" fontId="40" fillId="4" borderId="10" xfId="1" applyNumberFormat="1" applyFont="1" applyFill="1" applyBorder="1" applyAlignment="1"/>
    <xf numFmtId="41" fontId="96" fillId="0" borderId="0" xfId="10" applyFont="1" applyBorder="1"/>
    <xf numFmtId="168" fontId="96" fillId="0" borderId="0" xfId="0" applyNumberFormat="1" applyFont="1"/>
    <xf numFmtId="43" fontId="96" fillId="0" borderId="0" xfId="0" applyNumberFormat="1" applyFont="1"/>
    <xf numFmtId="0" fontId="95" fillId="4" borderId="147" xfId="0" applyFont="1" applyFill="1" applyBorder="1"/>
    <xf numFmtId="0" fontId="95" fillId="4" borderId="143" xfId="0" applyFont="1" applyFill="1" applyBorder="1"/>
    <xf numFmtId="167" fontId="95" fillId="4" borderId="148" xfId="1" applyNumberFormat="1" applyFont="1" applyFill="1" applyBorder="1" applyAlignment="1">
      <alignment horizontal="center"/>
    </xf>
    <xf numFmtId="0" fontId="95" fillId="4" borderId="96" xfId="0" applyFont="1" applyFill="1" applyBorder="1"/>
    <xf numFmtId="166" fontId="95" fillId="4" borderId="93" xfId="0" applyNumberFormat="1" applyFont="1" applyFill="1" applyBorder="1"/>
    <xf numFmtId="166" fontId="95" fillId="4" borderId="123" xfId="0" applyNumberFormat="1" applyFont="1" applyFill="1" applyBorder="1"/>
    <xf numFmtId="17" fontId="40" fillId="2" borderId="95" xfId="0" applyNumberFormat="1" applyFont="1" applyFill="1" applyBorder="1" applyAlignment="1">
      <alignment horizontal="center"/>
    </xf>
    <xf numFmtId="167" fontId="23" fillId="0" borderId="0" xfId="0" applyNumberFormat="1" applyFont="1"/>
    <xf numFmtId="166" fontId="33" fillId="0" borderId="98" xfId="0" applyNumberFormat="1" applyFont="1" applyBorder="1"/>
    <xf numFmtId="166" fontId="33" fillId="0" borderId="6" xfId="0" applyNumberFormat="1" applyFont="1" applyBorder="1"/>
    <xf numFmtId="0" fontId="97" fillId="0" borderId="37" xfId="0" applyFont="1" applyBorder="1"/>
    <xf numFmtId="0" fontId="95" fillId="2" borderId="11" xfId="0" applyFont="1" applyFill="1" applyBorder="1"/>
    <xf numFmtId="166" fontId="97" fillId="2" borderId="29" xfId="0" applyNumberFormat="1" applyFont="1" applyFill="1" applyBorder="1"/>
    <xf numFmtId="166" fontId="97" fillId="4" borderId="47" xfId="0" applyNumberFormat="1" applyFont="1" applyFill="1" applyBorder="1"/>
    <xf numFmtId="0" fontId="97" fillId="4" borderId="96" xfId="0" applyFont="1" applyFill="1" applyBorder="1"/>
    <xf numFmtId="166" fontId="95" fillId="4" borderId="20" xfId="0" applyNumberFormat="1" applyFont="1" applyFill="1" applyBorder="1"/>
    <xf numFmtId="166" fontId="97" fillId="11" borderId="10" xfId="0" applyNumberFormat="1" applyFont="1" applyFill="1" applyBorder="1"/>
    <xf numFmtId="167" fontId="40" fillId="0" borderId="122" xfId="1" applyNumberFormat="1" applyFont="1" applyFill="1" applyBorder="1" applyAlignment="1"/>
    <xf numFmtId="167" fontId="44" fillId="4" borderId="10" xfId="1" applyNumberFormat="1" applyFont="1" applyFill="1" applyBorder="1" applyAlignment="1"/>
    <xf numFmtId="167" fontId="44" fillId="10" borderId="10" xfId="1" applyNumberFormat="1" applyFont="1" applyFill="1" applyBorder="1" applyAlignment="1"/>
    <xf numFmtId="167" fontId="40" fillId="10" borderId="10" xfId="1" applyNumberFormat="1" applyFont="1" applyFill="1" applyBorder="1" applyAlignment="1"/>
    <xf numFmtId="43" fontId="22" fillId="0" borderId="0" xfId="0" applyNumberFormat="1" applyFont="1"/>
    <xf numFmtId="164" fontId="22" fillId="0" borderId="0" xfId="0" applyNumberFormat="1" applyFont="1"/>
    <xf numFmtId="43" fontId="0" fillId="0" borderId="0" xfId="13" applyFont="1"/>
    <xf numFmtId="43" fontId="37" fillId="0" borderId="0" xfId="13" applyFont="1"/>
    <xf numFmtId="43" fontId="0" fillId="0" borderId="116" xfId="13" applyFont="1" applyBorder="1"/>
    <xf numFmtId="43" fontId="0" fillId="0" borderId="0" xfId="13" applyFont="1" applyAlignment="1">
      <alignment horizontal="center"/>
    </xf>
    <xf numFmtId="43" fontId="0" fillId="0" borderId="0" xfId="0" applyNumberFormat="1" applyAlignment="1">
      <alignment horizontal="right"/>
    </xf>
    <xf numFmtId="43" fontId="0" fillId="3" borderId="0" xfId="0" applyNumberFormat="1" applyFill="1"/>
    <xf numFmtId="0" fontId="22" fillId="0" borderId="116" xfId="0" applyFont="1" applyBorder="1" applyAlignment="1">
      <alignment horizontal="left"/>
    </xf>
    <xf numFmtId="164" fontId="0" fillId="0" borderId="116" xfId="1" applyFont="1" applyBorder="1" applyAlignment="1">
      <alignment horizontal="center"/>
    </xf>
    <xf numFmtId="0" fontId="0" fillId="0" borderId="116" xfId="0" applyBorder="1" applyAlignment="1">
      <alignment horizontal="right"/>
    </xf>
    <xf numFmtId="164" fontId="0" fillId="0" borderId="116" xfId="1" applyFont="1" applyBorder="1" applyAlignment="1">
      <alignment horizontal="right"/>
    </xf>
    <xf numFmtId="0" fontId="26" fillId="23" borderId="150" xfId="0" applyFont="1" applyFill="1" applyBorder="1" applyAlignment="1">
      <alignment horizontal="center"/>
    </xf>
    <xf numFmtId="49" fontId="90" fillId="23" borderId="150" xfId="0" applyNumberFormat="1" applyFont="1" applyFill="1" applyBorder="1" applyAlignment="1">
      <alignment horizontal="left"/>
    </xf>
    <xf numFmtId="49" fontId="26" fillId="23" borderId="150" xfId="0" applyNumberFormat="1" applyFont="1" applyFill="1" applyBorder="1" applyAlignment="1">
      <alignment horizontal="center"/>
    </xf>
    <xf numFmtId="0" fontId="2" fillId="0" borderId="143" xfId="0" applyFont="1" applyBorder="1"/>
    <xf numFmtId="0" fontId="2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4" fontId="0" fillId="0" borderId="106" xfId="0" applyNumberFormat="1" applyBorder="1" applyAlignment="1">
      <alignment horizontal="center"/>
    </xf>
    <xf numFmtId="3" fontId="17" fillId="0" borderId="116" xfId="0" applyNumberFormat="1" applyFont="1" applyBorder="1"/>
    <xf numFmtId="0" fontId="0" fillId="0" borderId="116" xfId="0" applyBorder="1" applyAlignment="1">
      <alignment horizontal="left"/>
    </xf>
    <xf numFmtId="14" fontId="101" fillId="0" borderId="106" xfId="0" applyNumberFormat="1" applyFont="1" applyBorder="1" applyAlignment="1">
      <alignment horizontal="center"/>
    </xf>
    <xf numFmtId="0" fontId="101" fillId="0" borderId="116" xfId="0" applyFont="1" applyBorder="1" applyAlignment="1">
      <alignment horizontal="center"/>
    </xf>
    <xf numFmtId="14" fontId="101" fillId="0" borderId="37" xfId="0" applyNumberFormat="1" applyFont="1" applyBorder="1" applyAlignment="1">
      <alignment horizontal="center"/>
    </xf>
    <xf numFmtId="0" fontId="0" fillId="0" borderId="151" xfId="0" applyBorder="1" applyAlignment="1">
      <alignment horizontal="left"/>
    </xf>
    <xf numFmtId="3" fontId="16" fillId="0" borderId="151" xfId="0" applyNumberFormat="1" applyFont="1" applyBorder="1"/>
    <xf numFmtId="14" fontId="101" fillId="0" borderId="110" xfId="0" applyNumberFormat="1" applyFont="1" applyBorder="1" applyAlignment="1">
      <alignment horizontal="center"/>
    </xf>
    <xf numFmtId="0" fontId="101" fillId="0" borderId="151" xfId="0" applyFont="1" applyBorder="1" applyAlignment="1">
      <alignment horizontal="center"/>
    </xf>
    <xf numFmtId="14" fontId="26" fillId="0" borderId="106" xfId="0" applyNumberFormat="1" applyFont="1" applyBorder="1" applyAlignment="1">
      <alignment horizontal="center"/>
    </xf>
    <xf numFmtId="0" fontId="22" fillId="0" borderId="151" xfId="0" applyFont="1" applyBorder="1" applyAlignment="1">
      <alignment horizontal="left"/>
    </xf>
    <xf numFmtId="14" fontId="101" fillId="0" borderId="0" xfId="0" applyNumberFormat="1" applyFont="1" applyAlignment="1">
      <alignment horizontal="center"/>
    </xf>
    <xf numFmtId="0" fontId="101" fillId="0" borderId="0" xfId="0" applyFont="1" applyAlignment="1">
      <alignment horizontal="center"/>
    </xf>
    <xf numFmtId="3" fontId="16" fillId="0" borderId="0" xfId="0" applyNumberFormat="1" applyFont="1"/>
    <xf numFmtId="0" fontId="2" fillId="0" borderId="95" xfId="0" applyFont="1" applyBorder="1" applyAlignment="1">
      <alignment horizontal="center" vertical="center"/>
    </xf>
    <xf numFmtId="3" fontId="18" fillId="0" borderId="116" xfId="0" applyNumberFormat="1" applyFont="1" applyBorder="1"/>
    <xf numFmtId="0" fontId="97" fillId="2" borderId="96" xfId="0" applyFont="1" applyFill="1" applyBorder="1"/>
    <xf numFmtId="166" fontId="95" fillId="2" borderId="38" xfId="0" applyNumberFormat="1" applyFont="1" applyFill="1" applyBorder="1"/>
    <xf numFmtId="0" fontId="59" fillId="14" borderId="35" xfId="0" applyFont="1" applyFill="1" applyBorder="1"/>
    <xf numFmtId="167" fontId="4" fillId="14" borderId="5" xfId="1" applyNumberFormat="1" applyFont="1" applyFill="1" applyBorder="1" applyAlignment="1">
      <alignment horizontal="center" wrapText="1"/>
    </xf>
    <xf numFmtId="9" fontId="22" fillId="0" borderId="0" xfId="11" applyFont="1"/>
    <xf numFmtId="41" fontId="22" fillId="0" borderId="0" xfId="11" applyNumberFormat="1" applyFont="1"/>
    <xf numFmtId="165" fontId="96" fillId="0" borderId="0" xfId="0" applyNumberFormat="1" applyFont="1"/>
    <xf numFmtId="43" fontId="37" fillId="0" borderId="0" xfId="0" applyNumberFormat="1" applyFont="1"/>
    <xf numFmtId="169" fontId="0" fillId="0" borderId="0" xfId="13" applyNumberFormat="1" applyFont="1"/>
    <xf numFmtId="169" fontId="22" fillId="0" borderId="0" xfId="0" applyNumberFormat="1" applyFont="1"/>
    <xf numFmtId="17" fontId="40" fillId="7" borderId="10" xfId="0" applyNumberFormat="1" applyFont="1" applyFill="1" applyBorder="1" applyAlignment="1">
      <alignment horizontal="center"/>
    </xf>
    <xf numFmtId="17" fontId="40" fillId="7" borderId="95" xfId="0" applyNumberFormat="1" applyFont="1" applyFill="1" applyBorder="1" applyAlignment="1">
      <alignment horizontal="center"/>
    </xf>
    <xf numFmtId="166" fontId="27" fillId="0" borderId="0" xfId="0" applyNumberFormat="1" applyFont="1"/>
    <xf numFmtId="3" fontId="12" fillId="12" borderId="136" xfId="0" applyNumberFormat="1" applyFont="1" applyFill="1" applyBorder="1"/>
    <xf numFmtId="14" fontId="26" fillId="0" borderId="136" xfId="0" applyNumberFormat="1" applyFont="1" applyBorder="1" applyAlignment="1">
      <alignment horizontal="center"/>
    </xf>
    <xf numFmtId="3" fontId="12" fillId="0" borderId="136" xfId="0" applyNumberFormat="1" applyFont="1" applyBorder="1"/>
    <xf numFmtId="43" fontId="0" fillId="0" borderId="0" xfId="13" applyFont="1" applyBorder="1"/>
    <xf numFmtId="172" fontId="0" fillId="0" borderId="136" xfId="0" quotePrefix="1" applyNumberForma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3" fillId="0" borderId="97" xfId="0" applyFont="1" applyBorder="1" applyAlignment="1">
      <alignment horizontal="center"/>
    </xf>
    <xf numFmtId="3" fontId="24" fillId="0" borderId="123" xfId="0" applyNumberFormat="1" applyFont="1" applyBorder="1"/>
    <xf numFmtId="3" fontId="12" fillId="0" borderId="44" xfId="0" applyNumberFormat="1" applyFont="1" applyBorder="1"/>
    <xf numFmtId="3" fontId="12" fillId="0" borderId="136" xfId="0" applyNumberFormat="1" applyFont="1" applyBorder="1" applyAlignment="1">
      <alignment horizontal="center"/>
    </xf>
    <xf numFmtId="3" fontId="12" fillId="12" borderId="5" xfId="0" applyNumberFormat="1" applyFont="1" applyFill="1" applyBorder="1" applyAlignment="1">
      <alignment horizontal="left"/>
    </xf>
    <xf numFmtId="0" fontId="0" fillId="0" borderId="136" xfId="0" quotePrefix="1" applyBorder="1" applyAlignment="1">
      <alignment horizontal="left"/>
    </xf>
    <xf numFmtId="0" fontId="26" fillId="12" borderId="5" xfId="0" applyFont="1" applyFill="1" applyBorder="1" applyAlignment="1">
      <alignment horizontal="left"/>
    </xf>
    <xf numFmtId="0" fontId="26" fillId="0" borderId="136" xfId="0" applyFont="1" applyBorder="1" applyAlignment="1">
      <alignment horizontal="left"/>
    </xf>
    <xf numFmtId="14" fontId="26" fillId="12" borderId="136" xfId="0" applyNumberFormat="1" applyFont="1" applyFill="1" applyBorder="1" applyAlignment="1">
      <alignment horizontal="center"/>
    </xf>
    <xf numFmtId="3" fontId="12" fillId="0" borderId="96" xfId="0" applyNumberFormat="1" applyFont="1" applyBorder="1"/>
    <xf numFmtId="41" fontId="22" fillId="0" borderId="0" xfId="10" applyFont="1" applyFill="1"/>
    <xf numFmtId="0" fontId="0" fillId="0" borderId="153" xfId="0" applyBorder="1"/>
    <xf numFmtId="0" fontId="22" fillId="12" borderId="49" xfId="0" applyFont="1" applyFill="1" applyBorder="1" applyAlignment="1">
      <alignment horizontal="left"/>
    </xf>
    <xf numFmtId="14" fontId="26" fillId="12" borderId="143" xfId="0" applyNumberFormat="1" applyFont="1" applyFill="1" applyBorder="1" applyAlignment="1">
      <alignment horizontal="left"/>
    </xf>
    <xf numFmtId="0" fontId="26" fillId="12" borderId="148" xfId="0" applyFont="1" applyFill="1" applyBorder="1" applyAlignment="1">
      <alignment horizontal="center"/>
    </xf>
    <xf numFmtId="14" fontId="26" fillId="12" borderId="154" xfId="0" applyNumberFormat="1" applyFont="1" applyFill="1" applyBorder="1" applyAlignment="1">
      <alignment horizontal="left"/>
    </xf>
    <xf numFmtId="0" fontId="26" fillId="12" borderId="155" xfId="0" applyFont="1" applyFill="1" applyBorder="1" applyAlignment="1">
      <alignment horizontal="center"/>
    </xf>
    <xf numFmtId="14" fontId="26" fillId="12" borderId="156" xfId="0" applyNumberFormat="1" applyFont="1" applyFill="1" applyBorder="1" applyAlignment="1">
      <alignment horizontal="left"/>
    </xf>
    <xf numFmtId="0" fontId="26" fillId="12" borderId="157" xfId="0" applyFont="1" applyFill="1" applyBorder="1" applyAlignment="1">
      <alignment horizontal="center"/>
    </xf>
    <xf numFmtId="14" fontId="40" fillId="12" borderId="37" xfId="0" applyNumberFormat="1" applyFont="1" applyFill="1" applyBorder="1" applyAlignment="1">
      <alignment horizontal="left"/>
    </xf>
    <xf numFmtId="0" fontId="40" fillId="12" borderId="21" xfId="0" applyFont="1" applyFill="1" applyBorder="1" applyAlignment="1">
      <alignment horizontal="center"/>
    </xf>
    <xf numFmtId="14" fontId="40" fillId="12" borderId="97" xfId="0" applyNumberFormat="1" applyFont="1" applyFill="1" applyBorder="1" applyAlignment="1">
      <alignment horizontal="left"/>
    </xf>
    <xf numFmtId="0" fontId="40" fillId="12" borderId="123" xfId="0" applyFont="1" applyFill="1" applyBorder="1" applyAlignment="1">
      <alignment horizontal="center"/>
    </xf>
    <xf numFmtId="0" fontId="22" fillId="12" borderId="23" xfId="0" applyFont="1" applyFill="1" applyBorder="1" applyAlignment="1">
      <alignment horizontal="left"/>
    </xf>
    <xf numFmtId="0" fontId="23" fillId="12" borderId="95" xfId="0" applyFont="1" applyFill="1" applyBorder="1" applyAlignment="1">
      <alignment horizontal="center"/>
    </xf>
    <xf numFmtId="0" fontId="23" fillId="12" borderId="95" xfId="0" applyFont="1" applyFill="1" applyBorder="1" applyAlignment="1">
      <alignment horizontal="left"/>
    </xf>
    <xf numFmtId="176" fontId="0" fillId="0" borderId="0" xfId="0" applyNumberFormat="1" applyAlignment="1">
      <alignment horizontal="center"/>
    </xf>
    <xf numFmtId="164" fontId="0" fillId="0" borderId="0" xfId="1" applyFont="1" applyFill="1" applyBorder="1"/>
    <xf numFmtId="4" fontId="0" fillId="0" borderId="0" xfId="0" applyNumberFormat="1" applyAlignment="1">
      <alignment horizontal="center"/>
    </xf>
    <xf numFmtId="16" fontId="0" fillId="0" borderId="0" xfId="0" applyNumberFormat="1"/>
    <xf numFmtId="41" fontId="12" fillId="12" borderId="136" xfId="10" applyFont="1" applyFill="1" applyBorder="1"/>
    <xf numFmtId="0" fontId="0" fillId="0" borderId="158" xfId="0" applyBorder="1"/>
    <xf numFmtId="43" fontId="0" fillId="0" borderId="158" xfId="13" applyFont="1" applyFill="1" applyBorder="1"/>
    <xf numFmtId="172" fontId="0" fillId="0" borderId="158" xfId="0" applyNumberFormat="1" applyBorder="1"/>
    <xf numFmtId="41" fontId="12" fillId="0" borderId="159" xfId="10" applyFont="1" applyFill="1" applyBorder="1"/>
    <xf numFmtId="3" fontId="12" fillId="12" borderId="5" xfId="0" applyNumberFormat="1" applyFont="1" applyFill="1" applyBorder="1" applyAlignment="1">
      <alignment horizontal="center"/>
    </xf>
    <xf numFmtId="3" fontId="24" fillId="12" borderId="5" xfId="0" applyNumberFormat="1" applyFont="1" applyFill="1" applyBorder="1" applyAlignment="1">
      <alignment horizontal="center"/>
    </xf>
    <xf numFmtId="41" fontId="24" fillId="12" borderId="136" xfId="10" applyFont="1" applyFill="1" applyBorder="1"/>
    <xf numFmtId="0" fontId="26" fillId="12" borderId="136" xfId="0" applyFont="1" applyFill="1" applyBorder="1" applyAlignment="1">
      <alignment horizontal="left"/>
    </xf>
    <xf numFmtId="0" fontId="11" fillId="0" borderId="147" xfId="0" applyFont="1" applyBorder="1" applyAlignment="1">
      <alignment horizontal="left" indent="2"/>
    </xf>
    <xf numFmtId="167" fontId="4" fillId="0" borderId="160" xfId="1" applyNumberFormat="1" applyFont="1" applyFill="1" applyBorder="1"/>
    <xf numFmtId="0" fontId="4" fillId="0" borderId="103" xfId="0" applyFont="1" applyBorder="1"/>
    <xf numFmtId="0" fontId="4" fillId="0" borderId="95" xfId="0" applyFont="1" applyBorder="1" applyAlignment="1">
      <alignment horizontal="left"/>
    </xf>
    <xf numFmtId="14" fontId="40" fillId="0" borderId="0" xfId="0" applyNumberFormat="1" applyFont="1" applyAlignment="1">
      <alignment horizontal="center"/>
    </xf>
    <xf numFmtId="6" fontId="22" fillId="0" borderId="0" xfId="0" applyNumberFormat="1" applyFont="1"/>
    <xf numFmtId="172" fontId="102" fillId="0" borderId="147" xfId="0" applyNumberFormat="1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3" fillId="0" borderId="124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43" fontId="103" fillId="0" borderId="147" xfId="13" applyFont="1" applyBorder="1" applyAlignment="1">
      <alignment horizontal="center" vertical="center"/>
    </xf>
    <xf numFmtId="0" fontId="0" fillId="19" borderId="116" xfId="0" quotePrefix="1" applyFill="1" applyBorder="1"/>
    <xf numFmtId="172" fontId="0" fillId="0" borderId="0" xfId="0" quotePrefix="1" applyNumberFormat="1" applyAlignment="1">
      <alignment horizontal="center"/>
    </xf>
    <xf numFmtId="0" fontId="0" fillId="0" borderId="0" xfId="0" quotePrefix="1"/>
    <xf numFmtId="0" fontId="56" fillId="37" borderId="0" xfId="0" applyFont="1" applyFill="1" applyAlignment="1">
      <alignment horizontal="left"/>
    </xf>
    <xf numFmtId="0" fontId="56" fillId="37" borderId="0" xfId="0" applyFont="1" applyFill="1"/>
    <xf numFmtId="164" fontId="2" fillId="24" borderId="27" xfId="1" applyFont="1" applyFill="1" applyBorder="1" applyAlignment="1"/>
    <xf numFmtId="0" fontId="2" fillId="24" borderId="149" xfId="0" applyFont="1" applyFill="1" applyBorder="1" applyAlignment="1">
      <alignment vertical="center" wrapText="1"/>
    </xf>
    <xf numFmtId="2" fontId="0" fillId="0" borderId="116" xfId="1" applyNumberFormat="1" applyFont="1" applyFill="1" applyBorder="1" applyAlignment="1">
      <alignment horizontal="right"/>
    </xf>
    <xf numFmtId="0" fontId="0" fillId="16" borderId="116" xfId="0" applyFill="1" applyBorder="1" applyAlignment="1">
      <alignment horizontal="center"/>
    </xf>
    <xf numFmtId="176" fontId="0" fillId="16" borderId="116" xfId="0" applyNumberFormat="1" applyFill="1" applyBorder="1" applyAlignment="1">
      <alignment horizontal="center"/>
    </xf>
    <xf numFmtId="0" fontId="0" fillId="16" borderId="116" xfId="0" applyFill="1" applyBorder="1"/>
    <xf numFmtId="0" fontId="35" fillId="16" borderId="118" xfId="0" applyFont="1" applyFill="1" applyBorder="1" applyAlignment="1">
      <alignment horizontal="justify" vertical="center" wrapText="1"/>
    </xf>
    <xf numFmtId="0" fontId="35" fillId="16" borderId="152" xfId="0" applyFont="1" applyFill="1" applyBorder="1" applyAlignment="1">
      <alignment horizontal="justify" vertical="center" wrapText="1"/>
    </xf>
    <xf numFmtId="4" fontId="0" fillId="16" borderId="116" xfId="0" applyNumberFormat="1" applyFill="1" applyBorder="1"/>
    <xf numFmtId="2" fontId="0" fillId="16" borderId="116" xfId="1" applyNumberFormat="1" applyFont="1" applyFill="1" applyBorder="1" applyAlignment="1">
      <alignment horizontal="right"/>
    </xf>
    <xf numFmtId="172" fontId="0" fillId="16" borderId="116" xfId="0" applyNumberFormat="1" applyFill="1" applyBorder="1" applyAlignment="1">
      <alignment horizontal="center"/>
    </xf>
    <xf numFmtId="0" fontId="35" fillId="0" borderId="152" xfId="0" applyFont="1" applyBorder="1" applyAlignment="1">
      <alignment horizontal="justify" vertical="center" wrapText="1"/>
    </xf>
    <xf numFmtId="164" fontId="0" fillId="0" borderId="116" xfId="1" applyFont="1" applyFill="1" applyBorder="1" applyAlignment="1">
      <alignment horizontal="left"/>
    </xf>
    <xf numFmtId="0" fontId="77" fillId="0" borderId="118" xfId="0" applyFont="1" applyBorder="1" applyAlignment="1">
      <alignment vertical="center" wrapText="1"/>
    </xf>
    <xf numFmtId="0" fontId="35" fillId="0" borderId="118" xfId="0" applyFont="1" applyBorder="1" applyAlignment="1">
      <alignment vertical="center" wrapText="1"/>
    </xf>
    <xf numFmtId="164" fontId="0" fillId="16" borderId="116" xfId="1" applyFont="1" applyFill="1" applyBorder="1"/>
    <xf numFmtId="2" fontId="0" fillId="38" borderId="116" xfId="1" applyNumberFormat="1" applyFont="1" applyFill="1" applyBorder="1" applyAlignment="1">
      <alignment horizontal="right"/>
    </xf>
    <xf numFmtId="0" fontId="0" fillId="9" borderId="116" xfId="0" applyFill="1" applyBorder="1" applyAlignment="1">
      <alignment horizontal="center"/>
    </xf>
    <xf numFmtId="176" fontId="0" fillId="9" borderId="116" xfId="0" applyNumberFormat="1" applyFill="1" applyBorder="1" applyAlignment="1">
      <alignment horizontal="center"/>
    </xf>
    <xf numFmtId="164" fontId="0" fillId="9" borderId="116" xfId="1" applyFont="1" applyFill="1" applyBorder="1"/>
    <xf numFmtId="0" fontId="0" fillId="9" borderId="0" xfId="0" applyFill="1"/>
    <xf numFmtId="4" fontId="0" fillId="9" borderId="116" xfId="0" applyNumberFormat="1" applyFill="1" applyBorder="1"/>
    <xf numFmtId="4" fontId="22" fillId="9" borderId="116" xfId="0" applyNumberFormat="1" applyFont="1" applyFill="1" applyBorder="1" applyAlignment="1">
      <alignment wrapText="1"/>
    </xf>
    <xf numFmtId="172" fontId="0" fillId="9" borderId="116" xfId="0" applyNumberFormat="1" applyFill="1" applyBorder="1" applyAlignment="1">
      <alignment horizontal="center"/>
    </xf>
    <xf numFmtId="14" fontId="0" fillId="9" borderId="116" xfId="0" applyNumberFormat="1" applyFill="1" applyBorder="1" applyAlignment="1">
      <alignment horizontal="center"/>
    </xf>
    <xf numFmtId="0" fontId="56" fillId="39" borderId="116" xfId="0" applyFont="1" applyFill="1" applyBorder="1" applyAlignment="1">
      <alignment horizontal="center"/>
    </xf>
    <xf numFmtId="176" fontId="56" fillId="39" borderId="116" xfId="0" applyNumberFormat="1" applyFont="1" applyFill="1" applyBorder="1" applyAlignment="1">
      <alignment horizontal="center"/>
    </xf>
    <xf numFmtId="164" fontId="56" fillId="39" borderId="116" xfId="1" applyFont="1" applyFill="1" applyBorder="1"/>
    <xf numFmtId="4" fontId="56" fillId="39" borderId="116" xfId="0" applyNumberFormat="1" applyFont="1" applyFill="1" applyBorder="1"/>
    <xf numFmtId="172" fontId="56" fillId="39" borderId="116" xfId="0" applyNumberFormat="1" applyFont="1" applyFill="1" applyBorder="1" applyAlignment="1">
      <alignment horizontal="center"/>
    </xf>
    <xf numFmtId="1" fontId="85" fillId="0" borderId="0" xfId="0" applyNumberFormat="1" applyFont="1" applyAlignment="1">
      <alignment horizontal="center"/>
    </xf>
    <xf numFmtId="1" fontId="85" fillId="0" borderId="0" xfId="1" applyNumberFormat="1" applyFont="1" applyFill="1" applyBorder="1" applyAlignment="1">
      <alignment horizontal="center"/>
    </xf>
    <xf numFmtId="1" fontId="85" fillId="40" borderId="0" xfId="1" applyNumberFormat="1" applyFont="1" applyFill="1" applyBorder="1" applyAlignment="1">
      <alignment horizontal="center"/>
    </xf>
    <xf numFmtId="0" fontId="56" fillId="40" borderId="0" xfId="0" applyFont="1" applyFill="1" applyAlignment="1">
      <alignment horizontal="left"/>
    </xf>
    <xf numFmtId="0" fontId="18" fillId="40" borderId="0" xfId="0" applyFont="1" applyFill="1" applyAlignment="1">
      <alignment horizontal="center"/>
    </xf>
    <xf numFmtId="1" fontId="3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4" fontId="86" fillId="24" borderId="116" xfId="1" applyFont="1" applyFill="1" applyBorder="1" applyAlignment="1">
      <alignment horizontal="center" vertical="center" wrapText="1"/>
    </xf>
    <xf numFmtId="164" fontId="0" fillId="0" borderId="117" xfId="1" applyFont="1" applyFill="1" applyBorder="1"/>
    <xf numFmtId="178" fontId="104" fillId="0" borderId="0" xfId="0" applyNumberFormat="1" applyFont="1"/>
    <xf numFmtId="164" fontId="0" fillId="0" borderId="0" xfId="1" applyFont="1" applyFill="1"/>
    <xf numFmtId="4" fontId="0" fillId="0" borderId="116" xfId="0" applyNumberFormat="1" applyBorder="1" applyAlignment="1">
      <alignment horizontal="right"/>
    </xf>
    <xf numFmtId="164" fontId="0" fillId="0" borderId="117" xfId="1" applyFont="1" applyFill="1" applyBorder="1" applyAlignment="1">
      <alignment horizontal="right"/>
    </xf>
    <xf numFmtId="178" fontId="0" fillId="0" borderId="116" xfId="0" applyNumberFormat="1" applyBorder="1"/>
    <xf numFmtId="0" fontId="0" fillId="38" borderId="116" xfId="0" applyFill="1" applyBorder="1" applyAlignment="1">
      <alignment horizontal="center"/>
    </xf>
    <xf numFmtId="176" fontId="0" fillId="38" borderId="116" xfId="0" applyNumberFormat="1" applyFill="1" applyBorder="1" applyAlignment="1">
      <alignment horizontal="center"/>
    </xf>
    <xf numFmtId="164" fontId="0" fillId="38" borderId="116" xfId="1" applyFont="1" applyFill="1" applyBorder="1"/>
    <xf numFmtId="0" fontId="0" fillId="38" borderId="116" xfId="0" applyFill="1" applyBorder="1"/>
    <xf numFmtId="4" fontId="0" fillId="38" borderId="116" xfId="0" applyNumberFormat="1" applyFill="1" applyBorder="1"/>
    <xf numFmtId="4" fontId="0" fillId="38" borderId="116" xfId="0" applyNumberFormat="1" applyFill="1" applyBorder="1" applyAlignment="1">
      <alignment horizontal="center"/>
    </xf>
    <xf numFmtId="172" fontId="0" fillId="38" borderId="116" xfId="0" applyNumberFormat="1" applyFill="1" applyBorder="1" applyAlignment="1">
      <alignment horizontal="center"/>
    </xf>
    <xf numFmtId="0" fontId="0" fillId="38" borderId="0" xfId="0" applyFill="1"/>
    <xf numFmtId="49" fontId="0" fillId="7" borderId="116" xfId="0" applyNumberFormat="1" applyFill="1" applyBorder="1"/>
    <xf numFmtId="41" fontId="0" fillId="7" borderId="116" xfId="10" applyFont="1" applyFill="1" applyBorder="1"/>
    <xf numFmtId="3" fontId="0" fillId="0" borderId="116" xfId="0" applyNumberFormat="1" applyBorder="1"/>
    <xf numFmtId="166" fontId="38" fillId="0" borderId="101" xfId="13" applyNumberFormat="1" applyFont="1" applyFill="1" applyBorder="1" applyAlignment="1">
      <alignment vertical="center"/>
    </xf>
    <xf numFmtId="167" fontId="20" fillId="0" borderId="0" xfId="13" applyNumberFormat="1" applyFont="1" applyFill="1"/>
    <xf numFmtId="167" fontId="0" fillId="0" borderId="0" xfId="13" applyNumberFormat="1" applyFont="1" applyFill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29" xfId="0" applyFont="1" applyBorder="1" applyAlignment="1">
      <alignment horizontal="center" vertical="center" wrapText="1"/>
    </xf>
    <xf numFmtId="166" fontId="38" fillId="0" borderId="8" xfId="13" applyNumberFormat="1" applyFont="1" applyFill="1" applyBorder="1" applyAlignment="1">
      <alignment vertical="center"/>
    </xf>
    <xf numFmtId="167" fontId="20" fillId="0" borderId="0" xfId="13" applyNumberFormat="1" applyFont="1" applyFill="1" applyAlignment="1">
      <alignment vertical="center"/>
    </xf>
    <xf numFmtId="166" fontId="38" fillId="0" borderId="10" xfId="13" applyNumberFormat="1" applyFont="1" applyFill="1" applyBorder="1" applyAlignment="1">
      <alignment vertical="center"/>
    </xf>
    <xf numFmtId="41" fontId="0" fillId="0" borderId="116" xfId="10" applyFont="1" applyBorder="1"/>
    <xf numFmtId="166" fontId="38" fillId="0" borderId="101" xfId="13" applyNumberFormat="1" applyFont="1" applyFill="1" applyBorder="1" applyAlignment="1">
      <alignment horizontal="center" vertical="center"/>
    </xf>
    <xf numFmtId="166" fontId="38" fillId="7" borderId="101" xfId="13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66" fontId="38" fillId="0" borderId="0" xfId="1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7" fontId="38" fillId="5" borderId="10" xfId="13" applyNumberFormat="1" applyFont="1" applyFill="1" applyBorder="1" applyAlignment="1">
      <alignment vertical="center"/>
    </xf>
    <xf numFmtId="167" fontId="38" fillId="0" borderId="10" xfId="13" applyNumberFormat="1" applyFont="1" applyFill="1" applyBorder="1" applyAlignment="1">
      <alignment vertical="center"/>
    </xf>
    <xf numFmtId="167" fontId="105" fillId="7" borderId="10" xfId="13" applyNumberFormat="1" applyFont="1" applyFill="1" applyBorder="1" applyAlignment="1">
      <alignment vertical="center"/>
    </xf>
    <xf numFmtId="166" fontId="1" fillId="0" borderId="0" xfId="13" applyNumberFormat="1" applyFont="1" applyFill="1" applyBorder="1" applyAlignment="1">
      <alignment vertical="center"/>
    </xf>
    <xf numFmtId="167" fontId="38" fillId="4" borderId="10" xfId="13" applyNumberFormat="1" applyFont="1" applyFill="1" applyBorder="1" applyAlignment="1">
      <alignment vertical="center"/>
    </xf>
    <xf numFmtId="166" fontId="96" fillId="0" borderId="116" xfId="1" applyNumberFormat="1" applyFont="1" applyFill="1" applyBorder="1"/>
    <xf numFmtId="166" fontId="33" fillId="0" borderId="116" xfId="1" applyNumberFormat="1" applyFont="1" applyFill="1" applyBorder="1"/>
    <xf numFmtId="0" fontId="26" fillId="10" borderId="106" xfId="0" applyFont="1" applyFill="1" applyBorder="1"/>
    <xf numFmtId="166" fontId="96" fillId="10" borderId="5" xfId="1" applyNumberFormat="1" applyFont="1" applyFill="1" applyBorder="1"/>
    <xf numFmtId="166" fontId="33" fillId="10" borderId="5" xfId="1" applyNumberFormat="1" applyFont="1" applyFill="1" applyBorder="1"/>
    <xf numFmtId="41" fontId="99" fillId="0" borderId="116" xfId="10" applyFont="1" applyFill="1" applyBorder="1"/>
    <xf numFmtId="167" fontId="95" fillId="26" borderId="97" xfId="1" applyNumberFormat="1" applyFont="1" applyFill="1" applyBorder="1"/>
    <xf numFmtId="166" fontId="95" fillId="26" borderId="123" xfId="0" applyNumberFormat="1" applyFont="1" applyFill="1" applyBorder="1"/>
    <xf numFmtId="166" fontId="97" fillId="26" borderId="144" xfId="0" applyNumberFormat="1" applyFont="1" applyFill="1" applyBorder="1"/>
    <xf numFmtId="166" fontId="97" fillId="26" borderId="148" xfId="1" applyNumberFormat="1" applyFont="1" applyFill="1" applyBorder="1"/>
    <xf numFmtId="167" fontId="95" fillId="11" borderId="122" xfId="1" applyNumberFormat="1" applyFont="1" applyFill="1" applyBorder="1" applyAlignment="1">
      <alignment horizontal="center"/>
    </xf>
    <xf numFmtId="167" fontId="95" fillId="26" borderId="95" xfId="1" applyNumberFormat="1" applyFont="1" applyFill="1" applyBorder="1" applyAlignment="1">
      <alignment horizontal="center"/>
    </xf>
    <xf numFmtId="172" fontId="0" fillId="27" borderId="116" xfId="0" quotePrefix="1" applyNumberFormat="1" applyFill="1" applyBorder="1" applyAlignment="1">
      <alignment horizontal="center"/>
    </xf>
    <xf numFmtId="0" fontId="0" fillId="27" borderId="116" xfId="0" quotePrefix="1" applyFill="1" applyBorder="1"/>
    <xf numFmtId="0" fontId="0" fillId="27" borderId="116" xfId="0" applyFill="1" applyBorder="1"/>
    <xf numFmtId="43" fontId="0" fillId="27" borderId="116" xfId="13" applyFont="1" applyFill="1" applyBorder="1"/>
    <xf numFmtId="167" fontId="59" fillId="4" borderId="12" xfId="1" applyNumberFormat="1" applyFont="1" applyFill="1" applyBorder="1" applyAlignment="1"/>
    <xf numFmtId="3" fontId="78" fillId="35" borderId="98" xfId="0" applyNumberFormat="1" applyFont="1" applyFill="1" applyBorder="1" applyAlignment="1">
      <alignment horizontal="center" wrapText="1"/>
    </xf>
    <xf numFmtId="3" fontId="79" fillId="0" borderId="103" xfId="0" applyNumberFormat="1" applyFont="1" applyBorder="1" applyAlignment="1">
      <alignment horizontal="right"/>
    </xf>
    <xf numFmtId="0" fontId="79" fillId="0" borderId="96" xfId="0" applyFont="1" applyBorder="1" applyAlignment="1">
      <alignment horizontal="left" indent="2"/>
    </xf>
    <xf numFmtId="3" fontId="78" fillId="0" borderId="101" xfId="0" applyNumberFormat="1" applyFont="1" applyBorder="1" applyAlignment="1">
      <alignment horizontal="center" wrapText="1"/>
    </xf>
    <xf numFmtId="0" fontId="78" fillId="28" borderId="139" xfId="0" applyFont="1" applyFill="1" applyBorder="1" applyAlignment="1">
      <alignment horizontal="center" wrapText="1"/>
    </xf>
    <xf numFmtId="0" fontId="78" fillId="28" borderId="113" xfId="0" applyFont="1" applyFill="1" applyBorder="1" applyAlignment="1">
      <alignment horizontal="center" wrapText="1"/>
    </xf>
    <xf numFmtId="3" fontId="78" fillId="28" borderId="113" xfId="0" applyNumberFormat="1" applyFont="1" applyFill="1" applyBorder="1" applyAlignment="1">
      <alignment horizontal="center" wrapText="1"/>
    </xf>
    <xf numFmtId="0" fontId="78" fillId="31" borderId="113" xfId="0" applyFont="1" applyFill="1" applyBorder="1" applyAlignment="1">
      <alignment horizontal="center" wrapText="1"/>
    </xf>
    <xf numFmtId="0" fontId="78" fillId="28" borderId="39" xfId="0" applyFont="1" applyFill="1" applyBorder="1" applyAlignment="1">
      <alignment horizontal="center" wrapText="1"/>
    </xf>
    <xf numFmtId="3" fontId="78" fillId="0" borderId="10" xfId="0" applyNumberFormat="1" applyFont="1" applyBorder="1"/>
    <xf numFmtId="3" fontId="81" fillId="28" borderId="101" xfId="0" applyNumberFormat="1" applyFont="1" applyFill="1" applyBorder="1"/>
    <xf numFmtId="43" fontId="0" fillId="0" borderId="0" xfId="1" applyNumberFormat="1" applyFont="1" applyAlignment="1">
      <alignment horizontal="right"/>
    </xf>
    <xf numFmtId="4" fontId="78" fillId="29" borderId="101" xfId="0" applyNumberFormat="1" applyFont="1" applyFill="1" applyBorder="1"/>
    <xf numFmtId="4" fontId="78" fillId="29" borderId="4" xfId="0" applyNumberFormat="1" applyFont="1" applyFill="1" applyBorder="1"/>
    <xf numFmtId="4" fontId="78" fillId="30" borderId="4" xfId="0" applyNumberFormat="1" applyFont="1" applyFill="1" applyBorder="1"/>
    <xf numFmtId="173" fontId="0" fillId="0" borderId="0" xfId="0" applyNumberFormat="1"/>
    <xf numFmtId="166" fontId="51" fillId="0" borderId="152" xfId="0" applyNumberFormat="1" applyFont="1" applyBorder="1"/>
    <xf numFmtId="167" fontId="52" fillId="11" borderId="121" xfId="1" applyNumberFormat="1" applyFont="1" applyFill="1" applyBorder="1" applyAlignment="1">
      <alignment horizontal="center"/>
    </xf>
    <xf numFmtId="17" fontId="40" fillId="8" borderId="10" xfId="0" applyNumberFormat="1" applyFont="1" applyFill="1" applyBorder="1" applyAlignment="1">
      <alignment horizontal="center"/>
    </xf>
    <xf numFmtId="0" fontId="95" fillId="8" borderId="95" xfId="0" applyFont="1" applyFill="1" applyBorder="1" applyAlignment="1">
      <alignment horizontal="center"/>
    </xf>
    <xf numFmtId="167" fontId="95" fillId="8" borderId="122" xfId="1" applyNumberFormat="1" applyFont="1" applyFill="1" applyBorder="1" applyAlignment="1"/>
    <xf numFmtId="167" fontId="44" fillId="4" borderId="3" xfId="1" applyNumberFormat="1" applyFont="1" applyFill="1" applyBorder="1"/>
    <xf numFmtId="167" fontId="97" fillId="4" borderId="3" xfId="1" applyNumberFormat="1" applyFont="1" applyFill="1" applyBorder="1"/>
    <xf numFmtId="166" fontId="95" fillId="4" borderId="146" xfId="0" applyNumberFormat="1" applyFont="1" applyFill="1" applyBorder="1"/>
    <xf numFmtId="0" fontId="40" fillId="2" borderId="35" xfId="0" applyFont="1" applyFill="1" applyBorder="1"/>
    <xf numFmtId="166" fontId="97" fillId="2" borderId="5" xfId="1" applyNumberFormat="1" applyFont="1" applyFill="1" applyBorder="1"/>
    <xf numFmtId="3" fontId="78" fillId="28" borderId="94" xfId="0" applyNumberFormat="1" applyFont="1" applyFill="1" applyBorder="1" applyAlignment="1">
      <alignment horizontal="center" wrapText="1"/>
    </xf>
    <xf numFmtId="0" fontId="78" fillId="28" borderId="142" xfId="0" applyFont="1" applyFill="1" applyBorder="1" applyAlignment="1">
      <alignment horizontal="center" wrapText="1"/>
    </xf>
    <xf numFmtId="0" fontId="78" fillId="0" borderId="143" xfId="0" applyFont="1" applyBorder="1" applyAlignment="1">
      <alignment horizontal="left"/>
    </xf>
    <xf numFmtId="0" fontId="78" fillId="0" borderId="154" xfId="0" applyFont="1" applyBorder="1"/>
    <xf numFmtId="166" fontId="52" fillId="7" borderId="29" xfId="0" applyNumberFormat="1" applyFont="1" applyFill="1" applyBorder="1"/>
    <xf numFmtId="173" fontId="38" fillId="23" borderId="150" xfId="0" applyNumberFormat="1" applyFont="1" applyFill="1" applyBorder="1" applyAlignment="1">
      <alignment horizontal="center" wrapText="1"/>
    </xf>
    <xf numFmtId="0" fontId="38" fillId="23" borderId="150" xfId="0" applyFont="1" applyFill="1" applyBorder="1" applyAlignment="1">
      <alignment wrapText="1"/>
    </xf>
    <xf numFmtId="3" fontId="38" fillId="23" borderId="150" xfId="0" applyNumberFormat="1" applyFont="1" applyFill="1" applyBorder="1" applyAlignment="1">
      <alignment wrapText="1"/>
    </xf>
    <xf numFmtId="0" fontId="52" fillId="8" borderId="10" xfId="0" applyFont="1" applyFill="1" applyBorder="1" applyAlignment="1">
      <alignment horizontal="center"/>
    </xf>
    <xf numFmtId="17" fontId="48" fillId="8" borderId="10" xfId="0" applyNumberFormat="1" applyFont="1" applyFill="1" applyBorder="1" applyAlignment="1">
      <alignment horizontal="center"/>
    </xf>
    <xf numFmtId="0" fontId="52" fillId="12" borderId="3" xfId="0" applyFont="1" applyFill="1" applyBorder="1"/>
    <xf numFmtId="166" fontId="52" fillId="12" borderId="38" xfId="0" applyNumberFormat="1" applyFont="1" applyFill="1" applyBorder="1"/>
    <xf numFmtId="166" fontId="52" fillId="4" borderId="123" xfId="0" applyNumberFormat="1" applyFont="1" applyFill="1" applyBorder="1"/>
    <xf numFmtId="167" fontId="52" fillId="4" borderId="117" xfId="1" applyNumberFormat="1" applyFont="1" applyFill="1" applyBorder="1" applyAlignment="1">
      <alignment horizontal="center"/>
    </xf>
    <xf numFmtId="166" fontId="52" fillId="4" borderId="146" xfId="0" applyNumberFormat="1" applyFont="1" applyFill="1" applyBorder="1"/>
    <xf numFmtId="166" fontId="47" fillId="0" borderId="163" xfId="0" applyNumberFormat="1" applyFont="1" applyBorder="1"/>
    <xf numFmtId="167" fontId="52" fillId="7" borderId="96" xfId="1" applyNumberFormat="1" applyFont="1" applyFill="1" applyBorder="1"/>
    <xf numFmtId="166" fontId="47" fillId="0" borderId="62" xfId="0" applyNumberFormat="1" applyFont="1" applyBorder="1"/>
    <xf numFmtId="167" fontId="52" fillId="7" borderId="146" xfId="1" applyNumberFormat="1" applyFont="1" applyFill="1" applyBorder="1"/>
    <xf numFmtId="167" fontId="23" fillId="0" borderId="95" xfId="0" applyNumberFormat="1" applyFont="1" applyBorder="1"/>
    <xf numFmtId="41" fontId="96" fillId="27" borderId="5" xfId="10" applyFont="1" applyFill="1" applyBorder="1" applyAlignment="1">
      <alignment horizontal="right"/>
    </xf>
    <xf numFmtId="167" fontId="40" fillId="2" borderId="95" xfId="1" applyNumberFormat="1" applyFont="1" applyFill="1" applyBorder="1" applyAlignment="1"/>
    <xf numFmtId="166" fontId="95" fillId="41" borderId="47" xfId="1" applyNumberFormat="1" applyFont="1" applyFill="1" applyBorder="1"/>
    <xf numFmtId="167" fontId="97" fillId="10" borderId="10" xfId="1" applyNumberFormat="1" applyFont="1" applyFill="1" applyBorder="1" applyAlignment="1"/>
    <xf numFmtId="167" fontId="26" fillId="0" borderId="0" xfId="1" applyNumberFormat="1" applyFont="1" applyFill="1" applyBorder="1" applyAlignment="1"/>
    <xf numFmtId="3" fontId="41" fillId="0" borderId="5" xfId="0" applyNumberFormat="1" applyFont="1" applyBorder="1" applyAlignment="1">
      <alignment horizontal="center"/>
    </xf>
    <xf numFmtId="0" fontId="99" fillId="0" borderId="156" xfId="0" applyFont="1" applyBorder="1"/>
    <xf numFmtId="41" fontId="99" fillId="0" borderId="7" xfId="10" applyFont="1" applyFill="1" applyBorder="1"/>
    <xf numFmtId="0" fontId="40" fillId="4" borderId="20" xfId="0" applyFont="1" applyFill="1" applyBorder="1" applyAlignment="1">
      <alignment horizontal="center"/>
    </xf>
    <xf numFmtId="166" fontId="95" fillId="4" borderId="20" xfId="1" applyNumberFormat="1" applyFont="1" applyFill="1" applyBorder="1"/>
    <xf numFmtId="3" fontId="96" fillId="10" borderId="116" xfId="0" applyNumberFormat="1" applyFont="1" applyFill="1" applyBorder="1" applyAlignment="1">
      <alignment horizontal="right"/>
    </xf>
    <xf numFmtId="3" fontId="96" fillId="10" borderId="116" xfId="0" applyNumberFormat="1" applyFont="1" applyFill="1" applyBorder="1" applyAlignment="1">
      <alignment horizontal="center"/>
    </xf>
    <xf numFmtId="0" fontId="96" fillId="10" borderId="106" xfId="0" applyFont="1" applyFill="1" applyBorder="1"/>
    <xf numFmtId="167" fontId="65" fillId="4" borderId="12" xfId="1" applyNumberFormat="1" applyFont="1" applyFill="1" applyBorder="1" applyAlignment="1"/>
    <xf numFmtId="0" fontId="78" fillId="0" borderId="117" xfId="0" applyFont="1" applyBorder="1" applyAlignment="1">
      <alignment horizontal="center" wrapText="1"/>
    </xf>
    <xf numFmtId="0" fontId="78" fillId="0" borderId="116" xfId="0" applyFont="1" applyBorder="1" applyAlignment="1">
      <alignment horizontal="center" wrapText="1"/>
    </xf>
    <xf numFmtId="3" fontId="78" fillId="0" borderId="116" xfId="0" applyNumberFormat="1" applyFont="1" applyBorder="1" applyAlignment="1">
      <alignment horizontal="center" wrapText="1"/>
    </xf>
    <xf numFmtId="0" fontId="78" fillId="0" borderId="144" xfId="0" applyFont="1" applyBorder="1" applyAlignment="1">
      <alignment horizontal="center" wrapText="1"/>
    </xf>
    <xf numFmtId="3" fontId="78" fillId="0" borderId="101" xfId="0" applyNumberFormat="1" applyFont="1" applyBorder="1" applyAlignment="1">
      <alignment horizontal="center"/>
    </xf>
    <xf numFmtId="3" fontId="83" fillId="0" borderId="10" xfId="0" applyNumberFormat="1" applyFont="1" applyBorder="1"/>
    <xf numFmtId="0" fontId="38" fillId="23" borderId="167" xfId="0" applyFont="1" applyFill="1" applyBorder="1" applyAlignment="1">
      <alignment wrapText="1"/>
    </xf>
    <xf numFmtId="3" fontId="38" fillId="23" borderId="167" xfId="0" applyNumberFormat="1" applyFont="1" applyFill="1" applyBorder="1" applyAlignment="1">
      <alignment wrapText="1"/>
    </xf>
    <xf numFmtId="173" fontId="38" fillId="23" borderId="167" xfId="0" applyNumberFormat="1" applyFont="1" applyFill="1" applyBorder="1" applyAlignment="1">
      <alignment horizontal="center" wrapText="1"/>
    </xf>
    <xf numFmtId="173" fontId="38" fillId="0" borderId="150" xfId="0" applyNumberFormat="1" applyFont="1" applyBorder="1" applyAlignment="1">
      <alignment horizontal="center" wrapText="1"/>
    </xf>
    <xf numFmtId="41" fontId="24" fillId="0" borderId="139" xfId="10" applyFont="1" applyBorder="1"/>
    <xf numFmtId="41" fontId="24" fillId="0" borderId="18" xfId="10" applyFont="1" applyBorder="1"/>
    <xf numFmtId="41" fontId="24" fillId="0" borderId="173" xfId="10" applyFont="1" applyBorder="1"/>
    <xf numFmtId="41" fontId="22" fillId="0" borderId="165" xfId="10" applyFont="1" applyBorder="1"/>
    <xf numFmtId="41" fontId="22" fillId="0" borderId="138" xfId="10" applyFont="1" applyBorder="1"/>
    <xf numFmtId="41" fontId="22" fillId="0" borderId="168" xfId="10" applyFont="1" applyBorder="1"/>
    <xf numFmtId="167" fontId="23" fillId="0" borderId="146" xfId="0" applyNumberFormat="1" applyFont="1" applyBorder="1"/>
    <xf numFmtId="41" fontId="22" fillId="0" borderId="139" xfId="10" applyFont="1" applyBorder="1"/>
    <xf numFmtId="41" fontId="22" fillId="0" borderId="173" xfId="10" applyFont="1" applyBorder="1"/>
    <xf numFmtId="0" fontId="22" fillId="0" borderId="173" xfId="0" applyFont="1" applyBorder="1"/>
    <xf numFmtId="0" fontId="22" fillId="0" borderId="174" xfId="0" applyFont="1" applyBorder="1"/>
    <xf numFmtId="0" fontId="23" fillId="0" borderId="95" xfId="0" applyFont="1" applyBorder="1"/>
    <xf numFmtId="168" fontId="0" fillId="0" borderId="0" xfId="10" applyNumberFormat="1" applyFont="1"/>
    <xf numFmtId="2" fontId="35" fillId="0" borderId="175" xfId="0" applyNumberFormat="1" applyFont="1" applyBorder="1" applyAlignment="1">
      <alignment horizontal="center" vertical="center" wrapText="1"/>
    </xf>
    <xf numFmtId="2" fontId="70" fillId="25" borderId="175" xfId="0" applyNumberFormat="1" applyFont="1" applyFill="1" applyBorder="1" applyAlignment="1">
      <alignment horizontal="center" vertical="center" wrapText="1"/>
    </xf>
    <xf numFmtId="0" fontId="0" fillId="0" borderId="136" xfId="0" applyBorder="1" applyAlignment="1">
      <alignment horizontal="right"/>
    </xf>
    <xf numFmtId="0" fontId="0" fillId="0" borderId="136" xfId="0" applyBorder="1" applyAlignment="1">
      <alignment horizontal="left"/>
    </xf>
    <xf numFmtId="0" fontId="2" fillId="0" borderId="136" xfId="0" applyFont="1" applyBorder="1" applyAlignment="1">
      <alignment horizontal="right"/>
    </xf>
    <xf numFmtId="0" fontId="0" fillId="0" borderId="136" xfId="0" applyBorder="1"/>
    <xf numFmtId="0" fontId="2" fillId="24" borderId="149" xfId="0" applyFont="1" applyFill="1" applyBorder="1" applyAlignment="1">
      <alignment horizontal="center" vertical="center" wrapText="1"/>
    </xf>
    <xf numFmtId="166" fontId="97" fillId="4" borderId="148" xfId="0" applyNumberFormat="1" applyFont="1" applyFill="1" applyBorder="1"/>
    <xf numFmtId="166" fontId="97" fillId="4" borderId="155" xfId="0" applyNumberFormat="1" applyFont="1" applyFill="1" applyBorder="1"/>
    <xf numFmtId="41" fontId="95" fillId="26" borderId="3" xfId="10" applyFont="1" applyFill="1" applyBorder="1"/>
    <xf numFmtId="41" fontId="96" fillId="17" borderId="0" xfId="10" applyFont="1" applyFill="1"/>
    <xf numFmtId="41" fontId="40" fillId="0" borderId="0" xfId="10" applyFont="1" applyFill="1" applyBorder="1" applyAlignment="1"/>
    <xf numFmtId="14" fontId="26" fillId="7" borderId="35" xfId="0" applyNumberFormat="1" applyFont="1" applyFill="1" applyBorder="1" applyAlignment="1">
      <alignment horizontal="center"/>
    </xf>
    <xf numFmtId="0" fontId="26" fillId="7" borderId="5" xfId="0" applyFont="1" applyFill="1" applyBorder="1" applyAlignment="1">
      <alignment horizontal="center"/>
    </xf>
    <xf numFmtId="3" fontId="12" fillId="7" borderId="5" xfId="0" applyNumberFormat="1" applyFont="1" applyFill="1" applyBorder="1"/>
    <xf numFmtId="0" fontId="22" fillId="7" borderId="7" xfId="0" applyFont="1" applyFill="1" applyBorder="1" applyAlignment="1">
      <alignment horizontal="left"/>
    </xf>
    <xf numFmtId="166" fontId="28" fillId="7" borderId="30" xfId="1" applyNumberFormat="1" applyFont="1" applyFill="1" applyBorder="1"/>
    <xf numFmtId="41" fontId="22" fillId="7" borderId="24" xfId="10" applyFont="1" applyFill="1" applyBorder="1" applyAlignment="1">
      <alignment horizontal="center"/>
    </xf>
    <xf numFmtId="14" fontId="22" fillId="7" borderId="25" xfId="0" applyNumberFormat="1" applyFont="1" applyFill="1" applyBorder="1" applyAlignment="1">
      <alignment horizontal="center"/>
    </xf>
    <xf numFmtId="14" fontId="12" fillId="0" borderId="43" xfId="0" applyNumberFormat="1" applyFont="1" applyBorder="1" applyAlignment="1">
      <alignment horizontal="center"/>
    </xf>
    <xf numFmtId="3" fontId="97" fillId="0" borderId="5" xfId="0" applyNumberFormat="1" applyFont="1" applyBorder="1" applyAlignment="1">
      <alignment horizontal="center"/>
    </xf>
    <xf numFmtId="3" fontId="95" fillId="10" borderId="116" xfId="0" applyNumberFormat="1" applyFont="1" applyFill="1" applyBorder="1" applyAlignment="1">
      <alignment horizontal="right"/>
    </xf>
    <xf numFmtId="167" fontId="95" fillId="0" borderId="5" xfId="1" applyNumberFormat="1" applyFont="1" applyFill="1" applyBorder="1"/>
    <xf numFmtId="166" fontId="95" fillId="0" borderId="6" xfId="1" applyNumberFormat="1" applyFont="1" applyFill="1" applyBorder="1"/>
    <xf numFmtId="166" fontId="95" fillId="0" borderId="7" xfId="1" applyNumberFormat="1" applyFont="1" applyFill="1" applyBorder="1"/>
    <xf numFmtId="0" fontId="26" fillId="0" borderId="177" xfId="0" applyFont="1" applyBorder="1"/>
    <xf numFmtId="166" fontId="97" fillId="0" borderId="5" xfId="1" applyNumberFormat="1" applyFont="1" applyFill="1" applyBorder="1"/>
    <xf numFmtId="168" fontId="20" fillId="0" borderId="0" xfId="10" applyNumberFormat="1" applyFont="1"/>
    <xf numFmtId="168" fontId="20" fillId="0" borderId="0" xfId="0" applyNumberFormat="1" applyFont="1"/>
    <xf numFmtId="41" fontId="16" fillId="0" borderId="7" xfId="10" applyFont="1" applyFill="1" applyBorder="1"/>
    <xf numFmtId="0" fontId="38" fillId="2" borderId="145" xfId="0" applyFont="1" applyFill="1" applyBorder="1" applyAlignment="1">
      <alignment horizontal="left" vertical="center"/>
    </xf>
    <xf numFmtId="0" fontId="0" fillId="0" borderId="176" xfId="0" applyBorder="1"/>
    <xf numFmtId="3" fontId="0" fillId="0" borderId="6" xfId="0" applyNumberFormat="1" applyBorder="1"/>
    <xf numFmtId="43" fontId="20" fillId="0" borderId="0" xfId="0" applyNumberFormat="1" applyFont="1"/>
    <xf numFmtId="49" fontId="0" fillId="0" borderId="176" xfId="0" applyNumberFormat="1" applyBorder="1"/>
    <xf numFmtId="41" fontId="0" fillId="0" borderId="176" xfId="10" applyFont="1" applyFill="1" applyBorder="1"/>
    <xf numFmtId="41" fontId="50" fillId="2" borderId="8" xfId="10" applyFont="1" applyFill="1" applyBorder="1"/>
    <xf numFmtId="166" fontId="50" fillId="2" borderId="8" xfId="1" applyNumberFormat="1" applyFont="1" applyFill="1" applyBorder="1"/>
    <xf numFmtId="41" fontId="11" fillId="0" borderId="0" xfId="10" applyFont="1"/>
    <xf numFmtId="41" fontId="11" fillId="0" borderId="0" xfId="0" applyNumberFormat="1" applyFont="1"/>
    <xf numFmtId="3" fontId="83" fillId="28" borderId="101" xfId="0" applyNumberFormat="1" applyFont="1" applyFill="1" applyBorder="1"/>
    <xf numFmtId="0" fontId="80" fillId="27" borderId="68" xfId="0" applyFont="1" applyFill="1" applyBorder="1"/>
    <xf numFmtId="166" fontId="33" fillId="0" borderId="176" xfId="1" applyNumberFormat="1" applyFont="1" applyFill="1" applyBorder="1"/>
    <xf numFmtId="0" fontId="106" fillId="39" borderId="95" xfId="0" applyFont="1" applyFill="1" applyBorder="1" applyAlignment="1">
      <alignment horizontal="center" vertical="center"/>
    </xf>
    <xf numFmtId="17" fontId="106" fillId="39" borderId="121" xfId="0" applyNumberFormat="1" applyFont="1" applyFill="1" applyBorder="1" applyAlignment="1">
      <alignment horizontal="center" vertical="center"/>
    </xf>
    <xf numFmtId="0" fontId="106" fillId="39" borderId="121" xfId="0" applyFont="1" applyFill="1" applyBorder="1" applyAlignment="1">
      <alignment horizontal="center" vertical="center"/>
    </xf>
    <xf numFmtId="0" fontId="107" fillId="6" borderId="20" xfId="0" applyFont="1" applyFill="1" applyBorder="1" applyAlignment="1">
      <alignment horizontal="center" vertical="center"/>
    </xf>
    <xf numFmtId="0" fontId="108" fillId="42" borderId="95" xfId="0" applyFont="1" applyFill="1" applyBorder="1" applyAlignment="1">
      <alignment horizontal="center" vertical="center"/>
    </xf>
    <xf numFmtId="3" fontId="108" fillId="42" borderId="121" xfId="0" applyNumberFormat="1" applyFont="1" applyFill="1" applyBorder="1" applyAlignment="1">
      <alignment horizontal="center" vertical="center"/>
    </xf>
    <xf numFmtId="3" fontId="110" fillId="0" borderId="118" xfId="0" applyNumberFormat="1" applyFont="1" applyBorder="1" applyAlignment="1">
      <alignment horizontal="center" vertical="center"/>
    </xf>
    <xf numFmtId="0" fontId="107" fillId="6" borderId="95" xfId="0" applyFont="1" applyFill="1" applyBorder="1" applyAlignment="1">
      <alignment horizontal="center" vertical="center"/>
    </xf>
    <xf numFmtId="3" fontId="107" fillId="0" borderId="121" xfId="0" applyNumberFormat="1" applyFont="1" applyBorder="1" applyAlignment="1">
      <alignment horizontal="center" vertical="center"/>
    </xf>
    <xf numFmtId="3" fontId="111" fillId="8" borderId="121" xfId="0" applyNumberFormat="1" applyFont="1" applyFill="1" applyBorder="1" applyAlignment="1">
      <alignment horizontal="center" vertical="center"/>
    </xf>
    <xf numFmtId="3" fontId="108" fillId="8" borderId="121" xfId="0" applyNumberFormat="1" applyFont="1" applyFill="1" applyBorder="1" applyAlignment="1">
      <alignment horizontal="center" vertical="center"/>
    </xf>
    <xf numFmtId="3" fontId="110" fillId="0" borderId="121" xfId="0" applyNumberFormat="1" applyFont="1" applyBorder="1" applyAlignment="1">
      <alignment horizontal="center" vertical="center"/>
    </xf>
    <xf numFmtId="166" fontId="33" fillId="0" borderId="145" xfId="0" applyNumberFormat="1" applyFont="1" applyBorder="1"/>
    <xf numFmtId="166" fontId="33" fillId="0" borderId="152" xfId="0" applyNumberFormat="1" applyFont="1" applyBorder="1"/>
    <xf numFmtId="41" fontId="95" fillId="0" borderId="152" xfId="10" applyFont="1" applyFill="1" applyBorder="1"/>
    <xf numFmtId="3" fontId="107" fillId="0" borderId="95" xfId="0" applyNumberFormat="1" applyFont="1" applyBorder="1" applyAlignment="1">
      <alignment horizontal="center" vertical="center"/>
    </xf>
    <xf numFmtId="3" fontId="111" fillId="0" borderId="121" xfId="0" applyNumberFormat="1" applyFont="1" applyBorder="1" applyAlignment="1">
      <alignment horizontal="center" vertical="center"/>
    </xf>
    <xf numFmtId="0" fontId="108" fillId="8" borderId="95" xfId="0" applyFont="1" applyFill="1" applyBorder="1" applyAlignment="1">
      <alignment horizontal="center" vertical="center"/>
    </xf>
    <xf numFmtId="3" fontId="108" fillId="8" borderId="95" xfId="0" applyNumberFormat="1" applyFont="1" applyFill="1" applyBorder="1" applyAlignment="1">
      <alignment horizontal="center" vertical="center"/>
    </xf>
    <xf numFmtId="3" fontId="109" fillId="8" borderId="95" xfId="0" applyNumberFormat="1" applyFont="1" applyFill="1" applyBorder="1" applyAlignment="1">
      <alignment horizontal="center" vertical="center"/>
    </xf>
    <xf numFmtId="3" fontId="108" fillId="42" borderId="95" xfId="0" applyNumberFormat="1" applyFont="1" applyFill="1" applyBorder="1" applyAlignment="1">
      <alignment horizontal="center" vertical="center"/>
    </xf>
    <xf numFmtId="3" fontId="108" fillId="7" borderId="118" xfId="0" applyNumberFormat="1" applyFont="1" applyFill="1" applyBorder="1" applyAlignment="1">
      <alignment horizontal="center" vertical="center"/>
    </xf>
    <xf numFmtId="3" fontId="29" fillId="0" borderId="0" xfId="0" applyNumberFormat="1" applyFont="1"/>
    <xf numFmtId="41" fontId="11" fillId="0" borderId="0" xfId="10" applyFont="1" applyFill="1" applyBorder="1"/>
    <xf numFmtId="166" fontId="47" fillId="0" borderId="0" xfId="0" applyNumberFormat="1" applyFont="1"/>
    <xf numFmtId="0" fontId="52" fillId="2" borderId="95" xfId="0" applyFont="1" applyFill="1" applyBorder="1" applyAlignment="1">
      <alignment horizontal="center"/>
    </xf>
    <xf numFmtId="41" fontId="22" fillId="0" borderId="0" xfId="0" applyNumberFormat="1" applyFont="1" applyAlignment="1">
      <alignment horizontal="center"/>
    </xf>
    <xf numFmtId="166" fontId="97" fillId="0" borderId="176" xfId="1" applyNumberFormat="1" applyFont="1" applyFill="1" applyBorder="1"/>
    <xf numFmtId="49" fontId="22" fillId="0" borderId="0" xfId="0" applyNumberFormat="1" applyFont="1"/>
    <xf numFmtId="41" fontId="9" fillId="0" borderId="0" xfId="10" applyFont="1"/>
    <xf numFmtId="166" fontId="33" fillId="4" borderId="151" xfId="1" applyNumberFormat="1" applyFont="1" applyFill="1" applyBorder="1"/>
    <xf numFmtId="0" fontId="9" fillId="0" borderId="0" xfId="0" applyFont="1"/>
    <xf numFmtId="41" fontId="9" fillId="0" borderId="0" xfId="10" applyFont="1" applyFill="1"/>
    <xf numFmtId="168" fontId="96" fillId="0" borderId="0" xfId="10" applyNumberFormat="1" applyFont="1" applyFill="1"/>
    <xf numFmtId="167" fontId="96" fillId="4" borderId="7" xfId="1" applyNumberFormat="1" applyFont="1" applyFill="1" applyBorder="1" applyAlignment="1">
      <alignment horizontal="right"/>
    </xf>
    <xf numFmtId="3" fontId="113" fillId="0" borderId="0" xfId="0" applyNumberFormat="1" applyFont="1"/>
    <xf numFmtId="3" fontId="114" fillId="0" borderId="0" xfId="0" applyNumberFormat="1" applyFont="1"/>
    <xf numFmtId="17" fontId="40" fillId="8" borderId="95" xfId="0" applyNumberFormat="1" applyFont="1" applyFill="1" applyBorder="1" applyAlignment="1">
      <alignment horizontal="center"/>
    </xf>
    <xf numFmtId="0" fontId="40" fillId="4" borderId="161" xfId="0" applyFont="1" applyFill="1" applyBorder="1"/>
    <xf numFmtId="166" fontId="97" fillId="4" borderId="60" xfId="1" applyNumberFormat="1" applyFont="1" applyFill="1" applyBorder="1"/>
    <xf numFmtId="167" fontId="95" fillId="4" borderId="169" xfId="1" applyNumberFormat="1" applyFont="1" applyFill="1" applyBorder="1" applyAlignment="1">
      <alignment horizontal="center"/>
    </xf>
    <xf numFmtId="167" fontId="95" fillId="4" borderId="176" xfId="1" applyNumberFormat="1" applyFont="1" applyFill="1" applyBorder="1" applyAlignment="1">
      <alignment horizontal="center"/>
    </xf>
    <xf numFmtId="167" fontId="95" fillId="4" borderId="178" xfId="1" applyNumberFormat="1" applyFont="1" applyFill="1" applyBorder="1" applyAlignment="1">
      <alignment horizontal="center"/>
    </xf>
    <xf numFmtId="166" fontId="97" fillId="4" borderId="169" xfId="0" applyNumberFormat="1" applyFont="1" applyFill="1" applyBorder="1"/>
    <xf numFmtId="166" fontId="97" fillId="4" borderId="176" xfId="0" applyNumberFormat="1" applyFont="1" applyFill="1" applyBorder="1"/>
    <xf numFmtId="166" fontId="97" fillId="4" borderId="179" xfId="0" applyNumberFormat="1" applyFont="1" applyFill="1" applyBorder="1"/>
    <xf numFmtId="166" fontId="97" fillId="2" borderId="176" xfId="1" applyNumberFormat="1" applyFont="1" applyFill="1" applyBorder="1"/>
    <xf numFmtId="166" fontId="97" fillId="4" borderId="176" xfId="1" applyNumberFormat="1" applyFont="1" applyFill="1" applyBorder="1"/>
    <xf numFmtId="166" fontId="97" fillId="4" borderId="179" xfId="1" applyNumberFormat="1" applyFont="1" applyFill="1" applyBorder="1"/>
    <xf numFmtId="166" fontId="97" fillId="4" borderId="162" xfId="1" applyNumberFormat="1" applyFont="1" applyFill="1" applyBorder="1"/>
    <xf numFmtId="167" fontId="65" fillId="4" borderId="5" xfId="1" applyNumberFormat="1" applyFont="1" applyFill="1" applyBorder="1" applyAlignment="1">
      <alignment horizontal="center" wrapText="1"/>
    </xf>
    <xf numFmtId="0" fontId="61" fillId="0" borderId="166" xfId="0" applyFont="1" applyBorder="1" applyAlignment="1">
      <alignment horizontal="left" indent="2"/>
    </xf>
    <xf numFmtId="0" fontId="4" fillId="0" borderId="166" xfId="0" applyFont="1" applyBorder="1"/>
    <xf numFmtId="167" fontId="4" fillId="0" borderId="182" xfId="1" applyNumberFormat="1" applyFont="1" applyFill="1" applyBorder="1" applyAlignment="1">
      <alignment horizontal="center" wrapText="1"/>
    </xf>
    <xf numFmtId="167" fontId="4" fillId="0" borderId="176" xfId="1" applyNumberFormat="1" applyFont="1" applyFill="1" applyBorder="1" applyAlignment="1">
      <alignment horizontal="center" wrapText="1"/>
    </xf>
    <xf numFmtId="167" fontId="4" fillId="0" borderId="170" xfId="1" applyNumberFormat="1" applyFont="1" applyFill="1" applyBorder="1" applyAlignment="1">
      <alignment horizontal="center" wrapText="1"/>
    </xf>
    <xf numFmtId="167" fontId="4" fillId="4" borderId="151" xfId="1" applyNumberFormat="1" applyFont="1" applyFill="1" applyBorder="1" applyAlignment="1">
      <alignment horizontal="center" wrapText="1"/>
    </xf>
    <xf numFmtId="167" fontId="60" fillId="4" borderId="151" xfId="1" applyNumberFormat="1" applyFont="1" applyFill="1" applyBorder="1" applyAlignment="1">
      <alignment horizontal="center" wrapText="1"/>
    </xf>
    <xf numFmtId="167" fontId="4" fillId="4" borderId="171" xfId="1" applyNumberFormat="1" applyFont="1" applyFill="1" applyBorder="1" applyAlignment="1">
      <alignment horizontal="center" wrapText="1"/>
    </xf>
    <xf numFmtId="167" fontId="4" fillId="4" borderId="178" xfId="1" applyNumberFormat="1" applyFont="1" applyFill="1" applyBorder="1" applyAlignment="1">
      <alignment horizontal="center" wrapText="1"/>
    </xf>
    <xf numFmtId="167" fontId="4" fillId="2" borderId="178" xfId="1" applyNumberFormat="1" applyFont="1" applyFill="1" applyBorder="1" applyAlignment="1">
      <alignment horizontal="center" wrapText="1"/>
    </xf>
    <xf numFmtId="167" fontId="60" fillId="4" borderId="178" xfId="1" applyNumberFormat="1" applyFont="1" applyFill="1" applyBorder="1" applyAlignment="1">
      <alignment horizontal="center" wrapText="1"/>
    </xf>
    <xf numFmtId="167" fontId="4" fillId="0" borderId="169" xfId="1" applyNumberFormat="1" applyFont="1" applyBorder="1" applyAlignment="1">
      <alignment horizontal="center" wrapText="1"/>
    </xf>
    <xf numFmtId="171" fontId="60" fillId="0" borderId="169" xfId="0" applyNumberFormat="1" applyFont="1" applyBorder="1" applyAlignment="1">
      <alignment horizontal="center" wrapText="1"/>
    </xf>
    <xf numFmtId="0" fontId="4" fillId="0" borderId="169" xfId="0" applyFont="1" applyBorder="1" applyAlignment="1">
      <alignment horizontal="center" wrapText="1"/>
    </xf>
    <xf numFmtId="167" fontId="4" fillId="0" borderId="176" xfId="1" applyNumberFormat="1" applyFont="1" applyBorder="1" applyAlignment="1">
      <alignment horizontal="center" wrapText="1"/>
    </xf>
    <xf numFmtId="0" fontId="4" fillId="0" borderId="176" xfId="0" applyFont="1" applyBorder="1" applyAlignment="1">
      <alignment horizontal="center" wrapText="1"/>
    </xf>
    <xf numFmtId="167" fontId="4" fillId="4" borderId="176" xfId="1" applyNumberFormat="1" applyFont="1" applyFill="1" applyBorder="1" applyAlignment="1">
      <alignment horizontal="center" wrapText="1"/>
    </xf>
    <xf numFmtId="167" fontId="60" fillId="4" borderId="176" xfId="1" applyNumberFormat="1" applyFont="1" applyFill="1" applyBorder="1" applyAlignment="1">
      <alignment horizontal="center" wrapText="1"/>
    </xf>
    <xf numFmtId="166" fontId="97" fillId="4" borderId="181" xfId="1" applyNumberFormat="1" applyFont="1" applyFill="1" applyBorder="1"/>
    <xf numFmtId="167" fontId="53" fillId="7" borderId="3" xfId="1" applyNumberFormat="1" applyFont="1" applyFill="1" applyBorder="1"/>
    <xf numFmtId="167" fontId="52" fillId="4" borderId="169" xfId="1" applyNumberFormat="1" applyFont="1" applyFill="1" applyBorder="1" applyAlignment="1">
      <alignment horizontal="center"/>
    </xf>
    <xf numFmtId="167" fontId="52" fillId="4" borderId="176" xfId="1" applyNumberFormat="1" applyFont="1" applyFill="1" applyBorder="1" applyAlignment="1">
      <alignment horizontal="center"/>
    </xf>
    <xf numFmtId="167" fontId="52" fillId="4" borderId="178" xfId="1" applyNumberFormat="1" applyFont="1" applyFill="1" applyBorder="1" applyAlignment="1">
      <alignment horizontal="center"/>
    </xf>
    <xf numFmtId="166" fontId="52" fillId="4" borderId="172" xfId="0" applyNumberFormat="1" applyFont="1" applyFill="1" applyBorder="1"/>
    <xf numFmtId="0" fontId="78" fillId="0" borderId="176" xfId="0" applyFont="1" applyBorder="1" applyAlignment="1">
      <alignment horizontal="center" wrapText="1"/>
    </xf>
    <xf numFmtId="3" fontId="78" fillId="0" borderId="176" xfId="0" applyNumberFormat="1" applyFont="1" applyBorder="1" applyAlignment="1">
      <alignment horizontal="center" wrapText="1"/>
    </xf>
    <xf numFmtId="3" fontId="78" fillId="28" borderId="6" xfId="0" applyNumberFormat="1" applyFont="1" applyFill="1" applyBorder="1" applyAlignment="1">
      <alignment horizontal="center" wrapText="1"/>
    </xf>
    <xf numFmtId="0" fontId="78" fillId="0" borderId="139" xfId="0" applyFont="1" applyBorder="1"/>
    <xf numFmtId="3" fontId="78" fillId="0" borderId="164" xfId="0" applyNumberFormat="1" applyFont="1" applyBorder="1"/>
    <xf numFmtId="0" fontId="79" fillId="0" borderId="147" xfId="0" applyFont="1" applyBorder="1" applyAlignment="1">
      <alignment horizontal="left" indent="3"/>
    </xf>
    <xf numFmtId="0" fontId="78" fillId="0" borderId="182" xfId="0" applyFont="1" applyBorder="1" applyAlignment="1">
      <alignment horizontal="center" wrapText="1"/>
    </xf>
    <xf numFmtId="0" fontId="82" fillId="0" borderId="147" xfId="0" applyFont="1" applyBorder="1" applyAlignment="1">
      <alignment horizontal="left" indent="3"/>
    </xf>
    <xf numFmtId="0" fontId="78" fillId="0" borderId="170" xfId="0" applyFont="1" applyBorder="1" applyAlignment="1">
      <alignment horizontal="center" wrapText="1"/>
    </xf>
    <xf numFmtId="49" fontId="66" fillId="23" borderId="183" xfId="0" applyNumberFormat="1" applyFont="1" applyFill="1" applyBorder="1"/>
    <xf numFmtId="49" fontId="57" fillId="23" borderId="184" xfId="0" applyNumberFormat="1" applyFont="1" applyFill="1" applyBorder="1" applyAlignment="1">
      <alignment horizontal="left"/>
    </xf>
    <xf numFmtId="49" fontId="57" fillId="23" borderId="185" xfId="0" applyNumberFormat="1" applyFont="1" applyFill="1" applyBorder="1" applyAlignment="1">
      <alignment horizontal="left"/>
    </xf>
    <xf numFmtId="173" fontId="38" fillId="23" borderId="186" xfId="0" applyNumberFormat="1" applyFont="1" applyFill="1" applyBorder="1" applyAlignment="1">
      <alignment horizontal="center" wrapText="1"/>
    </xf>
    <xf numFmtId="0" fontId="38" fillId="23" borderId="186" xfId="0" applyFont="1" applyFill="1" applyBorder="1" applyAlignment="1">
      <alignment horizontal="center" wrapText="1"/>
    </xf>
    <xf numFmtId="173" fontId="38" fillId="23" borderId="187" xfId="0" applyNumberFormat="1" applyFont="1" applyFill="1" applyBorder="1" applyAlignment="1">
      <alignment horizontal="center" wrapText="1"/>
    </xf>
    <xf numFmtId="173" fontId="38" fillId="23" borderId="188" xfId="0" applyNumberFormat="1" applyFont="1" applyFill="1" applyBorder="1" applyAlignment="1">
      <alignment horizontal="center" wrapText="1"/>
    </xf>
    <xf numFmtId="0" fontId="38" fillId="23" borderId="188" xfId="0" applyFont="1" applyFill="1" applyBorder="1" applyAlignment="1">
      <alignment horizontal="center" wrapText="1"/>
    </xf>
    <xf numFmtId="173" fontId="38" fillId="23" borderId="189" xfId="0" applyNumberFormat="1" applyFont="1" applyFill="1" applyBorder="1" applyAlignment="1">
      <alignment horizontal="center" wrapText="1"/>
    </xf>
    <xf numFmtId="173" fontId="38" fillId="23" borderId="190" xfId="0" applyNumberFormat="1" applyFont="1" applyFill="1" applyBorder="1" applyAlignment="1">
      <alignment horizontal="center" wrapText="1"/>
    </xf>
    <xf numFmtId="173" fontId="38" fillId="23" borderId="191" xfId="0" applyNumberFormat="1" applyFont="1" applyFill="1" applyBorder="1" applyAlignment="1">
      <alignment horizontal="center" wrapText="1"/>
    </xf>
    <xf numFmtId="0" fontId="38" fillId="23" borderId="191" xfId="0" applyFont="1" applyFill="1" applyBorder="1" applyAlignment="1">
      <alignment horizontal="center" wrapText="1"/>
    </xf>
    <xf numFmtId="166" fontId="95" fillId="2" borderId="122" xfId="0" applyNumberFormat="1" applyFont="1" applyFill="1" applyBorder="1" applyAlignment="1">
      <alignment horizontal="center"/>
    </xf>
    <xf numFmtId="166" fontId="33" fillId="0" borderId="169" xfId="0" applyNumberFormat="1" applyFont="1" applyBorder="1"/>
    <xf numFmtId="166" fontId="95" fillId="4" borderId="121" xfId="0" applyNumberFormat="1" applyFont="1" applyFill="1" applyBorder="1"/>
    <xf numFmtId="0" fontId="95" fillId="8" borderId="166" xfId="0" applyFont="1" applyFill="1" applyBorder="1"/>
    <xf numFmtId="167" fontId="95" fillId="8" borderId="172" xfId="1" applyNumberFormat="1" applyFont="1" applyFill="1" applyBorder="1" applyAlignment="1">
      <alignment horizontal="center"/>
    </xf>
    <xf numFmtId="167" fontId="95" fillId="8" borderId="123" xfId="1" applyNumberFormat="1" applyFont="1" applyFill="1" applyBorder="1" applyAlignment="1">
      <alignment horizontal="center"/>
    </xf>
    <xf numFmtId="41" fontId="95" fillId="8" borderId="121" xfId="10" applyFont="1" applyFill="1" applyBorder="1" applyAlignment="1"/>
    <xf numFmtId="167" fontId="95" fillId="8" borderId="166" xfId="1" applyNumberFormat="1" applyFont="1" applyFill="1" applyBorder="1" applyAlignment="1"/>
    <xf numFmtId="166" fontId="33" fillId="0" borderId="176" xfId="0" applyNumberFormat="1" applyFont="1" applyBorder="1"/>
    <xf numFmtId="166" fontId="33" fillId="0" borderId="178" xfId="0" applyNumberFormat="1" applyFont="1" applyBorder="1"/>
    <xf numFmtId="166" fontId="95" fillId="4" borderId="172" xfId="0" applyNumberFormat="1" applyFont="1" applyFill="1" applyBorder="1"/>
    <xf numFmtId="166" fontId="33" fillId="0" borderId="48" xfId="0" applyNumberFormat="1" applyFont="1" applyBorder="1"/>
    <xf numFmtId="166" fontId="44" fillId="11" borderId="10" xfId="0" applyNumberFormat="1" applyFont="1" applyFill="1" applyBorder="1"/>
    <xf numFmtId="41" fontId="27" fillId="0" borderId="165" xfId="10" applyFont="1" applyBorder="1"/>
    <xf numFmtId="41" fontId="27" fillId="0" borderId="138" xfId="10" applyFont="1" applyBorder="1"/>
    <xf numFmtId="167" fontId="95" fillId="0" borderId="0" xfId="11" applyNumberFormat="1" applyFont="1"/>
    <xf numFmtId="1" fontId="48" fillId="2" borderId="10" xfId="0" applyNumberFormat="1" applyFont="1" applyFill="1" applyBorder="1" applyAlignment="1">
      <alignment horizontal="center"/>
    </xf>
    <xf numFmtId="17" fontId="48" fillId="2" borderId="121" xfId="0" applyNumberFormat="1" applyFont="1" applyFill="1" applyBorder="1" applyAlignment="1">
      <alignment horizontal="center"/>
    </xf>
    <xf numFmtId="0" fontId="52" fillId="2" borderId="121" xfId="0" applyFont="1" applyFill="1" applyBorder="1"/>
    <xf numFmtId="17" fontId="48" fillId="2" borderId="95" xfId="0" applyNumberFormat="1" applyFont="1" applyFill="1" applyBorder="1" applyAlignment="1">
      <alignment horizontal="center"/>
    </xf>
    <xf numFmtId="1" fontId="48" fillId="2" borderId="121" xfId="0" applyNumberFormat="1" applyFont="1" applyFill="1" applyBorder="1" applyAlignment="1">
      <alignment horizontal="center"/>
    </xf>
    <xf numFmtId="167" fontId="95" fillId="7" borderId="97" xfId="1" applyNumberFormat="1" applyFont="1" applyFill="1" applyBorder="1"/>
    <xf numFmtId="166" fontId="33" fillId="0" borderId="192" xfId="0" applyNumberFormat="1" applyFont="1" applyBorder="1"/>
    <xf numFmtId="166" fontId="33" fillId="0" borderId="193" xfId="0" applyNumberFormat="1" applyFont="1" applyBorder="1"/>
    <xf numFmtId="166" fontId="95" fillId="4" borderId="126" xfId="0" applyNumberFormat="1" applyFont="1" applyFill="1" applyBorder="1"/>
    <xf numFmtId="166" fontId="97" fillId="4" borderId="194" xfId="0" applyNumberFormat="1" applyFont="1" applyFill="1" applyBorder="1"/>
    <xf numFmtId="166" fontId="96" fillId="0" borderId="152" xfId="0" applyNumberFormat="1" applyFont="1" applyBorder="1"/>
    <xf numFmtId="166" fontId="95" fillId="11" borderId="95" xfId="0" applyNumberFormat="1" applyFont="1" applyFill="1" applyBorder="1"/>
    <xf numFmtId="166" fontId="95" fillId="2" borderId="123" xfId="0" applyNumberFormat="1" applyFont="1" applyFill="1" applyBorder="1"/>
    <xf numFmtId="167" fontId="95" fillId="0" borderId="3" xfId="1" applyNumberFormat="1" applyFont="1" applyFill="1" applyBorder="1"/>
    <xf numFmtId="0" fontId="95" fillId="0" borderId="32" xfId="0" applyFont="1" applyBorder="1"/>
    <xf numFmtId="167" fontId="95" fillId="0" borderId="8" xfId="1" applyNumberFormat="1" applyFont="1" applyFill="1" applyBorder="1" applyAlignment="1">
      <alignment horizontal="center"/>
    </xf>
    <xf numFmtId="167" fontId="95" fillId="0" borderId="169" xfId="1" applyNumberFormat="1" applyFont="1" applyFill="1" applyBorder="1" applyAlignment="1">
      <alignment horizontal="center"/>
    </xf>
    <xf numFmtId="0" fontId="95" fillId="0" borderId="45" xfId="0" applyFont="1" applyBorder="1"/>
    <xf numFmtId="167" fontId="95" fillId="0" borderId="98" xfId="1" applyNumberFormat="1" applyFont="1" applyFill="1" applyBorder="1" applyAlignment="1">
      <alignment horizontal="center"/>
    </xf>
    <xf numFmtId="0" fontId="95" fillId="0" borderId="61" xfId="0" applyFont="1" applyBorder="1"/>
    <xf numFmtId="167" fontId="95" fillId="0" borderId="33" xfId="1" applyNumberFormat="1" applyFont="1" applyFill="1" applyBorder="1" applyAlignment="1">
      <alignment horizontal="center"/>
    </xf>
    <xf numFmtId="167" fontId="95" fillId="0" borderId="99" xfId="1" applyNumberFormat="1" applyFont="1" applyFill="1" applyBorder="1" applyAlignment="1">
      <alignment horizontal="center"/>
    </xf>
    <xf numFmtId="167" fontId="95" fillId="0" borderId="193" xfId="1" applyNumberFormat="1" applyFont="1" applyFill="1" applyBorder="1" applyAlignment="1">
      <alignment horizontal="center"/>
    </xf>
    <xf numFmtId="166" fontId="97" fillId="0" borderId="8" xfId="0" applyNumberFormat="1" applyFont="1" applyBorder="1"/>
    <xf numFmtId="166" fontId="97" fillId="0" borderId="169" xfId="0" applyNumberFormat="1" applyFont="1" applyBorder="1"/>
    <xf numFmtId="166" fontId="97" fillId="0" borderId="162" xfId="0" applyNumberFormat="1" applyFont="1" applyBorder="1"/>
    <xf numFmtId="166" fontId="97" fillId="0" borderId="148" xfId="0" applyNumberFormat="1" applyFont="1" applyBorder="1"/>
    <xf numFmtId="0" fontId="97" fillId="0" borderId="107" xfId="0" applyFont="1" applyBorder="1"/>
    <xf numFmtId="166" fontId="97" fillId="0" borderId="6" xfId="0" applyNumberFormat="1" applyFont="1" applyBorder="1"/>
    <xf numFmtId="166" fontId="97" fillId="0" borderId="54" xfId="0" applyNumberFormat="1" applyFont="1" applyBorder="1"/>
    <xf numFmtId="166" fontId="97" fillId="0" borderId="111" xfId="0" applyNumberFormat="1" applyFont="1" applyBorder="1"/>
    <xf numFmtId="167" fontId="95" fillId="0" borderId="195" xfId="1" applyNumberFormat="1" applyFont="1" applyFill="1" applyBorder="1"/>
    <xf numFmtId="0" fontId="95" fillId="7" borderId="97" xfId="0" applyFont="1" applyFill="1" applyBorder="1"/>
    <xf numFmtId="167" fontId="95" fillId="4" borderId="95" xfId="1" applyNumberFormat="1" applyFont="1" applyFill="1" applyBorder="1"/>
    <xf numFmtId="167" fontId="95" fillId="0" borderId="149" xfId="1" applyNumberFormat="1" applyFont="1" applyFill="1" applyBorder="1"/>
    <xf numFmtId="167" fontId="95" fillId="8" borderId="95" xfId="1" applyNumberFormat="1" applyFont="1" applyFill="1" applyBorder="1" applyAlignment="1">
      <alignment horizontal="left"/>
    </xf>
    <xf numFmtId="0" fontId="97" fillId="7" borderId="95" xfId="0" applyFont="1" applyFill="1" applyBorder="1" applyAlignment="1">
      <alignment horizontal="center"/>
    </xf>
    <xf numFmtId="0" fontId="95" fillId="0" borderId="37" xfId="0" applyFont="1" applyBorder="1"/>
    <xf numFmtId="167" fontId="95" fillId="0" borderId="21" xfId="1" applyNumberFormat="1" applyFont="1" applyFill="1" applyBorder="1"/>
    <xf numFmtId="0" fontId="95" fillId="0" borderId="196" xfId="0" applyFont="1" applyBorder="1"/>
    <xf numFmtId="167" fontId="95" fillId="0" borderId="197" xfId="1" applyNumberFormat="1" applyFont="1" applyFill="1" applyBorder="1"/>
    <xf numFmtId="167" fontId="95" fillId="0" borderId="59" xfId="1" applyNumberFormat="1" applyFont="1" applyFill="1" applyBorder="1"/>
    <xf numFmtId="167" fontId="95" fillId="0" borderId="139" xfId="1" applyNumberFormat="1" applyFont="1" applyFill="1" applyBorder="1"/>
    <xf numFmtId="167" fontId="95" fillId="0" borderId="120" xfId="1" applyNumberFormat="1" applyFont="1" applyFill="1" applyBorder="1"/>
    <xf numFmtId="167" fontId="95" fillId="0" borderId="140" xfId="1" applyNumberFormat="1" applyFont="1" applyFill="1" applyBorder="1"/>
    <xf numFmtId="0" fontId="95" fillId="0" borderId="59" xfId="0" applyFont="1" applyBorder="1"/>
    <xf numFmtId="0" fontId="95" fillId="0" borderId="120" xfId="0" applyFont="1" applyBorder="1"/>
    <xf numFmtId="167" fontId="95" fillId="0" borderId="94" xfId="1" applyNumberFormat="1" applyFont="1" applyFill="1" applyBorder="1" applyAlignment="1">
      <alignment horizontal="center"/>
    </xf>
    <xf numFmtId="167" fontId="95" fillId="0" borderId="116" xfId="1" applyNumberFormat="1" applyFont="1" applyFill="1" applyBorder="1" applyAlignment="1">
      <alignment horizontal="center"/>
    </xf>
    <xf numFmtId="0" fontId="95" fillId="2" borderId="3" xfId="0" applyFont="1" applyFill="1" applyBorder="1"/>
    <xf numFmtId="167" fontId="95" fillId="2" borderId="3" xfId="1" applyNumberFormat="1" applyFont="1" applyFill="1" applyBorder="1"/>
    <xf numFmtId="0" fontId="95" fillId="2" borderId="166" xfId="0" applyFont="1" applyFill="1" applyBorder="1"/>
    <xf numFmtId="167" fontId="95" fillId="2" borderId="172" xfId="1" applyNumberFormat="1" applyFont="1" applyFill="1" applyBorder="1" applyAlignment="1">
      <alignment horizontal="center"/>
    </xf>
    <xf numFmtId="167" fontId="95" fillId="2" borderId="123" xfId="1" applyNumberFormat="1" applyFont="1" applyFill="1" applyBorder="1" applyAlignment="1">
      <alignment horizontal="center"/>
    </xf>
    <xf numFmtId="166" fontId="97" fillId="4" borderId="145" xfId="0" applyNumberFormat="1" applyFont="1" applyFill="1" applyBorder="1"/>
    <xf numFmtId="166" fontId="97" fillId="4" borderId="20" xfId="0" applyNumberFormat="1" applyFont="1" applyFill="1" applyBorder="1"/>
    <xf numFmtId="166" fontId="97" fillId="0" borderId="192" xfId="0" applyNumberFormat="1" applyFont="1" applyBorder="1"/>
    <xf numFmtId="0" fontId="44" fillId="7" borderId="19" xfId="0" applyFont="1" applyFill="1" applyBorder="1"/>
    <xf numFmtId="0" fontId="97" fillId="4" borderId="143" xfId="0" applyFont="1" applyFill="1" applyBorder="1"/>
    <xf numFmtId="0" fontId="97" fillId="4" borderId="198" xfId="0" applyFont="1" applyFill="1" applyBorder="1"/>
    <xf numFmtId="166" fontId="97" fillId="4" borderId="199" xfId="0" applyNumberFormat="1" applyFont="1" applyFill="1" applyBorder="1"/>
    <xf numFmtId="0" fontId="97" fillId="4" borderId="200" xfId="0" applyFont="1" applyFill="1" applyBorder="1"/>
    <xf numFmtId="166" fontId="97" fillId="0" borderId="193" xfId="0" applyNumberFormat="1" applyFont="1" applyBorder="1"/>
    <xf numFmtId="167" fontId="95" fillId="4" borderId="201" xfId="1" applyNumberFormat="1" applyFont="1" applyFill="1" applyBorder="1" applyAlignment="1">
      <alignment horizontal="center"/>
    </xf>
    <xf numFmtId="167" fontId="52" fillId="0" borderId="3" xfId="1" applyNumberFormat="1" applyFont="1" applyFill="1" applyBorder="1"/>
    <xf numFmtId="167" fontId="52" fillId="10" borderId="3" xfId="1" applyNumberFormat="1" applyFont="1" applyFill="1" applyBorder="1"/>
    <xf numFmtId="166" fontId="47" fillId="10" borderId="8" xfId="0" applyNumberFormat="1" applyFont="1" applyFill="1" applyBorder="1"/>
    <xf numFmtId="166" fontId="47" fillId="10" borderId="5" xfId="0" applyNumberFormat="1" applyFont="1" applyFill="1" applyBorder="1"/>
    <xf numFmtId="166" fontId="52" fillId="0" borderId="38" xfId="0" applyNumberFormat="1" applyFont="1" applyBorder="1"/>
    <xf numFmtId="167" fontId="52" fillId="10" borderId="6" xfId="1" applyNumberFormat="1" applyFont="1" applyFill="1" applyBorder="1" applyAlignment="1">
      <alignment horizontal="center"/>
    </xf>
    <xf numFmtId="167" fontId="52" fillId="0" borderId="8" xfId="1" applyNumberFormat="1" applyFont="1" applyFill="1" applyBorder="1" applyAlignment="1">
      <alignment horizontal="center"/>
    </xf>
    <xf numFmtId="167" fontId="52" fillId="0" borderId="6" xfId="1" applyNumberFormat="1" applyFont="1" applyFill="1" applyBorder="1" applyAlignment="1">
      <alignment horizontal="center"/>
    </xf>
    <xf numFmtId="166" fontId="47" fillId="10" borderId="165" xfId="0" applyNumberFormat="1" applyFont="1" applyFill="1" applyBorder="1"/>
    <xf numFmtId="166" fontId="47" fillId="10" borderId="33" xfId="0" applyNumberFormat="1" applyFont="1" applyFill="1" applyBorder="1"/>
    <xf numFmtId="166" fontId="53" fillId="10" borderId="22" xfId="0" applyNumberFormat="1" applyFont="1" applyFill="1" applyBorder="1"/>
    <xf numFmtId="167" fontId="52" fillId="10" borderId="25" xfId="1" applyNumberFormat="1" applyFont="1" applyFill="1" applyBorder="1" applyAlignment="1">
      <alignment horizontal="center"/>
    </xf>
    <xf numFmtId="166" fontId="50" fillId="10" borderId="22" xfId="1" applyNumberFormat="1" applyFont="1" applyFill="1" applyBorder="1"/>
    <xf numFmtId="166" fontId="50" fillId="10" borderId="25" xfId="1" applyNumberFormat="1" applyFont="1" applyFill="1" applyBorder="1"/>
    <xf numFmtId="166" fontId="50" fillId="10" borderId="22" xfId="0" applyNumberFormat="1" applyFont="1" applyFill="1" applyBorder="1"/>
    <xf numFmtId="166" fontId="52" fillId="10" borderId="38" xfId="0" applyNumberFormat="1" applyFont="1" applyFill="1" applyBorder="1"/>
    <xf numFmtId="1" fontId="40" fillId="2" borderId="95" xfId="0" applyNumberFormat="1" applyFont="1" applyFill="1" applyBorder="1" applyAlignment="1">
      <alignment horizontal="center"/>
    </xf>
    <xf numFmtId="3" fontId="108" fillId="0" borderId="121" xfId="0" applyNumberFormat="1" applyFont="1" applyBorder="1" applyAlignment="1">
      <alignment horizontal="center" vertical="center"/>
    </xf>
    <xf numFmtId="0" fontId="108" fillId="0" borderId="20" xfId="0" applyFont="1" applyBorder="1" applyAlignment="1">
      <alignment horizontal="center" vertical="center"/>
    </xf>
    <xf numFmtId="41" fontId="4" fillId="0" borderId="0" xfId="10" applyFont="1"/>
    <xf numFmtId="3" fontId="59" fillId="0" borderId="0" xfId="0" applyNumberFormat="1" applyFont="1"/>
    <xf numFmtId="9" fontId="11" fillId="0" borderId="0" xfId="11" applyFont="1"/>
    <xf numFmtId="0" fontId="108" fillId="0" borderId="139" xfId="0" applyFont="1" applyBorder="1" applyAlignment="1">
      <alignment horizontal="center" vertical="center"/>
    </xf>
    <xf numFmtId="3" fontId="107" fillId="0" borderId="118" xfId="0" applyNumberFormat="1" applyFont="1" applyBorder="1" applyAlignment="1">
      <alignment horizontal="center" vertical="center"/>
    </xf>
    <xf numFmtId="0" fontId="108" fillId="0" borderId="95" xfId="0" applyFont="1" applyBorder="1" applyAlignment="1">
      <alignment horizontal="center" vertical="center"/>
    </xf>
    <xf numFmtId="3" fontId="63" fillId="0" borderId="0" xfId="0" applyNumberFormat="1" applyFont="1"/>
    <xf numFmtId="3" fontId="112" fillId="0" borderId="95" xfId="0" applyNumberFormat="1" applyFont="1" applyBorder="1" applyAlignment="1">
      <alignment horizontal="center" vertical="center"/>
    </xf>
    <xf numFmtId="3" fontId="111" fillId="0" borderId="95" xfId="0" applyNumberFormat="1" applyFont="1" applyBorder="1" applyAlignment="1">
      <alignment horizontal="center" vertical="center"/>
    </xf>
    <xf numFmtId="3" fontId="111" fillId="8" borderId="95" xfId="0" applyNumberFormat="1" applyFont="1" applyFill="1" applyBorder="1" applyAlignment="1">
      <alignment horizontal="center" vertical="center"/>
    </xf>
    <xf numFmtId="3" fontId="112" fillId="0" borderId="118" xfId="0" applyNumberFormat="1" applyFont="1" applyBorder="1" applyAlignment="1">
      <alignment horizontal="center" vertical="center"/>
    </xf>
    <xf numFmtId="3" fontId="111" fillId="0" borderId="118" xfId="0" applyNumberFormat="1" applyFont="1" applyBorder="1" applyAlignment="1">
      <alignment horizontal="center" vertical="center"/>
    </xf>
    <xf numFmtId="3" fontId="108" fillId="0" borderId="118" xfId="0" applyNumberFormat="1" applyFont="1" applyBorder="1" applyAlignment="1">
      <alignment horizontal="center" vertical="center"/>
    </xf>
    <xf numFmtId="0" fontId="111" fillId="0" borderId="139" xfId="0" applyFont="1" applyBorder="1" applyAlignment="1">
      <alignment horizontal="center" vertical="center"/>
    </xf>
    <xf numFmtId="0" fontId="111" fillId="0" borderId="95" xfId="0" applyFont="1" applyBorder="1" applyAlignment="1">
      <alignment horizontal="center" vertical="center"/>
    </xf>
    <xf numFmtId="3" fontId="111" fillId="0" borderId="20" xfId="0" applyNumberFormat="1" applyFont="1" applyBorder="1" applyAlignment="1">
      <alignment horizontal="center" vertical="center"/>
    </xf>
    <xf numFmtId="3" fontId="112" fillId="0" borderId="20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3" fontId="108" fillId="0" borderId="0" xfId="0" applyNumberFormat="1" applyFont="1" applyAlignment="1">
      <alignment horizontal="center" vertical="center"/>
    </xf>
    <xf numFmtId="3" fontId="109" fillId="0" borderId="0" xfId="0" applyNumberFormat="1" applyFont="1" applyAlignment="1">
      <alignment horizontal="center" vertical="center"/>
    </xf>
    <xf numFmtId="0" fontId="108" fillId="0" borderId="19" xfId="0" applyFont="1" applyBorder="1" applyAlignment="1">
      <alignment horizontal="center" vertical="center"/>
    </xf>
    <xf numFmtId="3" fontId="108" fillId="0" borderId="20" xfId="0" applyNumberFormat="1" applyFont="1" applyBorder="1" applyAlignment="1">
      <alignment horizontal="center" vertical="center"/>
    </xf>
    <xf numFmtId="0" fontId="95" fillId="2" borderId="37" xfId="0" applyFont="1" applyFill="1" applyBorder="1"/>
    <xf numFmtId="167" fontId="95" fillId="2" borderId="6" xfId="1" applyNumberFormat="1" applyFont="1" applyFill="1" applyBorder="1" applyAlignment="1">
      <alignment horizontal="center"/>
    </xf>
    <xf numFmtId="166" fontId="0" fillId="0" borderId="0" xfId="0" quotePrefix="1" applyNumberFormat="1"/>
    <xf numFmtId="166" fontId="44" fillId="2" borderId="38" xfId="0" applyNumberFormat="1" applyFont="1" applyFill="1" applyBorder="1"/>
    <xf numFmtId="166" fontId="44" fillId="2" borderId="123" xfId="0" applyNumberFormat="1" applyFont="1" applyFill="1" applyBorder="1"/>
    <xf numFmtId="166" fontId="44" fillId="2" borderId="29" xfId="0" applyNumberFormat="1" applyFont="1" applyFill="1" applyBorder="1"/>
    <xf numFmtId="41" fontId="12" fillId="0" borderId="199" xfId="10" applyFont="1" applyBorder="1"/>
    <xf numFmtId="41" fontId="12" fillId="0" borderId="201" xfId="10" applyFont="1" applyBorder="1"/>
    <xf numFmtId="41" fontId="12" fillId="0" borderId="148" xfId="10" applyFont="1" applyBorder="1"/>
    <xf numFmtId="167" fontId="23" fillId="0" borderId="123" xfId="0" applyNumberFormat="1" applyFont="1" applyBorder="1"/>
    <xf numFmtId="167" fontId="96" fillId="0" borderId="8" xfId="1" applyNumberFormat="1" applyFont="1" applyFill="1" applyBorder="1" applyAlignment="1">
      <alignment horizontal="center"/>
    </xf>
    <xf numFmtId="167" fontId="96" fillId="0" borderId="169" xfId="1" applyNumberFormat="1" applyFont="1" applyFill="1" applyBorder="1" applyAlignment="1">
      <alignment horizontal="center"/>
    </xf>
    <xf numFmtId="167" fontId="96" fillId="0" borderId="5" xfId="1" applyNumberFormat="1" applyFont="1" applyFill="1" applyBorder="1" applyAlignment="1">
      <alignment horizontal="center"/>
    </xf>
    <xf numFmtId="167" fontId="96" fillId="0" borderId="98" xfId="1" applyNumberFormat="1" applyFont="1" applyFill="1" applyBorder="1" applyAlignment="1">
      <alignment horizontal="center"/>
    </xf>
    <xf numFmtId="167" fontId="96" fillId="0" borderId="33" xfId="1" applyNumberFormat="1" applyFont="1" applyFill="1" applyBorder="1" applyAlignment="1">
      <alignment horizontal="center"/>
    </xf>
    <xf numFmtId="167" fontId="96" fillId="0" borderId="99" xfId="1" applyNumberFormat="1" applyFont="1" applyFill="1" applyBorder="1" applyAlignment="1">
      <alignment horizontal="center"/>
    </xf>
    <xf numFmtId="167" fontId="96" fillId="0" borderId="193" xfId="1" applyNumberFormat="1" applyFont="1" applyFill="1" applyBorder="1" applyAlignment="1">
      <alignment horizontal="center"/>
    </xf>
    <xf numFmtId="166" fontId="33" fillId="0" borderId="162" xfId="0" applyNumberFormat="1" applyFont="1" applyBorder="1"/>
    <xf numFmtId="166" fontId="33" fillId="0" borderId="148" xfId="0" applyNumberFormat="1" applyFont="1" applyBorder="1"/>
    <xf numFmtId="166" fontId="33" fillId="0" borderId="54" xfId="0" applyNumberFormat="1" applyFont="1" applyBorder="1"/>
    <xf numFmtId="166" fontId="33" fillId="0" borderId="111" xfId="0" applyNumberFormat="1" applyFont="1" applyBorder="1"/>
    <xf numFmtId="167" fontId="53" fillId="11" borderId="12" xfId="1" applyNumberFormat="1" applyFont="1" applyFill="1" applyBorder="1" applyAlignment="1">
      <alignment horizontal="center"/>
    </xf>
    <xf numFmtId="167" fontId="53" fillId="11" borderId="14" xfId="1" applyNumberFormat="1" applyFont="1" applyFill="1" applyBorder="1" applyAlignment="1">
      <alignment horizontal="center"/>
    </xf>
    <xf numFmtId="0" fontId="0" fillId="0" borderId="192" xfId="0" applyBorder="1"/>
    <xf numFmtId="41" fontId="2" fillId="0" borderId="192" xfId="10" applyFont="1" applyFill="1" applyBorder="1"/>
    <xf numFmtId="41" fontId="2" fillId="0" borderId="116" xfId="10" applyFont="1" applyFill="1" applyBorder="1"/>
    <xf numFmtId="49" fontId="2" fillId="0" borderId="192" xfId="0" applyNumberFormat="1" applyFont="1" applyBorder="1" applyAlignment="1">
      <alignment horizontal="center"/>
    </xf>
    <xf numFmtId="49" fontId="2" fillId="0" borderId="116" xfId="0" applyNumberFormat="1" applyFont="1" applyBorder="1" applyAlignment="1">
      <alignment horizontal="center"/>
    </xf>
    <xf numFmtId="0" fontId="14" fillId="0" borderId="192" xfId="0" applyFont="1" applyBorder="1" applyAlignment="1">
      <alignment horizontal="center" vertical="center"/>
    </xf>
    <xf numFmtId="167" fontId="38" fillId="4" borderId="101" xfId="13" applyNumberFormat="1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95" xfId="0" applyFont="1" applyFill="1" applyBorder="1" applyAlignment="1">
      <alignment vertical="center"/>
    </xf>
    <xf numFmtId="0" fontId="20" fillId="43" borderId="0" xfId="0" applyFont="1" applyFill="1" applyAlignment="1">
      <alignment vertical="center"/>
    </xf>
    <xf numFmtId="41" fontId="20" fillId="43" borderId="0" xfId="10" applyFont="1" applyFill="1" applyAlignment="1">
      <alignment vertical="center"/>
    </xf>
    <xf numFmtId="166" fontId="38" fillId="0" borderId="118" xfId="13" applyNumberFormat="1" applyFont="1" applyFill="1" applyBorder="1" applyAlignment="1">
      <alignment horizontal="center" vertical="center"/>
    </xf>
    <xf numFmtId="41" fontId="0" fillId="0" borderId="192" xfId="10" applyFont="1" applyFill="1" applyBorder="1"/>
    <xf numFmtId="41" fontId="0" fillId="2" borderId="116" xfId="10" applyFont="1" applyFill="1" applyBorder="1"/>
    <xf numFmtId="3" fontId="98" fillId="0" borderId="192" xfId="0" applyNumberFormat="1" applyFont="1" applyBorder="1" applyAlignment="1">
      <alignment horizontal="center"/>
    </xf>
    <xf numFmtId="3" fontId="41" fillId="0" borderId="192" xfId="0" applyNumberFormat="1" applyFont="1" applyBorder="1" applyAlignment="1">
      <alignment horizontal="center"/>
    </xf>
    <xf numFmtId="3" fontId="97" fillId="0" borderId="192" xfId="0" applyNumberFormat="1" applyFont="1" applyBorder="1" applyAlignment="1">
      <alignment horizontal="center"/>
    </xf>
    <xf numFmtId="41" fontId="100" fillId="0" borderId="7" xfId="10" applyFont="1" applyFill="1" applyBorder="1"/>
    <xf numFmtId="41" fontId="100" fillId="0" borderId="116" xfId="10" applyFont="1" applyFill="1" applyBorder="1"/>
    <xf numFmtId="0" fontId="26" fillId="0" borderId="198" xfId="0" applyFont="1" applyBorder="1"/>
    <xf numFmtId="167" fontId="96" fillId="0" borderId="195" xfId="1" applyNumberFormat="1" applyFont="1" applyFill="1" applyBorder="1"/>
    <xf numFmtId="166" fontId="95" fillId="0" borderId="47" xfId="1" applyNumberFormat="1" applyFont="1" applyFill="1" applyBorder="1"/>
    <xf numFmtId="166" fontId="33" fillId="4" borderId="27" xfId="1" applyNumberFormat="1" applyFont="1" applyFill="1" applyBorder="1"/>
    <xf numFmtId="166" fontId="96" fillId="0" borderId="192" xfId="1" applyNumberFormat="1" applyFont="1" applyFill="1" applyBorder="1"/>
    <xf numFmtId="167" fontId="96" fillId="0" borderId="192" xfId="1" applyNumberFormat="1" applyFont="1" applyFill="1" applyBorder="1"/>
    <xf numFmtId="167" fontId="95" fillId="0" borderId="192" xfId="1" applyNumberFormat="1" applyFont="1" applyFill="1" applyBorder="1"/>
    <xf numFmtId="167" fontId="96" fillId="0" borderId="195" xfId="1" applyNumberFormat="1" applyFont="1" applyFill="1" applyBorder="1" applyAlignment="1">
      <alignment horizontal="right"/>
    </xf>
    <xf numFmtId="167" fontId="95" fillId="0" borderId="195" xfId="1" applyNumberFormat="1" applyFont="1" applyFill="1" applyBorder="1" applyAlignment="1">
      <alignment horizontal="right"/>
    </xf>
    <xf numFmtId="166" fontId="33" fillId="4" borderId="195" xfId="1" applyNumberFormat="1" applyFont="1" applyFill="1" applyBorder="1"/>
    <xf numFmtId="41" fontId="96" fillId="0" borderId="195" xfId="10" applyFont="1" applyFill="1" applyBorder="1" applyAlignment="1">
      <alignment horizontal="right"/>
    </xf>
    <xf numFmtId="0" fontId="96" fillId="0" borderId="198" xfId="0" applyFont="1" applyBorder="1"/>
    <xf numFmtId="167" fontId="96" fillId="4" borderId="7" xfId="1" applyNumberFormat="1" applyFont="1" applyFill="1" applyBorder="1"/>
    <xf numFmtId="0" fontId="96" fillId="0" borderId="0" xfId="0" applyFont="1" applyAlignment="1">
      <alignment horizontal="right"/>
    </xf>
    <xf numFmtId="3" fontId="96" fillId="0" borderId="192" xfId="0" applyNumberFormat="1" applyFont="1" applyBorder="1" applyAlignment="1">
      <alignment horizontal="right"/>
    </xf>
    <xf numFmtId="3" fontId="96" fillId="0" borderId="192" xfId="0" applyNumberFormat="1" applyFont="1" applyBorder="1" applyAlignment="1">
      <alignment horizontal="center"/>
    </xf>
    <xf numFmtId="3" fontId="33" fillId="0" borderId="5" xfId="0" applyNumberFormat="1" applyFont="1" applyBorder="1" applyAlignment="1">
      <alignment horizontal="right"/>
    </xf>
    <xf numFmtId="3" fontId="96" fillId="0" borderId="116" xfId="0" applyNumberFormat="1" applyFont="1" applyBorder="1" applyAlignment="1">
      <alignment horizontal="right"/>
    </xf>
    <xf numFmtId="3" fontId="96" fillId="0" borderId="116" xfId="0" applyNumberFormat="1" applyFont="1" applyBorder="1" applyAlignment="1">
      <alignment horizontal="center"/>
    </xf>
    <xf numFmtId="3" fontId="98" fillId="0" borderId="116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166" fontId="97" fillId="4" borderId="169" xfId="1" applyNumberFormat="1" applyFont="1" applyFill="1" applyBorder="1"/>
    <xf numFmtId="166" fontId="115" fillId="11" borderId="10" xfId="0" applyNumberFormat="1" applyFont="1" applyFill="1" applyBorder="1"/>
    <xf numFmtId="166" fontId="115" fillId="4" borderId="38" xfId="0" applyNumberFormat="1" applyFont="1" applyFill="1" applyBorder="1"/>
    <xf numFmtId="166" fontId="115" fillId="2" borderId="29" xfId="0" applyNumberFormat="1" applyFont="1" applyFill="1" applyBorder="1"/>
    <xf numFmtId="166" fontId="50" fillId="4" borderId="10" xfId="0" applyNumberFormat="1" applyFont="1" applyFill="1" applyBorder="1"/>
    <xf numFmtId="168" fontId="0" fillId="0" borderId="0" xfId="10" applyNumberFormat="1" applyFont="1" applyFill="1"/>
    <xf numFmtId="0" fontId="22" fillId="44" borderId="0" xfId="0" applyFont="1" applyFill="1"/>
    <xf numFmtId="3" fontId="116" fillId="0" borderId="95" xfId="0" applyNumberFormat="1" applyFont="1" applyBorder="1" applyAlignment="1">
      <alignment horizontal="center" vertical="center"/>
    </xf>
    <xf numFmtId="17" fontId="75" fillId="0" borderId="0" xfId="0" applyNumberFormat="1" applyFont="1" applyAlignment="1">
      <alignment vertical="center"/>
    </xf>
    <xf numFmtId="9" fontId="22" fillId="0" borderId="0" xfId="0" applyNumberFormat="1" applyFont="1"/>
    <xf numFmtId="0" fontId="0" fillId="23" borderId="202" xfId="0" applyFill="1" applyBorder="1"/>
    <xf numFmtId="0" fontId="0" fillId="23" borderId="203" xfId="0" applyFill="1" applyBorder="1"/>
    <xf numFmtId="0" fontId="117" fillId="0" borderId="0" xfId="0" pivotButton="1" applyFont="1"/>
    <xf numFmtId="0" fontId="117" fillId="0" borderId="0" xfId="0" applyFont="1"/>
    <xf numFmtId="3" fontId="117" fillId="0" borderId="0" xfId="0" applyNumberFormat="1" applyFont="1"/>
    <xf numFmtId="14" fontId="117" fillId="0" borderId="0" xfId="0" applyNumberFormat="1" applyFont="1"/>
    <xf numFmtId="0" fontId="108" fillId="0" borderId="121" xfId="0" applyFont="1" applyBorder="1" applyAlignment="1">
      <alignment horizontal="center" vertical="center"/>
    </xf>
    <xf numFmtId="0" fontId="4" fillId="4" borderId="139" xfId="0" applyFont="1" applyFill="1" applyBorder="1" applyAlignment="1">
      <alignment horizontal="center" wrapText="1"/>
    </xf>
    <xf numFmtId="167" fontId="4" fillId="0" borderId="0" xfId="1" applyNumberFormat="1" applyFont="1"/>
    <xf numFmtId="167" fontId="4" fillId="46" borderId="169" xfId="1" applyNumberFormat="1" applyFont="1" applyFill="1" applyBorder="1" applyAlignment="1">
      <alignment horizontal="center" wrapText="1"/>
    </xf>
    <xf numFmtId="0" fontId="4" fillId="45" borderId="192" xfId="0" applyFont="1" applyFill="1" applyBorder="1" applyAlignment="1">
      <alignment horizontal="center" wrapText="1"/>
    </xf>
    <xf numFmtId="0" fontId="4" fillId="46" borderId="192" xfId="0" applyFont="1" applyFill="1" applyBorder="1" applyAlignment="1">
      <alignment horizontal="center" wrapText="1"/>
    </xf>
    <xf numFmtId="167" fontId="4" fillId="46" borderId="192" xfId="1" applyNumberFormat="1" applyFont="1" applyFill="1" applyBorder="1" applyAlignment="1">
      <alignment horizontal="center" wrapText="1"/>
    </xf>
    <xf numFmtId="167" fontId="4" fillId="45" borderId="192" xfId="1" applyNumberFormat="1" applyFont="1" applyFill="1" applyBorder="1" applyAlignment="1">
      <alignment horizontal="center" wrapText="1"/>
    </xf>
    <xf numFmtId="167" fontId="4" fillId="4" borderId="192" xfId="1" applyNumberFormat="1" applyFont="1" applyFill="1" applyBorder="1" applyAlignment="1">
      <alignment horizontal="center" wrapText="1"/>
    </xf>
    <xf numFmtId="167" fontId="59" fillId="4" borderId="192" xfId="1" applyNumberFormat="1" applyFont="1" applyFill="1" applyBorder="1" applyAlignment="1">
      <alignment horizontal="center" wrapText="1"/>
    </xf>
    <xf numFmtId="167" fontId="4" fillId="0" borderId="208" xfId="1" applyNumberFormat="1" applyFont="1" applyFill="1" applyBorder="1" applyAlignment="1">
      <alignment horizontal="center" wrapText="1"/>
    </xf>
    <xf numFmtId="167" fontId="4" fillId="0" borderId="192" xfId="1" applyNumberFormat="1" applyFont="1" applyFill="1" applyBorder="1" applyAlignment="1">
      <alignment horizontal="center" wrapText="1"/>
    </xf>
    <xf numFmtId="0" fontId="118" fillId="0" borderId="19" xfId="0" applyFont="1" applyBorder="1" applyAlignment="1">
      <alignment horizontal="left" indent="3"/>
    </xf>
    <xf numFmtId="167" fontId="4" fillId="0" borderId="199" xfId="1" applyNumberFormat="1" applyFont="1" applyFill="1" applyBorder="1" applyAlignment="1">
      <alignment horizontal="center" wrapText="1"/>
    </xf>
    <xf numFmtId="0" fontId="4" fillId="45" borderId="204" xfId="0" applyFont="1" applyFill="1" applyBorder="1" applyAlignment="1">
      <alignment horizontal="center" wrapText="1"/>
    </xf>
    <xf numFmtId="0" fontId="11" fillId="45" borderId="205" xfId="0" applyFont="1" applyFill="1" applyBorder="1"/>
    <xf numFmtId="166" fontId="11" fillId="46" borderId="205" xfId="1" applyNumberFormat="1" applyFont="1" applyFill="1" applyBorder="1"/>
    <xf numFmtId="0" fontId="11" fillId="46" borderId="205" xfId="0" applyFont="1" applyFill="1" applyBorder="1"/>
    <xf numFmtId="167" fontId="11" fillId="46" borderId="205" xfId="1" applyNumberFormat="1" applyFont="1" applyFill="1" applyBorder="1"/>
    <xf numFmtId="167" fontId="11" fillId="45" borderId="95" xfId="1" applyNumberFormat="1" applyFont="1" applyFill="1" applyBorder="1"/>
    <xf numFmtId="0" fontId="78" fillId="0" borderId="192" xfId="0" applyFont="1" applyBorder="1" applyAlignment="1">
      <alignment horizontal="center" wrapText="1"/>
    </xf>
    <xf numFmtId="3" fontId="78" fillId="35" borderId="20" xfId="0" applyNumberFormat="1" applyFont="1" applyFill="1" applyBorder="1" applyAlignment="1">
      <alignment horizontal="center" wrapText="1"/>
    </xf>
    <xf numFmtId="0" fontId="79" fillId="0" borderId="192" xfId="0" applyFont="1" applyBorder="1"/>
    <xf numFmtId="0" fontId="78" fillId="0" borderId="199" xfId="0" applyFont="1" applyBorder="1" applyAlignment="1">
      <alignment horizontal="center" wrapText="1"/>
    </xf>
    <xf numFmtId="0" fontId="78" fillId="45" borderId="204" xfId="0" applyFont="1" applyFill="1" applyBorder="1" applyAlignment="1">
      <alignment horizontal="center" wrapText="1"/>
    </xf>
    <xf numFmtId="0" fontId="78" fillId="46" borderId="204" xfId="0" applyFont="1" applyFill="1" applyBorder="1" applyAlignment="1">
      <alignment horizontal="center" wrapText="1"/>
    </xf>
    <xf numFmtId="0" fontId="78" fillId="28" borderId="193" xfId="0" applyFont="1" applyFill="1" applyBorder="1" applyAlignment="1">
      <alignment horizontal="center" wrapText="1"/>
    </xf>
    <xf numFmtId="0" fontId="78" fillId="46" borderId="206" xfId="0" applyFont="1" applyFill="1" applyBorder="1" applyAlignment="1">
      <alignment horizontal="center" wrapText="1"/>
    </xf>
    <xf numFmtId="3" fontId="78" fillId="45" borderId="209" xfId="0" applyNumberFormat="1" applyFont="1" applyFill="1" applyBorder="1"/>
    <xf numFmtId="0" fontId="79" fillId="46" borderId="207" xfId="0" applyFont="1" applyFill="1" applyBorder="1" applyAlignment="1">
      <alignment horizontal="right"/>
    </xf>
    <xf numFmtId="3" fontId="78" fillId="45" borderId="204" xfId="0" applyNumberFormat="1" applyFont="1" applyFill="1" applyBorder="1"/>
    <xf numFmtId="3" fontId="79" fillId="46" borderId="205" xfId="0" applyNumberFormat="1" applyFont="1" applyFill="1" applyBorder="1"/>
    <xf numFmtId="0" fontId="78" fillId="0" borderId="166" xfId="0" applyFont="1" applyBorder="1"/>
    <xf numFmtId="3" fontId="78" fillId="45" borderId="95" xfId="0" applyNumberFormat="1" applyFont="1" applyFill="1" applyBorder="1"/>
    <xf numFmtId="0" fontId="78" fillId="0" borderId="208" xfId="0" applyFont="1" applyBorder="1" applyAlignment="1">
      <alignment horizontal="center" wrapText="1"/>
    </xf>
    <xf numFmtId="3" fontId="78" fillId="0" borderId="192" xfId="0" applyNumberFormat="1" applyFont="1" applyBorder="1" applyAlignment="1">
      <alignment horizontal="center" wrapText="1"/>
    </xf>
    <xf numFmtId="3" fontId="78" fillId="28" borderId="192" xfId="0" applyNumberFormat="1" applyFont="1" applyFill="1" applyBorder="1" applyAlignment="1">
      <alignment horizontal="center" wrapText="1"/>
    </xf>
    <xf numFmtId="0" fontId="78" fillId="45" borderId="192" xfId="0" applyFont="1" applyFill="1" applyBorder="1" applyAlignment="1">
      <alignment horizontal="center" wrapText="1"/>
    </xf>
    <xf numFmtId="0" fontId="78" fillId="46" borderId="192" xfId="0" applyFont="1" applyFill="1" applyBorder="1" applyAlignment="1">
      <alignment horizontal="center" wrapText="1"/>
    </xf>
    <xf numFmtId="0" fontId="82" fillId="46" borderId="192" xfId="0" applyFont="1" applyFill="1" applyBorder="1" applyAlignment="1">
      <alignment horizontal="center" wrapText="1"/>
    </xf>
    <xf numFmtId="0" fontId="82" fillId="45" borderId="192" xfId="0" applyFont="1" applyFill="1" applyBorder="1" applyAlignment="1">
      <alignment horizontal="center" wrapText="1"/>
    </xf>
    <xf numFmtId="0" fontId="78" fillId="28" borderId="192" xfId="0" applyFont="1" applyFill="1" applyBorder="1" applyAlignment="1">
      <alignment horizontal="center" wrapText="1"/>
    </xf>
    <xf numFmtId="3" fontId="81" fillId="0" borderId="10" xfId="0" applyNumberFormat="1" applyFont="1" applyBorder="1"/>
    <xf numFmtId="0" fontId="79" fillId="46" borderId="205" xfId="0" applyFont="1" applyFill="1" applyBorder="1"/>
    <xf numFmtId="0" fontId="79" fillId="45" borderId="205" xfId="0" applyFont="1" applyFill="1" applyBorder="1"/>
    <xf numFmtId="17" fontId="78" fillId="29" borderId="95" xfId="0" applyNumberFormat="1" applyFont="1" applyFill="1" applyBorder="1" applyAlignment="1">
      <alignment horizontal="center"/>
    </xf>
    <xf numFmtId="0" fontId="78" fillId="46" borderId="204" xfId="0" applyFont="1" applyFill="1" applyBorder="1" applyAlignment="1">
      <alignment horizontal="center"/>
    </xf>
    <xf numFmtId="0" fontId="78" fillId="46" borderId="204" xfId="0" applyFont="1" applyFill="1" applyBorder="1"/>
    <xf numFmtId="166" fontId="119" fillId="0" borderId="0" xfId="0" applyNumberFormat="1" applyFont="1"/>
    <xf numFmtId="0" fontId="96" fillId="0" borderId="192" xfId="0" applyFont="1" applyBorder="1"/>
    <xf numFmtId="3" fontId="33" fillId="0" borderId="192" xfId="0" applyNumberFormat="1" applyFont="1" applyBorder="1" applyAlignment="1">
      <alignment horizontal="center"/>
    </xf>
    <xf numFmtId="0" fontId="96" fillId="3" borderId="192" xfId="0" applyFont="1" applyFill="1" applyBorder="1"/>
    <xf numFmtId="3" fontId="12" fillId="12" borderId="195" xfId="0" applyNumberFormat="1" applyFont="1" applyFill="1" applyBorder="1"/>
    <xf numFmtId="166" fontId="28" fillId="10" borderId="211" xfId="1" applyNumberFormat="1" applyFont="1" applyFill="1" applyBorder="1"/>
    <xf numFmtId="41" fontId="22" fillId="10" borderId="212" xfId="10" applyFont="1" applyFill="1" applyBorder="1" applyAlignment="1">
      <alignment horizontal="center"/>
    </xf>
    <xf numFmtId="0" fontId="22" fillId="12" borderId="195" xfId="0" applyFont="1" applyFill="1" applyBorder="1" applyAlignment="1">
      <alignment horizontal="left"/>
    </xf>
    <xf numFmtId="166" fontId="44" fillId="10" borderId="211" xfId="1" applyNumberFormat="1" applyFont="1" applyFill="1" applyBorder="1"/>
    <xf numFmtId="41" fontId="23" fillId="10" borderId="212" xfId="10" applyFont="1" applyFill="1" applyBorder="1" applyAlignment="1">
      <alignment horizontal="center"/>
    </xf>
    <xf numFmtId="0" fontId="22" fillId="2" borderId="195" xfId="0" applyFont="1" applyFill="1" applyBorder="1" applyAlignment="1">
      <alignment horizontal="left"/>
    </xf>
    <xf numFmtId="166" fontId="28" fillId="2" borderId="211" xfId="1" applyNumberFormat="1" applyFont="1" applyFill="1" applyBorder="1"/>
    <xf numFmtId="41" fontId="22" fillId="2" borderId="212" xfId="10" applyFont="1" applyFill="1" applyBorder="1" applyAlignment="1">
      <alignment horizontal="center"/>
    </xf>
    <xf numFmtId="166" fontId="44" fillId="12" borderId="211" xfId="1" applyNumberFormat="1" applyFont="1" applyFill="1" applyBorder="1"/>
    <xf numFmtId="41" fontId="23" fillId="12" borderId="212" xfId="10" applyFont="1" applyFill="1" applyBorder="1" applyAlignment="1">
      <alignment horizontal="center"/>
    </xf>
    <xf numFmtId="14" fontId="41" fillId="0" borderId="213" xfId="0" applyNumberFormat="1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3" fontId="24" fillId="8" borderId="213" xfId="0" applyNumberFormat="1" applyFont="1" applyFill="1" applyBorder="1"/>
    <xf numFmtId="3" fontId="24" fillId="8" borderId="29" xfId="0" applyNumberFormat="1" applyFont="1" applyFill="1" applyBorder="1"/>
    <xf numFmtId="3" fontId="24" fillId="8" borderId="13" xfId="0" applyNumberFormat="1" applyFont="1" applyFill="1" applyBorder="1"/>
    <xf numFmtId="14" fontId="26" fillId="2" borderId="196" xfId="0" applyNumberFormat="1" applyFont="1" applyFill="1" applyBorder="1" applyAlignment="1">
      <alignment horizontal="center"/>
    </xf>
    <xf numFmtId="0" fontId="26" fillId="2" borderId="195" xfId="0" applyFont="1" applyFill="1" applyBorder="1" applyAlignment="1">
      <alignment horizontal="center"/>
    </xf>
    <xf numFmtId="3" fontId="12" fillId="2" borderId="195" xfId="0" applyNumberFormat="1" applyFont="1" applyFill="1" applyBorder="1"/>
    <xf numFmtId="3" fontId="12" fillId="0" borderId="195" xfId="0" applyNumberFormat="1" applyFont="1" applyBorder="1"/>
    <xf numFmtId="166" fontId="28" fillId="0" borderId="195" xfId="1" applyNumberFormat="1" applyFont="1" applyFill="1" applyBorder="1"/>
    <xf numFmtId="41" fontId="22" fillId="0" borderId="195" xfId="10" applyFont="1" applyFill="1" applyBorder="1" applyAlignment="1">
      <alignment horizontal="center"/>
    </xf>
    <xf numFmtId="3" fontId="12" fillId="8" borderId="213" xfId="0" applyNumberFormat="1" applyFont="1" applyFill="1" applyBorder="1"/>
    <xf numFmtId="3" fontId="12" fillId="8" borderId="29" xfId="0" applyNumberFormat="1" applyFont="1" applyFill="1" applyBorder="1"/>
    <xf numFmtId="3" fontId="12" fillId="8" borderId="13" xfId="0" applyNumberFormat="1" applyFont="1" applyFill="1" applyBorder="1"/>
    <xf numFmtId="14" fontId="22" fillId="0" borderId="211" xfId="0" applyNumberFormat="1" applyFont="1" applyBorder="1" applyAlignment="1">
      <alignment horizontal="center"/>
    </xf>
    <xf numFmtId="14" fontId="23" fillId="0" borderId="211" xfId="0" applyNumberFormat="1" applyFont="1" applyBorder="1" applyAlignment="1">
      <alignment horizontal="center"/>
    </xf>
    <xf numFmtId="3" fontId="12" fillId="0" borderId="23" xfId="0" applyNumberFormat="1" applyFont="1" applyBorder="1"/>
    <xf numFmtId="166" fontId="28" fillId="0" borderId="23" xfId="1" applyNumberFormat="1" applyFont="1" applyFill="1" applyBorder="1"/>
    <xf numFmtId="41" fontId="22" fillId="0" borderId="23" xfId="10" applyFont="1" applyFill="1" applyBorder="1" applyAlignment="1">
      <alignment horizontal="center"/>
    </xf>
    <xf numFmtId="14" fontId="26" fillId="0" borderId="211" xfId="0" applyNumberFormat="1" applyFont="1" applyBorder="1" applyAlignment="1">
      <alignment horizontal="center"/>
    </xf>
    <xf numFmtId="0" fontId="22" fillId="0" borderId="195" xfId="0" applyFont="1" applyBorder="1" applyAlignment="1">
      <alignment horizontal="left"/>
    </xf>
    <xf numFmtId="14" fontId="26" fillId="2" borderId="211" xfId="0" applyNumberFormat="1" applyFont="1" applyFill="1" applyBorder="1" applyAlignment="1">
      <alignment horizontal="center"/>
    </xf>
    <xf numFmtId="41" fontId="22" fillId="2" borderId="195" xfId="10" applyFont="1" applyFill="1" applyBorder="1" applyAlignment="1">
      <alignment horizontal="center"/>
    </xf>
    <xf numFmtId="3" fontId="12" fillId="0" borderId="213" xfId="0" applyNumberFormat="1" applyFont="1" applyBorder="1"/>
    <xf numFmtId="166" fontId="33" fillId="0" borderId="195" xfId="1" applyNumberFormat="1" applyFont="1" applyFill="1" applyBorder="1"/>
    <xf numFmtId="166" fontId="97" fillId="4" borderId="195" xfId="1" applyNumberFormat="1" applyFont="1" applyFill="1" applyBorder="1"/>
    <xf numFmtId="166" fontId="97" fillId="2" borderId="10" xfId="0" applyNumberFormat="1" applyFont="1" applyFill="1" applyBorder="1"/>
    <xf numFmtId="166" fontId="52" fillId="2" borderId="10" xfId="0" applyNumberFormat="1" applyFont="1" applyFill="1" applyBorder="1"/>
    <xf numFmtId="3" fontId="107" fillId="2" borderId="95" xfId="0" applyNumberFormat="1" applyFont="1" applyFill="1" applyBorder="1" applyAlignment="1">
      <alignment horizontal="center" vertical="center"/>
    </xf>
    <xf numFmtId="3" fontId="107" fillId="2" borderId="121" xfId="0" applyNumberFormat="1" applyFont="1" applyFill="1" applyBorder="1" applyAlignment="1">
      <alignment horizontal="center" vertical="center"/>
    </xf>
    <xf numFmtId="167" fontId="53" fillId="11" borderId="3" xfId="1" applyNumberFormat="1" applyFont="1" applyFill="1" applyBorder="1"/>
    <xf numFmtId="41" fontId="27" fillId="0" borderId="216" xfId="10" applyFont="1" applyBorder="1"/>
    <xf numFmtId="41" fontId="27" fillId="0" borderId="217" xfId="10" applyFont="1" applyBorder="1"/>
    <xf numFmtId="41" fontId="27" fillId="0" borderId="218" xfId="10" applyFont="1" applyBorder="1"/>
    <xf numFmtId="167" fontId="23" fillId="0" borderId="214" xfId="0" applyNumberFormat="1" applyFont="1" applyBorder="1"/>
    <xf numFmtId="41" fontId="12" fillId="0" borderId="0" xfId="10" applyFont="1" applyBorder="1"/>
    <xf numFmtId="167" fontId="95" fillId="7" borderId="64" xfId="1" applyNumberFormat="1" applyFont="1" applyFill="1" applyBorder="1"/>
    <xf numFmtId="17" fontId="78" fillId="29" borderId="103" xfId="0" applyNumberFormat="1" applyFont="1" applyFill="1" applyBorder="1" applyAlignment="1">
      <alignment horizontal="center"/>
    </xf>
    <xf numFmtId="17" fontId="38" fillId="2" borderId="219" xfId="0" applyNumberFormat="1" applyFont="1" applyFill="1" applyBorder="1" applyAlignment="1">
      <alignment horizontal="center"/>
    </xf>
    <xf numFmtId="0" fontId="0" fillId="0" borderId="0" xfId="0" pivotButton="1"/>
    <xf numFmtId="179" fontId="22" fillId="0" borderId="0" xfId="11" applyNumberFormat="1" applyFont="1"/>
    <xf numFmtId="3" fontId="116" fillId="0" borderId="20" xfId="0" applyNumberFormat="1" applyFont="1" applyBorder="1" applyAlignment="1">
      <alignment horizontal="center" vertical="center"/>
    </xf>
    <xf numFmtId="17" fontId="0" fillId="0" borderId="0" xfId="0" applyNumberFormat="1"/>
    <xf numFmtId="14" fontId="26" fillId="12" borderId="220" xfId="0" applyNumberFormat="1" applyFont="1" applyFill="1" applyBorder="1" applyAlignment="1">
      <alignment horizontal="center"/>
    </xf>
    <xf numFmtId="0" fontId="26" fillId="12" borderId="215" xfId="0" applyFont="1" applyFill="1" applyBorder="1" applyAlignment="1">
      <alignment horizontal="center"/>
    </xf>
    <xf numFmtId="3" fontId="12" fillId="12" borderId="215" xfId="0" applyNumberFormat="1" applyFont="1" applyFill="1" applyBorder="1"/>
    <xf numFmtId="3" fontId="12" fillId="10" borderId="215" xfId="0" applyNumberFormat="1" applyFont="1" applyFill="1" applyBorder="1"/>
    <xf numFmtId="14" fontId="22" fillId="10" borderId="221" xfId="0" applyNumberFormat="1" applyFont="1" applyFill="1" applyBorder="1" applyAlignment="1">
      <alignment horizontal="center"/>
    </xf>
    <xf numFmtId="3" fontId="24" fillId="12" borderId="215" xfId="0" applyNumberFormat="1" applyFont="1" applyFill="1" applyBorder="1"/>
    <xf numFmtId="3" fontId="24" fillId="10" borderId="215" xfId="0" applyNumberFormat="1" applyFont="1" applyFill="1" applyBorder="1"/>
    <xf numFmtId="14" fontId="23" fillId="10" borderId="221" xfId="0" applyNumberFormat="1" applyFont="1" applyFill="1" applyBorder="1" applyAlignment="1">
      <alignment horizontal="center"/>
    </xf>
    <xf numFmtId="14" fontId="26" fillId="2" borderId="220" xfId="0" applyNumberFormat="1" applyFont="1" applyFill="1" applyBorder="1" applyAlignment="1">
      <alignment horizontal="center"/>
    </xf>
    <xf numFmtId="0" fontId="26" fillId="2" borderId="215" xfId="0" applyFont="1" applyFill="1" applyBorder="1" applyAlignment="1">
      <alignment horizontal="center"/>
    </xf>
    <xf numFmtId="3" fontId="12" fillId="2" borderId="215" xfId="0" applyNumberFormat="1" applyFont="1" applyFill="1" applyBorder="1"/>
    <xf numFmtId="14" fontId="22" fillId="2" borderId="221" xfId="0" applyNumberFormat="1" applyFont="1" applyFill="1" applyBorder="1" applyAlignment="1">
      <alignment horizontal="center"/>
    </xf>
    <xf numFmtId="14" fontId="23" fillId="0" borderId="221" xfId="0" applyNumberFormat="1" applyFont="1" applyBorder="1" applyAlignment="1">
      <alignment horizontal="center"/>
    </xf>
    <xf numFmtId="14" fontId="26" fillId="2" borderId="215" xfId="0" applyNumberFormat="1" applyFont="1" applyFill="1" applyBorder="1" applyAlignment="1">
      <alignment horizontal="center"/>
    </xf>
    <xf numFmtId="0" fontId="22" fillId="2" borderId="215" xfId="0" applyFont="1" applyFill="1" applyBorder="1" applyAlignment="1">
      <alignment horizontal="left"/>
    </xf>
    <xf numFmtId="166" fontId="28" fillId="2" borderId="215" xfId="1" applyNumberFormat="1" applyFont="1" applyFill="1" applyBorder="1"/>
    <xf numFmtId="41" fontId="22" fillId="2" borderId="215" xfId="10" applyFont="1" applyFill="1" applyBorder="1" applyAlignment="1">
      <alignment horizontal="center"/>
    </xf>
    <xf numFmtId="14" fontId="22" fillId="2" borderId="215" xfId="0" applyNumberFormat="1" applyFont="1" applyFill="1" applyBorder="1" applyAlignment="1">
      <alignment horizontal="center"/>
    </xf>
    <xf numFmtId="14" fontId="26" fillId="0" borderId="215" xfId="0" applyNumberFormat="1" applyFont="1" applyBorder="1" applyAlignment="1">
      <alignment horizontal="center"/>
    </xf>
    <xf numFmtId="0" fontId="26" fillId="0" borderId="215" xfId="0" applyFont="1" applyBorder="1" applyAlignment="1">
      <alignment horizontal="center"/>
    </xf>
    <xf numFmtId="3" fontId="12" fillId="0" borderId="215" xfId="0" applyNumberFormat="1" applyFont="1" applyBorder="1"/>
    <xf numFmtId="0" fontId="22" fillId="0" borderId="215" xfId="0" applyFont="1" applyBorder="1" applyAlignment="1">
      <alignment horizontal="left"/>
    </xf>
    <xf numFmtId="166" fontId="28" fillId="0" borderId="215" xfId="1" applyNumberFormat="1" applyFont="1" applyFill="1" applyBorder="1"/>
    <xf numFmtId="41" fontId="22" fillId="0" borderId="215" xfId="10" applyFont="1" applyFill="1" applyBorder="1" applyAlignment="1">
      <alignment horizontal="center"/>
    </xf>
    <xf numFmtId="14" fontId="22" fillId="0" borderId="215" xfId="0" applyNumberFormat="1" applyFont="1" applyBorder="1" applyAlignment="1">
      <alignment horizontal="center"/>
    </xf>
    <xf numFmtId="3" fontId="12" fillId="0" borderId="149" xfId="0" applyNumberFormat="1" applyFont="1" applyBorder="1"/>
    <xf numFmtId="166" fontId="28" fillId="0" borderId="149" xfId="1" applyNumberFormat="1" applyFont="1" applyFill="1" applyBorder="1"/>
    <xf numFmtId="41" fontId="22" fillId="0" borderId="149" xfId="10" applyFont="1" applyFill="1" applyBorder="1" applyAlignment="1">
      <alignment horizontal="center"/>
    </xf>
    <xf numFmtId="14" fontId="40" fillId="0" borderId="215" xfId="0" applyNumberFormat="1" applyFont="1" applyBorder="1" applyAlignment="1">
      <alignment horizontal="center"/>
    </xf>
    <xf numFmtId="0" fontId="40" fillId="0" borderId="215" xfId="0" applyFont="1" applyBorder="1" applyAlignment="1">
      <alignment horizontal="center"/>
    </xf>
    <xf numFmtId="3" fontId="24" fillId="0" borderId="215" xfId="0" applyNumberFormat="1" applyFont="1" applyBorder="1"/>
    <xf numFmtId="14" fontId="12" fillId="0" borderId="215" xfId="0" applyNumberFormat="1" applyFont="1" applyBorder="1" applyAlignment="1">
      <alignment horizontal="center"/>
    </xf>
    <xf numFmtId="14" fontId="12" fillId="2" borderId="215" xfId="0" applyNumberFormat="1" applyFont="1" applyFill="1" applyBorder="1" applyAlignment="1">
      <alignment horizontal="center"/>
    </xf>
    <xf numFmtId="0" fontId="23" fillId="0" borderId="214" xfId="0" applyFont="1" applyBorder="1" applyAlignment="1">
      <alignment horizontal="center" vertical="center"/>
    </xf>
    <xf numFmtId="0" fontId="38" fillId="2" borderId="96" xfId="0" applyFont="1" applyFill="1" applyBorder="1" applyAlignment="1">
      <alignment horizontal="center" vertical="center"/>
    </xf>
    <xf numFmtId="17" fontId="38" fillId="0" borderId="214" xfId="0" applyNumberFormat="1" applyFont="1" applyBorder="1" applyAlignment="1">
      <alignment horizontal="center" vertical="center"/>
    </xf>
    <xf numFmtId="0" fontId="14" fillId="0" borderId="96" xfId="0" applyFont="1" applyBorder="1" applyAlignment="1">
      <alignment vertical="center"/>
    </xf>
    <xf numFmtId="0" fontId="38" fillId="2" borderId="96" xfId="0" applyFont="1" applyFill="1" applyBorder="1" applyAlignment="1">
      <alignment horizontal="left" vertical="center"/>
    </xf>
    <xf numFmtId="166" fontId="38" fillId="0" borderId="214" xfId="13" applyNumberFormat="1" applyFont="1" applyFill="1" applyBorder="1" applyAlignment="1">
      <alignment vertical="center"/>
    </xf>
    <xf numFmtId="0" fontId="0" fillId="0" borderId="215" xfId="0" applyBorder="1"/>
    <xf numFmtId="3" fontId="0" fillId="0" borderId="215" xfId="0" applyNumberFormat="1" applyBorder="1"/>
    <xf numFmtId="3" fontId="20" fillId="0" borderId="0" xfId="0" applyNumberFormat="1" applyFont="1"/>
    <xf numFmtId="49" fontId="0" fillId="0" borderId="215" xfId="0" applyNumberFormat="1" applyBorder="1"/>
    <xf numFmtId="41" fontId="0" fillId="0" borderId="195" xfId="10" applyFont="1" applyFill="1" applyBorder="1"/>
    <xf numFmtId="0" fontId="32" fillId="2" borderId="145" xfId="0" applyFont="1" applyFill="1" applyBorder="1" applyAlignment="1">
      <alignment horizontal="center" vertical="center"/>
    </xf>
    <xf numFmtId="166" fontId="38" fillId="0" borderId="20" xfId="13" applyNumberFormat="1" applyFont="1" applyFill="1" applyBorder="1" applyAlignment="1">
      <alignment vertical="center"/>
    </xf>
    <xf numFmtId="41" fontId="0" fillId="0" borderId="215" xfId="10" applyFont="1" applyFill="1" applyBorder="1"/>
    <xf numFmtId="49" fontId="0" fillId="0" borderId="195" xfId="0" applyNumberFormat="1" applyBorder="1"/>
    <xf numFmtId="41" fontId="38" fillId="0" borderId="214" xfId="0" applyNumberFormat="1" applyFont="1" applyBorder="1" applyAlignment="1">
      <alignment horizontal="center" vertical="center"/>
    </xf>
    <xf numFmtId="0" fontId="38" fillId="2" borderId="214" xfId="0" applyFont="1" applyFill="1" applyBorder="1" applyAlignment="1">
      <alignment horizontal="center" vertical="center"/>
    </xf>
    <xf numFmtId="166" fontId="38" fillId="0" borderId="214" xfId="13" applyNumberFormat="1" applyFont="1" applyFill="1" applyBorder="1" applyAlignment="1">
      <alignment horizontal="center" vertical="center"/>
    </xf>
    <xf numFmtId="167" fontId="38" fillId="5" borderId="214" xfId="13" applyNumberFormat="1" applyFont="1" applyFill="1" applyBorder="1" applyAlignment="1">
      <alignment vertical="center"/>
    </xf>
    <xf numFmtId="167" fontId="38" fillId="0" borderId="214" xfId="13" applyNumberFormat="1" applyFont="1" applyFill="1" applyBorder="1" applyAlignment="1">
      <alignment vertical="center"/>
    </xf>
    <xf numFmtId="167" fontId="38" fillId="4" borderId="214" xfId="13" applyNumberFormat="1" applyFont="1" applyFill="1" applyBorder="1" applyAlignment="1">
      <alignment vertical="center"/>
    </xf>
    <xf numFmtId="167" fontId="2" fillId="4" borderId="213" xfId="0" applyNumberFormat="1" applyFont="1" applyFill="1" applyBorder="1" applyAlignment="1">
      <alignment horizontal="center" vertical="center"/>
    </xf>
    <xf numFmtId="0" fontId="2" fillId="4" borderId="214" xfId="0" applyFont="1" applyFill="1" applyBorder="1" applyAlignment="1">
      <alignment vertical="center"/>
    </xf>
    <xf numFmtId="41" fontId="20" fillId="0" borderId="0" xfId="10" applyFont="1" applyFill="1"/>
    <xf numFmtId="49" fontId="2" fillId="0" borderId="215" xfId="0" applyNumberFormat="1" applyFont="1" applyBorder="1" applyAlignment="1">
      <alignment horizontal="center"/>
    </xf>
    <xf numFmtId="41" fontId="2" fillId="0" borderId="215" xfId="10" applyFont="1" applyFill="1" applyBorder="1"/>
    <xf numFmtId="0" fontId="14" fillId="0" borderId="215" xfId="0" applyFont="1" applyBorder="1" applyAlignment="1">
      <alignment horizontal="center" vertical="center"/>
    </xf>
    <xf numFmtId="0" fontId="45" fillId="0" borderId="152" xfId="0" applyFont="1" applyBorder="1" applyAlignment="1">
      <alignment vertical="center"/>
    </xf>
    <xf numFmtId="0" fontId="45" fillId="20" borderId="214" xfId="0" applyFont="1" applyFill="1" applyBorder="1" applyAlignment="1">
      <alignment horizontal="center" vertical="center"/>
    </xf>
    <xf numFmtId="0" fontId="45" fillId="20" borderId="101" xfId="0" applyFont="1" applyFill="1" applyBorder="1" applyAlignment="1">
      <alignment horizontal="center" vertical="center"/>
    </xf>
    <xf numFmtId="3" fontId="45" fillId="0" borderId="118" xfId="0" applyNumberFormat="1" applyFont="1" applyBorder="1" applyAlignment="1">
      <alignment vertical="center"/>
    </xf>
    <xf numFmtId="0" fontId="45" fillId="8" borderId="214" xfId="0" applyFont="1" applyFill="1" applyBorder="1" applyAlignment="1">
      <alignment horizontal="center" vertical="center"/>
    </xf>
    <xf numFmtId="3" fontId="2" fillId="8" borderId="101" xfId="0" applyNumberFormat="1" applyFont="1" applyFill="1" applyBorder="1"/>
    <xf numFmtId="166" fontId="96" fillId="26" borderId="5" xfId="1" applyNumberFormat="1" applyFont="1" applyFill="1" applyBorder="1"/>
    <xf numFmtId="0" fontId="26" fillId="0" borderId="220" xfId="0" applyFont="1" applyBorder="1"/>
    <xf numFmtId="166" fontId="33" fillId="19" borderId="5" xfId="1" applyNumberFormat="1" applyFont="1" applyFill="1" applyBorder="1"/>
    <xf numFmtId="166" fontId="97" fillId="19" borderId="5" xfId="1" applyNumberFormat="1" applyFont="1" applyFill="1" applyBorder="1"/>
    <xf numFmtId="166" fontId="33" fillId="7" borderId="5" xfId="1" applyNumberFormat="1" applyFont="1" applyFill="1" applyBorder="1"/>
    <xf numFmtId="166" fontId="97" fillId="7" borderId="5" xfId="1" applyNumberFormat="1" applyFont="1" applyFill="1" applyBorder="1"/>
    <xf numFmtId="41" fontId="96" fillId="7" borderId="5" xfId="10" applyFont="1" applyFill="1" applyBorder="1" applyAlignment="1">
      <alignment horizontal="right"/>
    </xf>
    <xf numFmtId="41" fontId="95" fillId="7" borderId="5" xfId="10" applyFont="1" applyFill="1" applyBorder="1" applyAlignment="1">
      <alignment horizontal="right"/>
    </xf>
    <xf numFmtId="41" fontId="95" fillId="0" borderId="116" xfId="10" applyFont="1" applyFill="1" applyBorder="1" applyAlignment="1">
      <alignment horizontal="right"/>
    </xf>
    <xf numFmtId="166" fontId="33" fillId="7" borderId="7" xfId="1" applyNumberFormat="1" applyFont="1" applyFill="1" applyBorder="1"/>
    <xf numFmtId="166" fontId="97" fillId="7" borderId="7" xfId="1" applyNumberFormat="1" applyFont="1" applyFill="1" applyBorder="1"/>
    <xf numFmtId="0" fontId="33" fillId="0" borderId="220" xfId="0" applyFont="1" applyBorder="1"/>
    <xf numFmtId="167" fontId="96" fillId="0" borderId="0" xfId="1" applyNumberFormat="1" applyFont="1"/>
    <xf numFmtId="167" fontId="97" fillId="27" borderId="5" xfId="1" applyNumberFormat="1" applyFont="1" applyFill="1" applyBorder="1"/>
    <xf numFmtId="3" fontId="98" fillId="0" borderId="215" xfId="0" applyNumberFormat="1" applyFont="1" applyBorder="1" applyAlignment="1">
      <alignment horizontal="right"/>
    </xf>
    <xf numFmtId="3" fontId="33" fillId="0" borderId="215" xfId="0" applyNumberFormat="1" applyFont="1" applyBorder="1" applyAlignment="1">
      <alignment horizontal="center"/>
    </xf>
    <xf numFmtId="3" fontId="97" fillId="0" borderId="215" xfId="0" applyNumberFormat="1" applyFont="1" applyBorder="1" applyAlignment="1">
      <alignment horizontal="center"/>
    </xf>
    <xf numFmtId="167" fontId="96" fillId="10" borderId="0" xfId="0" applyNumberFormat="1" applyFont="1" applyFill="1"/>
    <xf numFmtId="0" fontId="26" fillId="10" borderId="0" xfId="0" applyFont="1" applyFill="1" applyAlignment="1">
      <alignment horizontal="center"/>
    </xf>
    <xf numFmtId="41" fontId="99" fillId="0" borderId="215" xfId="10" applyFont="1" applyFill="1" applyBorder="1"/>
    <xf numFmtId="41" fontId="96" fillId="0" borderId="8" xfId="10" applyFont="1" applyFill="1" applyBorder="1"/>
    <xf numFmtId="167" fontId="96" fillId="45" borderId="222" xfId="1" applyNumberFormat="1" applyFont="1" applyFill="1" applyBorder="1" applyAlignment="1">
      <alignment horizontal="right"/>
    </xf>
    <xf numFmtId="41" fontId="20" fillId="0" borderId="0" xfId="10" applyFont="1" applyAlignment="1">
      <alignment horizontal="center"/>
    </xf>
    <xf numFmtId="0" fontId="20" fillId="0" borderId="215" xfId="0" applyFont="1" applyBorder="1"/>
    <xf numFmtId="17" fontId="38" fillId="0" borderId="96" xfId="0" applyNumberFormat="1" applyFont="1" applyBorder="1" applyAlignment="1">
      <alignment horizontal="center" vertical="center"/>
    </xf>
    <xf numFmtId="3" fontId="0" fillId="0" borderId="212" xfId="0" applyNumberFormat="1" applyBorder="1"/>
    <xf numFmtId="41" fontId="0" fillId="0" borderId="212" xfId="10" applyFont="1" applyFill="1" applyBorder="1"/>
    <xf numFmtId="41" fontId="16" fillId="0" borderId="27" xfId="10" applyFont="1" applyFill="1" applyBorder="1"/>
    <xf numFmtId="0" fontId="14" fillId="0" borderId="215" xfId="0" applyFont="1" applyBorder="1" applyAlignment="1">
      <alignment horizontal="center"/>
    </xf>
    <xf numFmtId="167" fontId="4" fillId="0" borderId="211" xfId="1" applyNumberFormat="1" applyFont="1" applyFill="1" applyBorder="1" applyAlignment="1">
      <alignment horizontal="center" wrapText="1"/>
    </xf>
    <xf numFmtId="167" fontId="4" fillId="0" borderId="215" xfId="1" applyNumberFormat="1" applyFont="1" applyFill="1" applyBorder="1" applyAlignment="1">
      <alignment horizontal="center" wrapText="1"/>
    </xf>
    <xf numFmtId="167" fontId="4" fillId="45" borderId="215" xfId="1" applyNumberFormat="1" applyFont="1" applyFill="1" applyBorder="1" applyAlignment="1">
      <alignment horizontal="center" wrapText="1"/>
    </xf>
    <xf numFmtId="167" fontId="4" fillId="0" borderId="221" xfId="1" applyNumberFormat="1" applyFont="1" applyFill="1" applyBorder="1" applyAlignment="1">
      <alignment horizontal="center" wrapText="1"/>
    </xf>
    <xf numFmtId="167" fontId="4" fillId="4" borderId="221" xfId="1" applyNumberFormat="1" applyFont="1" applyFill="1" applyBorder="1" applyAlignment="1">
      <alignment horizontal="center" wrapText="1"/>
    </xf>
    <xf numFmtId="0" fontId="4" fillId="0" borderId="145" xfId="0" applyFont="1" applyBorder="1"/>
    <xf numFmtId="167" fontId="4" fillId="4" borderId="179" xfId="1" applyNumberFormat="1" applyFont="1" applyFill="1" applyBorder="1" applyAlignment="1">
      <alignment horizontal="center" wrapText="1"/>
    </xf>
    <xf numFmtId="167" fontId="59" fillId="4" borderId="179" xfId="1" applyNumberFormat="1" applyFont="1" applyFill="1" applyBorder="1" applyAlignment="1">
      <alignment horizontal="center" wrapText="1"/>
    </xf>
    <xf numFmtId="167" fontId="4" fillId="4" borderId="180" xfId="1" applyNumberFormat="1" applyFont="1" applyFill="1" applyBorder="1" applyAlignment="1">
      <alignment horizontal="center" wrapText="1"/>
    </xf>
    <xf numFmtId="0" fontId="4" fillId="0" borderId="224" xfId="0" applyFont="1" applyBorder="1"/>
    <xf numFmtId="167" fontId="4" fillId="4" borderId="215" xfId="1" applyNumberFormat="1" applyFont="1" applyFill="1" applyBorder="1" applyAlignment="1">
      <alignment horizontal="center" wrapText="1"/>
    </xf>
    <xf numFmtId="167" fontId="59" fillId="4" borderId="215" xfId="1" applyNumberFormat="1" applyFont="1" applyFill="1" applyBorder="1" applyAlignment="1">
      <alignment horizontal="center" wrapText="1"/>
    </xf>
    <xf numFmtId="0" fontId="78" fillId="0" borderId="215" xfId="0" applyFont="1" applyBorder="1" applyAlignment="1">
      <alignment horizontal="center" wrapText="1"/>
    </xf>
    <xf numFmtId="3" fontId="78" fillId="0" borderId="215" xfId="0" applyNumberFormat="1" applyFont="1" applyBorder="1" applyAlignment="1">
      <alignment horizontal="center" wrapText="1"/>
    </xf>
    <xf numFmtId="0" fontId="78" fillId="0" borderId="221" xfId="0" applyFont="1" applyBorder="1" applyAlignment="1">
      <alignment horizontal="center" wrapText="1"/>
    </xf>
    <xf numFmtId="3" fontId="78" fillId="45" borderId="204" xfId="0" applyNumberFormat="1" applyFont="1" applyFill="1" applyBorder="1" applyAlignment="1">
      <alignment horizontal="center" wrapText="1"/>
    </xf>
    <xf numFmtId="0" fontId="78" fillId="28" borderId="225" xfId="0" applyFont="1" applyFill="1" applyBorder="1" applyAlignment="1">
      <alignment horizontal="center" wrapText="1"/>
    </xf>
    <xf numFmtId="0" fontId="78" fillId="28" borderId="223" xfId="0" applyFont="1" applyFill="1" applyBorder="1" applyAlignment="1">
      <alignment horizontal="center" wrapText="1"/>
    </xf>
    <xf numFmtId="3" fontId="78" fillId="28" borderId="223" xfId="0" applyNumberFormat="1" applyFont="1" applyFill="1" applyBorder="1" applyAlignment="1">
      <alignment horizontal="center" wrapText="1"/>
    </xf>
    <xf numFmtId="0" fontId="120" fillId="4" borderId="192" xfId="0" applyFont="1" applyFill="1" applyBorder="1" applyAlignment="1">
      <alignment horizontal="left" vertical="center"/>
    </xf>
    <xf numFmtId="4" fontId="78" fillId="0" borderId="192" xfId="0" applyNumberFormat="1" applyFont="1" applyBorder="1" applyAlignment="1">
      <alignment horizontal="center" wrapText="1"/>
    </xf>
    <xf numFmtId="3" fontId="78" fillId="0" borderId="95" xfId="0" applyNumberFormat="1" applyFont="1" applyBorder="1"/>
    <xf numFmtId="0" fontId="78" fillId="2" borderId="101" xfId="0" applyFont="1" applyFill="1" applyBorder="1" applyAlignment="1">
      <alignment horizontal="center" wrapText="1"/>
    </xf>
    <xf numFmtId="0" fontId="78" fillId="29" borderId="113" xfId="0" applyFont="1" applyFill="1" applyBorder="1" applyAlignment="1">
      <alignment horizontal="center" wrapText="1"/>
    </xf>
    <xf numFmtId="0" fontId="78" fillId="47" borderId="113" xfId="0" applyFont="1" applyFill="1" applyBorder="1" applyAlignment="1">
      <alignment horizontal="center" wrapText="1"/>
    </xf>
    <xf numFmtId="3" fontId="107" fillId="2" borderId="118" xfId="0" applyNumberFormat="1" applyFont="1" applyFill="1" applyBorder="1" applyAlignment="1">
      <alignment horizontal="center" vertical="center"/>
    </xf>
    <xf numFmtId="0" fontId="0" fillId="8" borderId="195" xfId="0" applyFill="1" applyBorder="1"/>
    <xf numFmtId="3" fontId="0" fillId="8" borderId="195" xfId="0" applyNumberFormat="1" applyFill="1" applyBorder="1"/>
    <xf numFmtId="41" fontId="0" fillId="8" borderId="212" xfId="10" applyFont="1" applyFill="1" applyBorder="1"/>
    <xf numFmtId="41" fontId="0" fillId="8" borderId="27" xfId="10" applyFont="1" applyFill="1" applyBorder="1"/>
    <xf numFmtId="0" fontId="0" fillId="0" borderId="195" xfId="0" applyBorder="1"/>
    <xf numFmtId="167" fontId="22" fillId="0" borderId="0" xfId="1" applyNumberFormat="1" applyFont="1"/>
    <xf numFmtId="164" fontId="96" fillId="0" borderId="0" xfId="1" applyFont="1"/>
    <xf numFmtId="167" fontId="95" fillId="0" borderId="0" xfId="0" applyNumberFormat="1" applyFont="1"/>
    <xf numFmtId="164" fontId="96" fillId="0" borderId="0" xfId="1" applyFont="1" applyFill="1"/>
    <xf numFmtId="167" fontId="95" fillId="2" borderId="7" xfId="1" applyNumberFormat="1" applyFont="1" applyFill="1" applyBorder="1" applyAlignment="1">
      <alignment horizontal="right"/>
    </xf>
    <xf numFmtId="166" fontId="95" fillId="0" borderId="192" xfId="1" applyNumberFormat="1" applyFont="1" applyFill="1" applyBorder="1"/>
    <xf numFmtId="41" fontId="96" fillId="0" borderId="215" xfId="10" applyFont="1" applyFill="1" applyBorder="1" applyAlignment="1">
      <alignment horizontal="right"/>
    </xf>
    <xf numFmtId="166" fontId="33" fillId="0" borderId="215" xfId="1" applyNumberFormat="1" applyFont="1" applyFill="1" applyBorder="1"/>
    <xf numFmtId="166" fontId="33" fillId="0" borderId="222" xfId="1" applyNumberFormat="1" applyFont="1" applyFill="1" applyBorder="1"/>
    <xf numFmtId="41" fontId="96" fillId="0" borderId="222" xfId="10" applyFont="1" applyFill="1" applyBorder="1" applyAlignment="1">
      <alignment horizontal="right"/>
    </xf>
    <xf numFmtId="17" fontId="58" fillId="2" borderId="214" xfId="0" applyNumberFormat="1" applyFont="1" applyFill="1" applyBorder="1" applyAlignment="1">
      <alignment horizontal="center"/>
    </xf>
    <xf numFmtId="167" fontId="11" fillId="45" borderId="214" xfId="1" applyNumberFormat="1" applyFont="1" applyFill="1" applyBorder="1"/>
    <xf numFmtId="0" fontId="80" fillId="0" borderId="226" xfId="0" applyFont="1" applyBorder="1"/>
    <xf numFmtId="0" fontId="78" fillId="0" borderId="227" xfId="0" applyFont="1" applyBorder="1"/>
    <xf numFmtId="0" fontId="0" fillId="0" borderId="228" xfId="0" applyBorder="1"/>
    <xf numFmtId="0" fontId="79" fillId="0" borderId="226" xfId="0" applyFont="1" applyBorder="1"/>
    <xf numFmtId="0" fontId="82" fillId="0" borderId="211" xfId="0" applyFont="1" applyBorder="1" applyAlignment="1">
      <alignment horizontal="center" wrapText="1"/>
    </xf>
    <xf numFmtId="0" fontId="82" fillId="0" borderId="215" xfId="0" applyFont="1" applyBorder="1" applyAlignment="1">
      <alignment horizontal="center" wrapText="1"/>
    </xf>
    <xf numFmtId="0" fontId="82" fillId="45" borderId="215" xfId="0" applyFont="1" applyFill="1" applyBorder="1" applyAlignment="1">
      <alignment horizontal="center" wrapText="1"/>
    </xf>
    <xf numFmtId="0" fontId="82" fillId="0" borderId="221" xfId="0" applyFont="1" applyBorder="1" applyAlignment="1">
      <alignment horizontal="center" wrapText="1"/>
    </xf>
    <xf numFmtId="0" fontId="78" fillId="0" borderId="211" xfId="0" applyFont="1" applyBorder="1" applyAlignment="1">
      <alignment horizontal="center" wrapText="1"/>
    </xf>
    <xf numFmtId="0" fontId="78" fillId="46" borderId="215" xfId="0" applyFont="1" applyFill="1" applyBorder="1" applyAlignment="1">
      <alignment horizontal="center" wrapText="1"/>
    </xf>
    <xf numFmtId="0" fontId="78" fillId="28" borderId="215" xfId="0" applyFont="1" applyFill="1" applyBorder="1" applyAlignment="1">
      <alignment horizontal="center" wrapText="1"/>
    </xf>
    <xf numFmtId="3" fontId="45" fillId="8" borderId="118" xfId="0" applyNumberFormat="1" applyFont="1" applyFill="1" applyBorder="1" applyAlignment="1">
      <alignment vertical="center"/>
    </xf>
    <xf numFmtId="167" fontId="38" fillId="4" borderId="96" xfId="13" applyNumberFormat="1" applyFont="1" applyFill="1" applyBorder="1" applyAlignment="1">
      <alignment vertical="center"/>
    </xf>
    <xf numFmtId="0" fontId="0" fillId="0" borderId="32" xfId="0" applyBorder="1"/>
    <xf numFmtId="3" fontId="0" fillId="0" borderId="22" xfId="0" applyNumberFormat="1" applyBorder="1"/>
    <xf numFmtId="49" fontId="0" fillId="0" borderId="196" xfId="0" applyNumberFormat="1" applyBorder="1"/>
    <xf numFmtId="0" fontId="0" fillId="0" borderId="196" xfId="0" applyBorder="1"/>
    <xf numFmtId="3" fontId="0" fillId="0" borderId="197" xfId="0" applyNumberFormat="1" applyBorder="1"/>
    <xf numFmtId="0" fontId="32" fillId="2" borderId="96" xfId="0" applyFont="1" applyFill="1" applyBorder="1" applyAlignment="1">
      <alignment horizontal="center" vertical="center"/>
    </xf>
    <xf numFmtId="49" fontId="0" fillId="0" borderId="32" xfId="0" applyNumberFormat="1" applyBorder="1"/>
    <xf numFmtId="164" fontId="20" fillId="0" borderId="0" xfId="1" applyFont="1" applyAlignment="1">
      <alignment vertical="center"/>
    </xf>
    <xf numFmtId="167" fontId="20" fillId="0" borderId="0" xfId="1" applyNumberFormat="1" applyFont="1" applyAlignment="1">
      <alignment vertical="center"/>
    </xf>
    <xf numFmtId="166" fontId="28" fillId="0" borderId="230" xfId="1" applyNumberFormat="1" applyFont="1" applyFill="1" applyBorder="1"/>
    <xf numFmtId="41" fontId="22" fillId="0" borderId="230" xfId="10" applyFont="1" applyFill="1" applyBorder="1" applyAlignment="1">
      <alignment horizontal="center"/>
    </xf>
    <xf numFmtId="14" fontId="12" fillId="0" borderId="230" xfId="0" applyNumberFormat="1" applyFont="1" applyBorder="1" applyAlignment="1">
      <alignment horizontal="center"/>
    </xf>
    <xf numFmtId="0" fontId="0" fillId="0" borderId="230" xfId="0" applyBorder="1"/>
    <xf numFmtId="171" fontId="0" fillId="0" borderId="230" xfId="1" applyNumberFormat="1" applyFont="1" applyFill="1" applyBorder="1"/>
    <xf numFmtId="0" fontId="14" fillId="0" borderId="40" xfId="0" applyFont="1" applyBorder="1" applyAlignment="1">
      <alignment vertical="center"/>
    </xf>
    <xf numFmtId="0" fontId="14" fillId="0" borderId="58" xfId="0" applyFont="1" applyBorder="1" applyAlignment="1">
      <alignment horizontal="center" vertical="center" wrapText="1"/>
    </xf>
    <xf numFmtId="0" fontId="0" fillId="0" borderId="149" xfId="0" applyBorder="1"/>
    <xf numFmtId="171" fontId="0" fillId="0" borderId="149" xfId="1" applyNumberFormat="1" applyFont="1" applyFill="1" applyBorder="1"/>
    <xf numFmtId="0" fontId="0" fillId="0" borderId="231" xfId="0" applyBorder="1"/>
    <xf numFmtId="3" fontId="0" fillId="0" borderId="232" xfId="0" applyNumberFormat="1" applyBorder="1"/>
    <xf numFmtId="166" fontId="38" fillId="8" borderId="214" xfId="13" applyNumberFormat="1" applyFont="1" applyFill="1" applyBorder="1" applyAlignment="1">
      <alignment vertical="center"/>
    </xf>
    <xf numFmtId="41" fontId="16" fillId="0" borderId="197" xfId="10" applyFont="1" applyFill="1" applyBorder="1"/>
    <xf numFmtId="41" fontId="38" fillId="8" borderId="214" xfId="0" applyNumberFormat="1" applyFont="1" applyFill="1" applyBorder="1" applyAlignment="1">
      <alignment horizontal="center" vertical="center"/>
    </xf>
    <xf numFmtId="41" fontId="0" fillId="0" borderId="232" xfId="10" applyFont="1" applyFill="1" applyBorder="1"/>
    <xf numFmtId="0" fontId="0" fillId="0" borderId="213" xfId="0" applyBorder="1"/>
    <xf numFmtId="49" fontId="0" fillId="0" borderId="230" xfId="0" applyNumberFormat="1" applyBorder="1"/>
    <xf numFmtId="49" fontId="0" fillId="0" borderId="231" xfId="0" applyNumberFormat="1" applyBorder="1"/>
    <xf numFmtId="41" fontId="0" fillId="0" borderId="22" xfId="10" applyFont="1" applyFill="1" applyBorder="1"/>
    <xf numFmtId="41" fontId="0" fillId="0" borderId="197" xfId="10" applyFont="1" applyFill="1" applyBorder="1"/>
    <xf numFmtId="171" fontId="22" fillId="0" borderId="230" xfId="1" applyNumberFormat="1" applyFont="1" applyFill="1" applyBorder="1"/>
    <xf numFmtId="41" fontId="96" fillId="45" borderId="233" xfId="10" applyFont="1" applyFill="1" applyBorder="1" applyAlignment="1">
      <alignment horizontal="right"/>
    </xf>
    <xf numFmtId="41" fontId="96" fillId="45" borderId="230" xfId="10" applyFont="1" applyFill="1" applyBorder="1" applyAlignment="1">
      <alignment horizontal="right"/>
    </xf>
    <xf numFmtId="41" fontId="96" fillId="46" borderId="230" xfId="10" applyFont="1" applyFill="1" applyBorder="1" applyAlignment="1">
      <alignment horizontal="right"/>
    </xf>
    <xf numFmtId="166" fontId="33" fillId="4" borderId="233" xfId="1" applyNumberFormat="1" applyFont="1" applyFill="1" applyBorder="1"/>
    <xf numFmtId="41" fontId="96" fillId="0" borderId="230" xfId="10" applyFont="1" applyFill="1" applyBorder="1" applyAlignment="1">
      <alignment horizontal="right"/>
    </xf>
    <xf numFmtId="0" fontId="26" fillId="0" borderId="231" xfId="0" applyFont="1" applyBorder="1"/>
    <xf numFmtId="167" fontId="96" fillId="12" borderId="7" xfId="1" applyNumberFormat="1" applyFont="1" applyFill="1" applyBorder="1" applyAlignment="1">
      <alignment horizontal="right"/>
    </xf>
    <xf numFmtId="167" fontId="96" fillId="12" borderId="195" xfId="1" applyNumberFormat="1" applyFont="1" applyFill="1" applyBorder="1" applyAlignment="1">
      <alignment horizontal="right"/>
    </xf>
    <xf numFmtId="167" fontId="96" fillId="12" borderId="5" xfId="1" applyNumberFormat="1" applyFont="1" applyFill="1" applyBorder="1"/>
    <xf numFmtId="167" fontId="96" fillId="12" borderId="7" xfId="1" applyNumberFormat="1" applyFont="1" applyFill="1" applyBorder="1"/>
    <xf numFmtId="167" fontId="33" fillId="12" borderId="7" xfId="1" applyNumberFormat="1" applyFont="1" applyFill="1" applyBorder="1" applyAlignment="1">
      <alignment horizontal="right"/>
    </xf>
    <xf numFmtId="167" fontId="95" fillId="12" borderId="5" xfId="1" applyNumberFormat="1" applyFont="1" applyFill="1" applyBorder="1"/>
    <xf numFmtId="167" fontId="96" fillId="12" borderId="192" xfId="1" applyNumberFormat="1" applyFont="1" applyFill="1" applyBorder="1"/>
    <xf numFmtId="41" fontId="33" fillId="0" borderId="5" xfId="10" applyFont="1" applyFill="1" applyBorder="1"/>
    <xf numFmtId="166" fontId="33" fillId="2" borderId="5" xfId="1" applyNumberFormat="1" applyFont="1" applyFill="1" applyBorder="1"/>
    <xf numFmtId="167" fontId="96" fillId="0" borderId="230" xfId="1" applyNumberFormat="1" applyFont="1" applyFill="1" applyBorder="1" applyAlignment="1">
      <alignment horizontal="right"/>
    </xf>
    <xf numFmtId="167" fontId="95" fillId="0" borderId="230" xfId="1" applyNumberFormat="1" applyFont="1" applyFill="1" applyBorder="1" applyAlignment="1">
      <alignment horizontal="right"/>
    </xf>
    <xf numFmtId="166" fontId="95" fillId="0" borderId="3" xfId="1" applyNumberFormat="1" applyFont="1" applyFill="1" applyBorder="1"/>
    <xf numFmtId="164" fontId="20" fillId="0" borderId="0" xfId="1" applyFont="1"/>
    <xf numFmtId="3" fontId="2" fillId="8" borderId="13" xfId="0" applyNumberFormat="1" applyFont="1" applyFill="1" applyBorder="1"/>
    <xf numFmtId="167" fontId="20" fillId="0" borderId="0" xfId="1" applyNumberFormat="1" applyFont="1"/>
    <xf numFmtId="14" fontId="26" fillId="0" borderId="230" xfId="0" applyNumberFormat="1" applyFont="1" applyBorder="1" applyAlignment="1">
      <alignment horizontal="center"/>
    </xf>
    <xf numFmtId="0" fontId="26" fillId="0" borderId="230" xfId="0" applyFont="1" applyBorder="1" applyAlignment="1">
      <alignment horizontal="center"/>
    </xf>
    <xf numFmtId="3" fontId="12" fillId="0" borderId="230" xfId="0" applyNumberFormat="1" applyFont="1" applyBorder="1"/>
    <xf numFmtId="0" fontId="22" fillId="0" borderId="230" xfId="0" applyFont="1" applyBorder="1" applyAlignment="1">
      <alignment horizontal="left"/>
    </xf>
    <xf numFmtId="166" fontId="95" fillId="46" borderId="230" xfId="1" applyNumberFormat="1" applyFont="1" applyFill="1" applyBorder="1"/>
    <xf numFmtId="167" fontId="95" fillId="12" borderId="7" xfId="1" applyNumberFormat="1" applyFont="1" applyFill="1" applyBorder="1" applyAlignment="1">
      <alignment horizontal="right"/>
    </xf>
    <xf numFmtId="0" fontId="26" fillId="27" borderId="35" xfId="0" applyFont="1" applyFill="1" applyBorder="1"/>
    <xf numFmtId="167" fontId="96" fillId="27" borderId="5" xfId="1" applyNumberFormat="1" applyFont="1" applyFill="1" applyBorder="1" applyAlignment="1">
      <alignment horizontal="right"/>
    </xf>
    <xf numFmtId="0" fontId="26" fillId="4" borderId="231" xfId="0" applyFont="1" applyFill="1" applyBorder="1"/>
    <xf numFmtId="167" fontId="40" fillId="0" borderId="10" xfId="1" applyNumberFormat="1" applyFont="1" applyFill="1" applyBorder="1" applyAlignment="1"/>
    <xf numFmtId="167" fontId="95" fillId="0" borderId="0" xfId="1" applyNumberFormat="1" applyFont="1" applyFill="1"/>
    <xf numFmtId="167" fontId="44" fillId="4" borderId="10" xfId="1" applyNumberFormat="1" applyFont="1" applyFill="1" applyBorder="1"/>
    <xf numFmtId="167" fontId="96" fillId="17" borderId="0" xfId="1" applyNumberFormat="1" applyFont="1" applyFill="1"/>
    <xf numFmtId="167" fontId="12" fillId="0" borderId="0" xfId="1" applyNumberFormat="1" applyFont="1"/>
    <xf numFmtId="167" fontId="96" fillId="0" borderId="0" xfId="1" applyNumberFormat="1" applyFont="1" applyBorder="1"/>
    <xf numFmtId="167" fontId="96" fillId="48" borderId="5" xfId="1" applyNumberFormat="1" applyFont="1" applyFill="1" applyBorder="1"/>
    <xf numFmtId="167" fontId="96" fillId="48" borderId="7" xfId="1" applyNumberFormat="1" applyFont="1" applyFill="1" applyBorder="1" applyAlignment="1">
      <alignment horizontal="right"/>
    </xf>
    <xf numFmtId="167" fontId="33" fillId="48" borderId="5" xfId="1" applyNumberFormat="1" applyFont="1" applyFill="1" applyBorder="1"/>
    <xf numFmtId="167" fontId="96" fillId="48" borderId="7" xfId="1" applyNumberFormat="1" applyFont="1" applyFill="1" applyBorder="1"/>
    <xf numFmtId="167" fontId="96" fillId="48" borderId="195" xfId="1" applyNumberFormat="1" applyFont="1" applyFill="1" applyBorder="1"/>
    <xf numFmtId="167" fontId="95" fillId="0" borderId="0" xfId="1" applyNumberFormat="1" applyFont="1" applyFill="1" applyBorder="1"/>
    <xf numFmtId="166" fontId="96" fillId="48" borderId="6" xfId="1" applyNumberFormat="1" applyFont="1" applyFill="1" applyBorder="1"/>
    <xf numFmtId="166" fontId="33" fillId="48" borderId="5" xfId="1" applyNumberFormat="1" applyFont="1" applyFill="1" applyBorder="1"/>
    <xf numFmtId="167" fontId="96" fillId="48" borderId="192" xfId="1" applyNumberFormat="1" applyFont="1" applyFill="1" applyBorder="1"/>
    <xf numFmtId="171" fontId="22" fillId="48" borderId="230" xfId="1" applyNumberFormat="1" applyFont="1" applyFill="1" applyBorder="1"/>
    <xf numFmtId="167" fontId="95" fillId="48" borderId="7" xfId="1" applyNumberFormat="1" applyFont="1" applyFill="1" applyBorder="1" applyAlignment="1">
      <alignment horizontal="right"/>
    </xf>
    <xf numFmtId="167" fontId="96" fillId="48" borderId="195" xfId="1" applyNumberFormat="1" applyFont="1" applyFill="1" applyBorder="1" applyAlignment="1">
      <alignment horizontal="right"/>
    </xf>
    <xf numFmtId="167" fontId="96" fillId="48" borderId="5" xfId="1" applyNumberFormat="1" applyFont="1" applyFill="1" applyBorder="1" applyAlignment="1">
      <alignment horizontal="right"/>
    </xf>
    <xf numFmtId="167" fontId="96" fillId="48" borderId="230" xfId="1" applyNumberFormat="1" applyFont="1" applyFill="1" applyBorder="1" applyAlignment="1">
      <alignment horizontal="right"/>
    </xf>
    <xf numFmtId="166" fontId="96" fillId="48" borderId="5" xfId="1" applyNumberFormat="1" applyFont="1" applyFill="1" applyBorder="1"/>
    <xf numFmtId="166" fontId="96" fillId="48" borderId="7" xfId="1" applyNumberFormat="1" applyFont="1" applyFill="1" applyBorder="1"/>
    <xf numFmtId="167" fontId="33" fillId="48" borderId="7" xfId="1" applyNumberFormat="1" applyFont="1" applyFill="1" applyBorder="1" applyAlignment="1">
      <alignment horizontal="right"/>
    </xf>
    <xf numFmtId="166" fontId="33" fillId="48" borderId="176" xfId="1" applyNumberFormat="1" applyFont="1" applyFill="1" applyBorder="1"/>
    <xf numFmtId="167" fontId="95" fillId="48" borderId="5" xfId="1" applyNumberFormat="1" applyFont="1" applyFill="1" applyBorder="1"/>
    <xf numFmtId="167" fontId="95" fillId="48" borderId="5" xfId="1" applyNumberFormat="1" applyFont="1" applyFill="1" applyBorder="1" applyAlignment="1">
      <alignment horizontal="right"/>
    </xf>
    <xf numFmtId="166" fontId="95" fillId="48" borderId="5" xfId="1" applyNumberFormat="1" applyFont="1" applyFill="1" applyBorder="1"/>
    <xf numFmtId="166" fontId="95" fillId="48" borderId="192" xfId="1" applyNumberFormat="1" applyFont="1" applyFill="1" applyBorder="1"/>
    <xf numFmtId="167" fontId="95" fillId="48" borderId="7" xfId="1" applyNumberFormat="1" applyFont="1" applyFill="1" applyBorder="1"/>
    <xf numFmtId="166" fontId="96" fillId="48" borderId="47" xfId="1" applyNumberFormat="1" applyFont="1" applyFill="1" applyBorder="1"/>
    <xf numFmtId="49" fontId="0" fillId="0" borderId="0" xfId="0" applyNumberFormat="1"/>
    <xf numFmtId="167" fontId="95" fillId="26" borderId="59" xfId="1" applyNumberFormat="1" applyFont="1" applyFill="1" applyBorder="1"/>
    <xf numFmtId="167" fontId="95" fillId="26" borderId="64" xfId="1" applyNumberFormat="1" applyFont="1" applyFill="1" applyBorder="1"/>
    <xf numFmtId="167" fontId="95" fillId="26" borderId="231" xfId="1" applyNumberFormat="1" applyFont="1" applyFill="1" applyBorder="1"/>
    <xf numFmtId="167" fontId="95" fillId="2" borderId="235" xfId="1" applyNumberFormat="1" applyFont="1" applyFill="1" applyBorder="1" applyAlignment="1">
      <alignment horizontal="center"/>
    </xf>
    <xf numFmtId="166" fontId="97" fillId="2" borderId="236" xfId="1" applyNumberFormat="1" applyFont="1" applyFill="1" applyBorder="1"/>
    <xf numFmtId="166" fontId="97" fillId="2" borderId="232" xfId="1" applyNumberFormat="1" applyFont="1" applyFill="1" applyBorder="1"/>
    <xf numFmtId="167" fontId="95" fillId="26" borderId="32" xfId="1" applyNumberFormat="1" applyFont="1" applyFill="1" applyBorder="1"/>
    <xf numFmtId="167" fontId="96" fillId="26" borderId="214" xfId="0" applyNumberFormat="1" applyFont="1" applyFill="1" applyBorder="1"/>
    <xf numFmtId="167" fontId="96" fillId="26" borderId="101" xfId="0" applyNumberFormat="1" applyFont="1" applyFill="1" applyBorder="1"/>
    <xf numFmtId="0" fontId="95" fillId="8" borderId="19" xfId="0" applyFont="1" applyFill="1" applyBorder="1" applyAlignment="1">
      <alignment wrapText="1"/>
    </xf>
    <xf numFmtId="0" fontId="61" fillId="0" borderId="96" xfId="0" applyFont="1" applyBorder="1" applyAlignment="1">
      <alignment horizontal="left" indent="2"/>
    </xf>
    <xf numFmtId="167" fontId="4" fillId="0" borderId="230" xfId="1" applyNumberFormat="1" applyFont="1" applyBorder="1" applyAlignment="1">
      <alignment horizontal="center" wrapText="1"/>
    </xf>
    <xf numFmtId="167" fontId="4" fillId="45" borderId="230" xfId="1" applyNumberFormat="1" applyFont="1" applyFill="1" applyBorder="1" applyAlignment="1">
      <alignment horizontal="center" wrapText="1"/>
    </xf>
    <xf numFmtId="0" fontId="4" fillId="0" borderId="230" xfId="0" applyFont="1" applyBorder="1" applyAlignment="1">
      <alignment horizontal="center" wrapText="1"/>
    </xf>
    <xf numFmtId="167" fontId="4" fillId="0" borderId="238" xfId="1" applyNumberFormat="1" applyFont="1" applyFill="1" applyBorder="1" applyAlignment="1">
      <alignment horizontal="center" wrapText="1"/>
    </xf>
    <xf numFmtId="167" fontId="4" fillId="0" borderId="230" xfId="1" applyNumberFormat="1" applyFont="1" applyFill="1" applyBorder="1" applyAlignment="1">
      <alignment horizontal="center" wrapText="1"/>
    </xf>
    <xf numFmtId="167" fontId="4" fillId="0" borderId="232" xfId="1" applyNumberFormat="1" applyFont="1" applyFill="1" applyBorder="1" applyAlignment="1">
      <alignment horizontal="center" wrapText="1"/>
    </xf>
    <xf numFmtId="166" fontId="33" fillId="0" borderId="230" xfId="0" applyNumberFormat="1" applyFont="1" applyBorder="1"/>
    <xf numFmtId="166" fontId="33" fillId="0" borderId="149" xfId="0" applyNumberFormat="1" applyFont="1" applyBorder="1"/>
    <xf numFmtId="166" fontId="33" fillId="0" borderId="234" xfId="0" applyNumberFormat="1" applyFont="1" applyBorder="1"/>
    <xf numFmtId="167" fontId="95" fillId="26" borderId="37" xfId="1" applyNumberFormat="1" applyFont="1" applyFill="1" applyBorder="1"/>
    <xf numFmtId="41" fontId="27" fillId="0" borderId="237" xfId="10" applyFont="1" applyBorder="1"/>
    <xf numFmtId="41" fontId="27" fillId="0" borderId="159" xfId="10" applyFont="1" applyBorder="1"/>
    <xf numFmtId="166" fontId="95" fillId="2" borderId="96" xfId="0" applyNumberFormat="1" applyFont="1" applyFill="1" applyBorder="1"/>
    <xf numFmtId="166" fontId="95" fillId="2" borderId="100" xfId="0" applyNumberFormat="1" applyFont="1" applyFill="1" applyBorder="1"/>
    <xf numFmtId="166" fontId="95" fillId="2" borderId="101" xfId="0" applyNumberFormat="1" applyFont="1" applyFill="1" applyBorder="1"/>
    <xf numFmtId="166" fontId="33" fillId="0" borderId="51" xfId="0" applyNumberFormat="1" applyFont="1" applyBorder="1"/>
    <xf numFmtId="0" fontId="9" fillId="49" borderId="230" xfId="0" applyFont="1" applyFill="1" applyBorder="1"/>
    <xf numFmtId="0" fontId="9" fillId="49" borderId="149" xfId="0" applyFont="1" applyFill="1" applyBorder="1"/>
    <xf numFmtId="0" fontId="78" fillId="0" borderId="230" xfId="0" applyFont="1" applyBorder="1" applyAlignment="1">
      <alignment horizontal="center" wrapText="1"/>
    </xf>
    <xf numFmtId="3" fontId="78" fillId="0" borderId="230" xfId="0" applyNumberFormat="1" applyFont="1" applyBorder="1" applyAlignment="1">
      <alignment horizontal="center" wrapText="1"/>
    </xf>
    <xf numFmtId="0" fontId="78" fillId="0" borderId="232" xfId="0" applyFont="1" applyBorder="1" applyAlignment="1">
      <alignment horizontal="center" wrapText="1"/>
    </xf>
    <xf numFmtId="0" fontId="78" fillId="0" borderId="182" xfId="0" applyFont="1" applyBorder="1"/>
    <xf numFmtId="4" fontId="78" fillId="0" borderId="230" xfId="0" applyNumberFormat="1" applyFont="1" applyBorder="1" applyAlignment="1">
      <alignment horizontal="center" wrapText="1"/>
    </xf>
    <xf numFmtId="166" fontId="50" fillId="2" borderId="10" xfId="0" applyNumberFormat="1" applyFont="1" applyFill="1" applyBorder="1"/>
    <xf numFmtId="166" fontId="28" fillId="0" borderId="0" xfId="0" applyNumberFormat="1" applyFont="1"/>
    <xf numFmtId="173" fontId="0" fillId="2" borderId="72" xfId="0" applyNumberFormat="1" applyFill="1" applyBorder="1"/>
    <xf numFmtId="173" fontId="38" fillId="27" borderId="150" xfId="0" applyNumberFormat="1" applyFont="1" applyFill="1" applyBorder="1" applyAlignment="1">
      <alignment horizontal="center" wrapText="1"/>
    </xf>
    <xf numFmtId="173" fontId="38" fillId="27" borderId="78" xfId="0" applyNumberFormat="1" applyFont="1" applyFill="1" applyBorder="1" applyAlignment="1">
      <alignment horizontal="center" wrapText="1"/>
    </xf>
    <xf numFmtId="49" fontId="66" fillId="27" borderId="141" xfId="0" applyNumberFormat="1" applyFont="1" applyFill="1" applyBorder="1"/>
    <xf numFmtId="0" fontId="38" fillId="27" borderId="150" xfId="0" applyFont="1" applyFill="1" applyBorder="1" applyAlignment="1">
      <alignment wrapText="1"/>
    </xf>
    <xf numFmtId="3" fontId="38" fillId="27" borderId="150" xfId="0" applyNumberFormat="1" applyFont="1" applyFill="1" applyBorder="1" applyAlignment="1">
      <alignment wrapText="1"/>
    </xf>
    <xf numFmtId="49" fontId="66" fillId="27" borderId="183" xfId="0" applyNumberFormat="1" applyFont="1" applyFill="1" applyBorder="1"/>
    <xf numFmtId="49" fontId="66" fillId="27" borderId="210" xfId="0" applyNumberFormat="1" applyFont="1" applyFill="1" applyBorder="1"/>
    <xf numFmtId="0" fontId="38" fillId="27" borderId="78" xfId="0" applyFont="1" applyFill="1" applyBorder="1" applyAlignment="1">
      <alignment wrapText="1"/>
    </xf>
    <xf numFmtId="3" fontId="38" fillId="27" borderId="78" xfId="0" applyNumberFormat="1" applyFont="1" applyFill="1" applyBorder="1" applyAlignment="1">
      <alignment wrapText="1"/>
    </xf>
    <xf numFmtId="49" fontId="66" fillId="27" borderId="229" xfId="0" applyNumberFormat="1" applyFont="1" applyFill="1" applyBorder="1"/>
    <xf numFmtId="49" fontId="66" fillId="0" borderId="141" xfId="0" applyNumberFormat="1" applyFont="1" applyBorder="1"/>
    <xf numFmtId="173" fontId="38" fillId="0" borderId="78" xfId="0" applyNumberFormat="1" applyFont="1" applyBorder="1" applyAlignment="1">
      <alignment horizontal="center" wrapText="1"/>
    </xf>
    <xf numFmtId="0" fontId="22" fillId="0" borderId="215" xfId="0" applyFont="1" applyBorder="1"/>
    <xf numFmtId="14" fontId="26" fillId="50" borderId="215" xfId="0" applyNumberFormat="1" applyFont="1" applyFill="1" applyBorder="1" applyAlignment="1">
      <alignment horizontal="center"/>
    </xf>
    <xf numFmtId="0" fontId="26" fillId="50" borderId="215" xfId="0" applyFont="1" applyFill="1" applyBorder="1" applyAlignment="1">
      <alignment horizontal="center"/>
    </xf>
    <xf numFmtId="3" fontId="12" fillId="50" borderId="215" xfId="0" applyNumberFormat="1" applyFont="1" applyFill="1" applyBorder="1"/>
    <xf numFmtId="0" fontId="22" fillId="50" borderId="215" xfId="0" applyFont="1" applyFill="1" applyBorder="1" applyAlignment="1">
      <alignment horizontal="left"/>
    </xf>
    <xf numFmtId="166" fontId="28" fillId="50" borderId="215" xfId="1" applyNumberFormat="1" applyFont="1" applyFill="1" applyBorder="1"/>
    <xf numFmtId="41" fontId="22" fillId="50" borderId="215" xfId="10" applyFont="1" applyFill="1" applyBorder="1" applyAlignment="1">
      <alignment horizontal="center"/>
    </xf>
    <xf numFmtId="14" fontId="12" fillId="50" borderId="215" xfId="0" applyNumberFormat="1" applyFont="1" applyFill="1" applyBorder="1" applyAlignment="1">
      <alignment horizontal="center"/>
    </xf>
    <xf numFmtId="14" fontId="26" fillId="9" borderId="215" xfId="0" applyNumberFormat="1" applyFont="1" applyFill="1" applyBorder="1" applyAlignment="1">
      <alignment horizontal="center"/>
    </xf>
    <xf numFmtId="0" fontId="26" fillId="9" borderId="215" xfId="0" applyFont="1" applyFill="1" applyBorder="1" applyAlignment="1">
      <alignment horizontal="center"/>
    </xf>
    <xf numFmtId="3" fontId="12" fillId="9" borderId="215" xfId="0" applyNumberFormat="1" applyFont="1" applyFill="1" applyBorder="1"/>
    <xf numFmtId="0" fontId="22" fillId="9" borderId="215" xfId="0" applyFont="1" applyFill="1" applyBorder="1" applyAlignment="1">
      <alignment horizontal="left"/>
    </xf>
    <xf numFmtId="3" fontId="12" fillId="9" borderId="195" xfId="0" applyNumberFormat="1" applyFont="1" applyFill="1" applyBorder="1"/>
    <xf numFmtId="166" fontId="28" fillId="9" borderId="195" xfId="1" applyNumberFormat="1" applyFont="1" applyFill="1" applyBorder="1"/>
    <xf numFmtId="41" fontId="22" fillId="9" borderId="195" xfId="10" applyFont="1" applyFill="1" applyBorder="1" applyAlignment="1">
      <alignment horizontal="center"/>
    </xf>
    <xf numFmtId="14" fontId="12" fillId="9" borderId="215" xfId="0" applyNumberFormat="1" applyFont="1" applyFill="1" applyBorder="1" applyAlignment="1">
      <alignment horizontal="center"/>
    </xf>
    <xf numFmtId="14" fontId="22" fillId="9" borderId="215" xfId="0" applyNumberFormat="1" applyFont="1" applyFill="1" applyBorder="1" applyAlignment="1">
      <alignment horizontal="center"/>
    </xf>
    <xf numFmtId="166" fontId="28" fillId="9" borderId="215" xfId="1" applyNumberFormat="1" applyFont="1" applyFill="1" applyBorder="1"/>
    <xf numFmtId="41" fontId="22" fillId="9" borderId="215" xfId="10" applyFont="1" applyFill="1" applyBorder="1" applyAlignment="1">
      <alignment horizontal="center"/>
    </xf>
    <xf numFmtId="14" fontId="26" fillId="9" borderId="230" xfId="0" applyNumberFormat="1" applyFont="1" applyFill="1" applyBorder="1" applyAlignment="1">
      <alignment horizontal="center"/>
    </xf>
    <xf numFmtId="0" fontId="26" fillId="9" borderId="230" xfId="0" applyFont="1" applyFill="1" applyBorder="1" applyAlignment="1">
      <alignment horizontal="center"/>
    </xf>
    <xf numFmtId="3" fontId="12" fillId="9" borderId="230" xfId="0" applyNumberFormat="1" applyFont="1" applyFill="1" applyBorder="1"/>
    <xf numFmtId="166" fontId="28" fillId="9" borderId="230" xfId="1" applyNumberFormat="1" applyFont="1" applyFill="1" applyBorder="1"/>
    <xf numFmtId="41" fontId="22" fillId="9" borderId="230" xfId="10" applyFont="1" applyFill="1" applyBorder="1" applyAlignment="1">
      <alignment horizontal="center"/>
    </xf>
    <xf numFmtId="14" fontId="12" fillId="9" borderId="230" xfId="0" applyNumberFormat="1" applyFont="1" applyFill="1" applyBorder="1" applyAlignment="1">
      <alignment horizontal="center"/>
    </xf>
    <xf numFmtId="41" fontId="22" fillId="0" borderId="0" xfId="10" applyFont="1" applyFill="1" applyBorder="1" applyAlignment="1">
      <alignment horizontal="center"/>
    </xf>
    <xf numFmtId="41" fontId="23" fillId="0" borderId="215" xfId="10" applyFont="1" applyFill="1" applyBorder="1" applyAlignment="1">
      <alignment horizontal="center"/>
    </xf>
    <xf numFmtId="0" fontId="23" fillId="0" borderId="215" xfId="0" applyFont="1" applyBorder="1" applyAlignment="1">
      <alignment horizontal="center"/>
    </xf>
    <xf numFmtId="166" fontId="44" fillId="0" borderId="215" xfId="1" applyNumberFormat="1" applyFont="1" applyFill="1" applyBorder="1"/>
    <xf numFmtId="0" fontId="2" fillId="0" borderId="215" xfId="0" applyFont="1" applyBorder="1"/>
    <xf numFmtId="166" fontId="95" fillId="0" borderId="230" xfId="1" applyNumberFormat="1" applyFont="1" applyFill="1" applyBorder="1"/>
    <xf numFmtId="0" fontId="99" fillId="0" borderId="32" xfId="0" applyFont="1" applyBorder="1"/>
    <xf numFmtId="0" fontId="96" fillId="3" borderId="106" xfId="0" applyFont="1" applyFill="1" applyBorder="1"/>
    <xf numFmtId="3" fontId="95" fillId="0" borderId="116" xfId="0" applyNumberFormat="1" applyFont="1" applyBorder="1" applyAlignment="1">
      <alignment horizontal="right"/>
    </xf>
    <xf numFmtId="41" fontId="22" fillId="51" borderId="215" xfId="10" applyFont="1" applyFill="1" applyBorder="1" applyAlignment="1">
      <alignment horizontal="center"/>
    </xf>
    <xf numFmtId="0" fontId="107" fillId="6" borderId="214" xfId="0" applyFont="1" applyFill="1" applyBorder="1" applyAlignment="1">
      <alignment horizontal="center" vertical="center"/>
    </xf>
    <xf numFmtId="0" fontId="108" fillId="0" borderId="214" xfId="0" applyFont="1" applyBorder="1" applyAlignment="1">
      <alignment horizontal="center" vertical="center"/>
    </xf>
    <xf numFmtId="3" fontId="108" fillId="0" borderId="214" xfId="0" applyNumberFormat="1" applyFont="1" applyBorder="1" applyAlignment="1">
      <alignment horizontal="center" vertical="center"/>
    </xf>
    <xf numFmtId="0" fontId="4" fillId="0" borderId="214" xfId="0" applyFont="1" applyBorder="1" applyAlignment="1">
      <alignment horizontal="center"/>
    </xf>
    <xf numFmtId="3" fontId="108" fillId="42" borderId="118" xfId="0" applyNumberFormat="1" applyFont="1" applyFill="1" applyBorder="1" applyAlignment="1">
      <alignment horizontal="center" vertical="center"/>
    </xf>
    <xf numFmtId="3" fontId="107" fillId="0" borderId="0" xfId="0" applyNumberFormat="1" applyFont="1" applyAlignment="1">
      <alignment horizontal="center" vertical="center"/>
    </xf>
    <xf numFmtId="166" fontId="95" fillId="26" borderId="101" xfId="0" applyNumberFormat="1" applyFont="1" applyFill="1" applyBorder="1"/>
    <xf numFmtId="167" fontId="95" fillId="26" borderId="214" xfId="1" applyNumberFormat="1" applyFont="1" applyFill="1" applyBorder="1"/>
    <xf numFmtId="14" fontId="22" fillId="0" borderId="0" xfId="0" applyNumberFormat="1" applyFont="1"/>
    <xf numFmtId="167" fontId="95" fillId="51" borderId="5" xfId="1" applyNumberFormat="1" applyFont="1" applyFill="1" applyBorder="1" applyAlignment="1">
      <alignment horizontal="right"/>
    </xf>
    <xf numFmtId="41" fontId="99" fillId="51" borderId="5" xfId="10" applyFont="1" applyFill="1" applyBorder="1"/>
    <xf numFmtId="3" fontId="96" fillId="51" borderId="116" xfId="0" applyNumberFormat="1" applyFont="1" applyFill="1" applyBorder="1" applyAlignment="1">
      <alignment horizontal="right"/>
    </xf>
    <xf numFmtId="173" fontId="0" fillId="0" borderId="72" xfId="0" applyNumberFormat="1" applyBorder="1"/>
    <xf numFmtId="3" fontId="83" fillId="2" borderId="10" xfId="0" applyNumberFormat="1" applyFont="1" applyFill="1" applyBorder="1"/>
    <xf numFmtId="3" fontId="95" fillId="2" borderId="116" xfId="0" applyNumberFormat="1" applyFont="1" applyFill="1" applyBorder="1" applyAlignment="1">
      <alignment horizontal="right"/>
    </xf>
    <xf numFmtId="41" fontId="99" fillId="2" borderId="5" xfId="10" applyFont="1" applyFill="1" applyBorder="1"/>
    <xf numFmtId="41" fontId="33" fillId="2" borderId="5" xfId="10" applyFont="1" applyFill="1" applyBorder="1"/>
    <xf numFmtId="166" fontId="33" fillId="0" borderId="239" xfId="0" applyNumberFormat="1" applyFont="1" applyBorder="1"/>
    <xf numFmtId="0" fontId="0" fillId="23" borderId="240" xfId="0" applyFill="1" applyBorder="1"/>
    <xf numFmtId="49" fontId="0" fillId="23" borderId="242" xfId="0" applyNumberFormat="1" applyFill="1" applyBorder="1"/>
    <xf numFmtId="173" fontId="38" fillId="23" borderId="241" xfId="0" applyNumberFormat="1" applyFont="1" applyFill="1" applyBorder="1" applyAlignment="1">
      <alignment horizontal="center" wrapText="1"/>
    </xf>
    <xf numFmtId="173" fontId="38" fillId="23" borderId="243" xfId="0" applyNumberFormat="1" applyFont="1" applyFill="1" applyBorder="1" applyAlignment="1">
      <alignment horizontal="center" wrapText="1"/>
    </xf>
    <xf numFmtId="9" fontId="108" fillId="0" borderId="0" xfId="0" applyNumberFormat="1" applyFont="1" applyAlignment="1">
      <alignment horizontal="center" vertical="center"/>
    </xf>
    <xf numFmtId="3" fontId="110" fillId="0" borderId="95" xfId="0" applyNumberFormat="1" applyFont="1" applyBorder="1" applyAlignment="1">
      <alignment horizontal="center" vertical="center"/>
    </xf>
    <xf numFmtId="179" fontId="11" fillId="0" borderId="0" xfId="11" applyNumberFormat="1" applyFont="1"/>
    <xf numFmtId="3" fontId="108" fillId="6" borderId="0" xfId="0" applyNumberFormat="1" applyFont="1" applyFill="1" applyAlignment="1">
      <alignment horizontal="center" vertical="center"/>
    </xf>
    <xf numFmtId="9" fontId="108" fillId="6" borderId="0" xfId="0" applyNumberFormat="1" applyFont="1" applyFill="1" applyAlignment="1">
      <alignment horizontal="center" vertical="center"/>
    </xf>
    <xf numFmtId="3" fontId="112" fillId="44" borderId="95" xfId="0" applyNumberFormat="1" applyFont="1" applyFill="1" applyBorder="1" applyAlignment="1">
      <alignment horizontal="center" vertical="center"/>
    </xf>
    <xf numFmtId="3" fontId="107" fillId="44" borderId="95" xfId="0" applyNumberFormat="1" applyFont="1" applyFill="1" applyBorder="1" applyAlignment="1">
      <alignment horizontal="center" vertical="center"/>
    </xf>
    <xf numFmtId="3" fontId="107" fillId="44" borderId="118" xfId="0" applyNumberFormat="1" applyFont="1" applyFill="1" applyBorder="1" applyAlignment="1">
      <alignment horizontal="center" vertical="center"/>
    </xf>
    <xf numFmtId="3" fontId="116" fillId="2" borderId="95" xfId="0" applyNumberFormat="1" applyFont="1" applyFill="1" applyBorder="1" applyAlignment="1">
      <alignment horizontal="center" vertical="center"/>
    </xf>
    <xf numFmtId="0" fontId="78" fillId="52" borderId="101" xfId="0" applyFont="1" applyFill="1" applyBorder="1" applyAlignment="1">
      <alignment horizontal="center" wrapText="1"/>
    </xf>
    <xf numFmtId="1" fontId="11" fillId="0" borderId="0" xfId="11" applyNumberFormat="1" applyFont="1"/>
    <xf numFmtId="3" fontId="116" fillId="2" borderId="20" xfId="0" applyNumberFormat="1" applyFont="1" applyFill="1" applyBorder="1" applyAlignment="1">
      <alignment horizontal="center" vertical="center"/>
    </xf>
    <xf numFmtId="3" fontId="110" fillId="2" borderId="95" xfId="0" applyNumberFormat="1" applyFont="1" applyFill="1" applyBorder="1" applyAlignment="1">
      <alignment horizontal="center" vertical="center"/>
    </xf>
    <xf numFmtId="3" fontId="110" fillId="2" borderId="118" xfId="0" applyNumberFormat="1" applyFont="1" applyFill="1" applyBorder="1" applyAlignment="1">
      <alignment horizontal="center" vertical="center"/>
    </xf>
    <xf numFmtId="3" fontId="110" fillId="2" borderId="121" xfId="0" applyNumberFormat="1" applyFont="1" applyFill="1" applyBorder="1" applyAlignment="1">
      <alignment horizontal="center" vertical="center"/>
    </xf>
    <xf numFmtId="17" fontId="58" fillId="2" borderId="244" xfId="0" applyNumberFormat="1" applyFont="1" applyFill="1" applyBorder="1" applyAlignment="1">
      <alignment horizontal="center"/>
    </xf>
    <xf numFmtId="17" fontId="78" fillId="29" borderId="244" xfId="0" applyNumberFormat="1" applyFont="1" applyFill="1" applyBorder="1" applyAlignment="1">
      <alignment horizontal="center"/>
    </xf>
    <xf numFmtId="179" fontId="0" fillId="0" borderId="0" xfId="11" applyNumberFormat="1" applyFont="1"/>
    <xf numFmtId="3" fontId="17" fillId="0" borderId="0" xfId="0" applyNumberFormat="1" applyFont="1"/>
    <xf numFmtId="3" fontId="0" fillId="27" borderId="0" xfId="0" applyNumberFormat="1" applyFill="1"/>
    <xf numFmtId="3" fontId="2" fillId="0" borderId="0" xfId="0" applyNumberFormat="1" applyFont="1"/>
    <xf numFmtId="166" fontId="53" fillId="4" borderId="8" xfId="0" applyNumberFormat="1" applyFont="1" applyFill="1" applyBorder="1"/>
    <xf numFmtId="166" fontId="119" fillId="0" borderId="8" xfId="0" applyNumberFormat="1" applyFont="1" applyBorder="1"/>
    <xf numFmtId="166" fontId="51" fillId="0" borderId="8" xfId="0" applyNumberFormat="1" applyFont="1" applyBorder="1"/>
    <xf numFmtId="166" fontId="52" fillId="4" borderId="8" xfId="0" applyNumberFormat="1" applyFont="1" applyFill="1" applyBorder="1"/>
    <xf numFmtId="173" fontId="121" fillId="23" borderId="188" xfId="0" applyNumberFormat="1" applyFont="1" applyFill="1" applyBorder="1" applyAlignment="1">
      <alignment horizontal="center" wrapText="1"/>
    </xf>
    <xf numFmtId="0" fontId="121" fillId="23" borderId="188" xfId="0" applyFont="1" applyFill="1" applyBorder="1" applyAlignment="1">
      <alignment horizontal="center" wrapText="1"/>
    </xf>
    <xf numFmtId="166" fontId="53" fillId="0" borderId="5" xfId="0" applyNumberFormat="1" applyFont="1" applyBorder="1"/>
    <xf numFmtId="0" fontId="96" fillId="2" borderId="0" xfId="0" applyFont="1" applyFill="1"/>
    <xf numFmtId="0" fontId="11" fillId="2" borderId="0" xfId="0" applyFont="1" applyFill="1"/>
    <xf numFmtId="0" fontId="0" fillId="2" borderId="0" xfId="0" applyFill="1"/>
    <xf numFmtId="0" fontId="0" fillId="2" borderId="202" xfId="0" applyFill="1" applyBorder="1"/>
    <xf numFmtId="9" fontId="117" fillId="0" borderId="0" xfId="11" applyFont="1"/>
    <xf numFmtId="1" fontId="0" fillId="0" borderId="0" xfId="0" applyNumberFormat="1"/>
    <xf numFmtId="9" fontId="108" fillId="0" borderId="0" xfId="11" applyFont="1" applyAlignment="1">
      <alignment horizontal="center" vertical="center"/>
    </xf>
    <xf numFmtId="41" fontId="117" fillId="0" borderId="0" xfId="0" applyNumberFormat="1" applyFont="1"/>
    <xf numFmtId="0" fontId="120" fillId="0" borderId="97" xfId="0" applyFont="1" applyBorder="1"/>
    <xf numFmtId="0" fontId="120" fillId="0" borderId="172" xfId="0" applyFont="1" applyBorder="1"/>
    <xf numFmtId="0" fontId="120" fillId="0" borderId="123" xfId="0" applyFont="1" applyBorder="1"/>
    <xf numFmtId="0" fontId="117" fillId="0" borderId="37" xfId="0" applyFont="1" applyBorder="1"/>
    <xf numFmtId="0" fontId="117" fillId="0" borderId="149" xfId="0" applyFont="1" applyBorder="1"/>
    <xf numFmtId="0" fontId="117" fillId="0" borderId="21" xfId="0" applyFont="1" applyBorder="1"/>
    <xf numFmtId="0" fontId="117" fillId="0" borderId="246" xfId="0" applyFont="1" applyBorder="1"/>
    <xf numFmtId="0" fontId="117" fillId="0" borderId="245" xfId="0" applyFont="1" applyBorder="1"/>
    <xf numFmtId="0" fontId="117" fillId="0" borderId="247" xfId="0" applyFont="1" applyBorder="1"/>
    <xf numFmtId="0" fontId="117" fillId="0" borderId="200" xfId="0" applyFont="1" applyBorder="1"/>
    <xf numFmtId="0" fontId="117" fillId="0" borderId="248" xfId="0" applyFont="1" applyBorder="1"/>
    <xf numFmtId="0" fontId="117" fillId="0" borderId="201" xfId="0" applyFont="1" applyBorder="1"/>
    <xf numFmtId="49" fontId="96" fillId="0" borderId="246" xfId="0" applyNumberFormat="1" applyFont="1" applyBorder="1"/>
    <xf numFmtId="41" fontId="96" fillId="0" borderId="245" xfId="10" applyFont="1" applyBorder="1"/>
    <xf numFmtId="41" fontId="96" fillId="0" borderId="245" xfId="10" applyFont="1" applyFill="1" applyBorder="1"/>
    <xf numFmtId="41" fontId="96" fillId="0" borderId="245" xfId="10" applyFont="1" applyFill="1" applyBorder="1" applyAlignment="1">
      <alignment horizontal="right"/>
    </xf>
    <xf numFmtId="171" fontId="22" fillId="0" borderId="245" xfId="1" applyNumberFormat="1" applyFont="1" applyFill="1" applyBorder="1"/>
    <xf numFmtId="0" fontId="26" fillId="0" borderId="246" xfId="0" applyFont="1" applyBorder="1"/>
    <xf numFmtId="41" fontId="96" fillId="0" borderId="245" xfId="10" applyFont="1" applyBorder="1" applyAlignment="1">
      <alignment horizontal="right"/>
    </xf>
    <xf numFmtId="167" fontId="96" fillId="45" borderId="7" xfId="1" applyNumberFormat="1" applyFont="1" applyFill="1" applyBorder="1" applyAlignment="1">
      <alignment horizontal="right"/>
    </xf>
    <xf numFmtId="0" fontId="96" fillId="52" borderId="0" xfId="0" applyFont="1" applyFill="1"/>
    <xf numFmtId="166" fontId="96" fillId="0" borderId="245" xfId="1" applyNumberFormat="1" applyFont="1" applyFill="1" applyBorder="1"/>
    <xf numFmtId="167" fontId="96" fillId="0" borderId="245" xfId="1" applyNumberFormat="1" applyFont="1" applyFill="1" applyBorder="1"/>
    <xf numFmtId="167" fontId="96" fillId="12" borderId="245" xfId="1" applyNumberFormat="1" applyFont="1" applyFill="1" applyBorder="1"/>
    <xf numFmtId="171" fontId="22" fillId="52" borderId="230" xfId="1" applyNumberFormat="1" applyFont="1" applyFill="1" applyBorder="1"/>
    <xf numFmtId="166" fontId="97" fillId="52" borderId="51" xfId="1" applyNumberFormat="1" applyFont="1" applyFill="1" applyBorder="1"/>
    <xf numFmtId="167" fontId="95" fillId="52" borderId="7" xfId="1" applyNumberFormat="1" applyFont="1" applyFill="1" applyBorder="1" applyAlignment="1">
      <alignment horizontal="right"/>
    </xf>
    <xf numFmtId="167" fontId="96" fillId="52" borderId="195" xfId="1" applyNumberFormat="1" applyFont="1" applyFill="1" applyBorder="1"/>
    <xf numFmtId="0" fontId="96" fillId="3" borderId="245" xfId="0" applyFont="1" applyFill="1" applyBorder="1"/>
    <xf numFmtId="3" fontId="96" fillId="0" borderId="245" xfId="0" applyNumberFormat="1" applyFont="1" applyBorder="1" applyAlignment="1">
      <alignment horizontal="right"/>
    </xf>
    <xf numFmtId="3" fontId="96" fillId="0" borderId="245" xfId="0" applyNumberFormat="1" applyFont="1" applyBorder="1" applyAlignment="1">
      <alignment horizontal="center"/>
    </xf>
    <xf numFmtId="3" fontId="98" fillId="0" borderId="245" xfId="0" applyNumberFormat="1" applyFont="1" applyBorder="1" applyAlignment="1">
      <alignment horizontal="center"/>
    </xf>
    <xf numFmtId="3" fontId="97" fillId="0" borderId="245" xfId="0" applyNumberFormat="1" applyFont="1" applyBorder="1" applyAlignment="1">
      <alignment horizontal="center"/>
    </xf>
    <xf numFmtId="3" fontId="33" fillId="0" borderId="245" xfId="0" applyNumberFormat="1" applyFont="1" applyBorder="1" applyAlignment="1">
      <alignment horizontal="right"/>
    </xf>
    <xf numFmtId="0" fontId="4" fillId="0" borderId="96" xfId="0" applyFont="1" applyBorder="1"/>
    <xf numFmtId="167" fontId="4" fillId="0" borderId="245" xfId="1" applyNumberFormat="1" applyFont="1" applyFill="1" applyBorder="1" applyAlignment="1">
      <alignment horizontal="center" wrapText="1"/>
    </xf>
    <xf numFmtId="167" fontId="4" fillId="45" borderId="245" xfId="1" applyNumberFormat="1" applyFont="1" applyFill="1" applyBorder="1" applyAlignment="1">
      <alignment horizontal="center" wrapText="1"/>
    </xf>
    <xf numFmtId="167" fontId="4" fillId="0" borderId="247" xfId="1" applyNumberFormat="1" applyFont="1" applyFill="1" applyBorder="1" applyAlignment="1">
      <alignment horizontal="center" wrapText="1"/>
    </xf>
    <xf numFmtId="0" fontId="59" fillId="0" borderId="249" xfId="0" applyFont="1" applyBorder="1"/>
    <xf numFmtId="167" fontId="4" fillId="0" borderId="0" xfId="1" applyNumberFormat="1" applyFont="1" applyFill="1" applyBorder="1" applyAlignment="1">
      <alignment horizontal="center" wrapText="1"/>
    </xf>
    <xf numFmtId="0" fontId="60" fillId="0" borderId="0" xfId="0" applyFont="1" applyAlignment="1">
      <alignment wrapText="1"/>
    </xf>
    <xf numFmtId="0" fontId="9" fillId="49" borderId="250" xfId="0" applyFont="1" applyFill="1" applyBorder="1"/>
    <xf numFmtId="4" fontId="78" fillId="0" borderId="245" xfId="0" applyNumberFormat="1" applyFont="1" applyBorder="1" applyAlignment="1">
      <alignment horizontal="center" wrapText="1"/>
    </xf>
    <xf numFmtId="0" fontId="78" fillId="0" borderId="245" xfId="0" applyFont="1" applyBorder="1" applyAlignment="1">
      <alignment horizontal="center" wrapText="1"/>
    </xf>
    <xf numFmtId="3" fontId="78" fillId="0" borderId="245" xfId="0" applyNumberFormat="1" applyFont="1" applyBorder="1" applyAlignment="1">
      <alignment horizontal="center" wrapText="1"/>
    </xf>
    <xf numFmtId="0" fontId="78" fillId="0" borderId="247" xfId="0" applyFont="1" applyBorder="1" applyAlignment="1">
      <alignment horizontal="center" wrapText="1"/>
    </xf>
    <xf numFmtId="3" fontId="107" fillId="53" borderId="95" xfId="0" applyNumberFormat="1" applyFont="1" applyFill="1" applyBorder="1" applyAlignment="1">
      <alignment horizontal="center" vertical="center"/>
    </xf>
    <xf numFmtId="3" fontId="116" fillId="53" borderId="95" xfId="0" applyNumberFormat="1" applyFont="1" applyFill="1" applyBorder="1" applyAlignment="1">
      <alignment horizontal="center" vertical="center"/>
    </xf>
    <xf numFmtId="3" fontId="112" fillId="53" borderId="20" xfId="0" applyNumberFormat="1" applyFont="1" applyFill="1" applyBorder="1" applyAlignment="1">
      <alignment horizontal="center" vertical="center"/>
    </xf>
    <xf numFmtId="3" fontId="112" fillId="53" borderId="214" xfId="0" applyNumberFormat="1" applyFont="1" applyFill="1" applyBorder="1" applyAlignment="1">
      <alignment horizontal="center" vertical="center"/>
    </xf>
    <xf numFmtId="0" fontId="0" fillId="23" borderId="251" xfId="0" applyFill="1" applyBorder="1"/>
    <xf numFmtId="49" fontId="66" fillId="27" borderId="252" xfId="0" applyNumberFormat="1" applyFont="1" applyFill="1" applyBorder="1"/>
    <xf numFmtId="173" fontId="38" fillId="27" borderId="253" xfId="0" applyNumberFormat="1" applyFont="1" applyFill="1" applyBorder="1" applyAlignment="1">
      <alignment horizontal="center" wrapText="1"/>
    </xf>
    <xf numFmtId="3" fontId="38" fillId="27" borderId="253" xfId="0" applyNumberFormat="1" applyFont="1" applyFill="1" applyBorder="1" applyAlignment="1">
      <alignment wrapText="1"/>
    </xf>
    <xf numFmtId="173" fontId="38" fillId="23" borderId="253" xfId="0" applyNumberFormat="1" applyFont="1" applyFill="1" applyBorder="1" applyAlignment="1">
      <alignment horizontal="center" wrapText="1"/>
    </xf>
    <xf numFmtId="3" fontId="38" fillId="23" borderId="254" xfId="0" applyNumberFormat="1" applyFont="1" applyFill="1" applyBorder="1" applyAlignment="1">
      <alignment wrapText="1"/>
    </xf>
    <xf numFmtId="173" fontId="38" fillId="23" borderId="255" xfId="0" applyNumberFormat="1" applyFont="1" applyFill="1" applyBorder="1" applyAlignment="1">
      <alignment horizontal="center" wrapText="1"/>
    </xf>
    <xf numFmtId="173" fontId="38" fillId="23" borderId="256" xfId="0" applyNumberFormat="1" applyFont="1" applyFill="1" applyBorder="1" applyAlignment="1">
      <alignment horizontal="center" wrapText="1"/>
    </xf>
    <xf numFmtId="0" fontId="38" fillId="23" borderId="256" xfId="0" applyFont="1" applyFill="1" applyBorder="1" applyAlignment="1">
      <alignment horizontal="center" wrapText="1"/>
    </xf>
    <xf numFmtId="173" fontId="38" fillId="23" borderId="257" xfId="0" applyNumberFormat="1" applyFont="1" applyFill="1" applyBorder="1" applyAlignment="1">
      <alignment horizontal="center" wrapText="1"/>
    </xf>
    <xf numFmtId="173" fontId="38" fillId="54" borderId="78" xfId="0" applyNumberFormat="1" applyFont="1" applyFill="1" applyBorder="1" applyAlignment="1">
      <alignment horizontal="center" wrapText="1"/>
    </xf>
    <xf numFmtId="3" fontId="107" fillId="54" borderId="95" xfId="0" applyNumberFormat="1" applyFont="1" applyFill="1" applyBorder="1" applyAlignment="1">
      <alignment horizontal="center" vertical="center"/>
    </xf>
    <xf numFmtId="3" fontId="116" fillId="54" borderId="95" xfId="0" applyNumberFormat="1" applyFont="1" applyFill="1" applyBorder="1" applyAlignment="1">
      <alignment horizontal="center" vertical="center"/>
    </xf>
    <xf numFmtId="3" fontId="107" fillId="53" borderId="118" xfId="0" applyNumberFormat="1" applyFont="1" applyFill="1" applyBorder="1" applyAlignment="1">
      <alignment horizontal="center" vertical="center"/>
    </xf>
    <xf numFmtId="3" fontId="110" fillId="53" borderId="118" xfId="0" applyNumberFormat="1" applyFont="1" applyFill="1" applyBorder="1" applyAlignment="1">
      <alignment horizontal="center" vertical="center"/>
    </xf>
    <xf numFmtId="167" fontId="96" fillId="52" borderId="5" xfId="1" applyNumberFormat="1" applyFont="1" applyFill="1" applyBorder="1"/>
    <xf numFmtId="3" fontId="107" fillId="55" borderId="118" xfId="0" applyNumberFormat="1" applyFont="1" applyFill="1" applyBorder="1" applyAlignment="1">
      <alignment horizontal="center" vertical="center"/>
    </xf>
    <xf numFmtId="3" fontId="0" fillId="2" borderId="0" xfId="0" applyNumberFormat="1" applyFill="1"/>
    <xf numFmtId="9" fontId="117" fillId="0" borderId="0" xfId="0" applyNumberFormat="1" applyFont="1"/>
    <xf numFmtId="0" fontId="122" fillId="39" borderId="258" xfId="0" applyFont="1" applyFill="1" applyBorder="1" applyAlignment="1">
      <alignment horizontal="center"/>
    </xf>
    <xf numFmtId="17" fontId="122" fillId="39" borderId="258" xfId="0" applyNumberFormat="1" applyFont="1" applyFill="1" applyBorder="1" applyAlignment="1">
      <alignment horizontal="center"/>
    </xf>
    <xf numFmtId="0" fontId="117" fillId="0" borderId="258" xfId="0" applyFont="1" applyBorder="1" applyAlignment="1">
      <alignment horizontal="center"/>
    </xf>
    <xf numFmtId="3" fontId="117" fillId="0" borderId="258" xfId="0" applyNumberFormat="1" applyFont="1" applyBorder="1" applyAlignment="1">
      <alignment horizontal="center"/>
    </xf>
    <xf numFmtId="0" fontId="117" fillId="8" borderId="258" xfId="0" applyFont="1" applyFill="1" applyBorder="1" applyAlignment="1">
      <alignment horizontal="center"/>
    </xf>
    <xf numFmtId="3" fontId="117" fillId="8" borderId="258" xfId="0" applyNumberFormat="1" applyFont="1" applyFill="1" applyBorder="1" applyAlignment="1">
      <alignment horizontal="center"/>
    </xf>
    <xf numFmtId="0" fontId="117" fillId="0" borderId="0" xfId="0" applyFont="1" applyAlignment="1">
      <alignment horizontal="center"/>
    </xf>
    <xf numFmtId="0" fontId="96" fillId="3" borderId="116" xfId="0" applyFont="1" applyFill="1" applyBorder="1"/>
    <xf numFmtId="3" fontId="97" fillId="0" borderId="116" xfId="0" applyNumberFormat="1" applyFont="1" applyBorder="1" applyAlignment="1">
      <alignment horizontal="center"/>
    </xf>
    <xf numFmtId="3" fontId="41" fillId="0" borderId="116" xfId="0" applyNumberFormat="1" applyFont="1" applyBorder="1" applyAlignment="1">
      <alignment horizontal="center"/>
    </xf>
    <xf numFmtId="3" fontId="33" fillId="0" borderId="116" xfId="0" applyNumberFormat="1" applyFont="1" applyBorder="1" applyAlignment="1">
      <alignment horizontal="center"/>
    </xf>
    <xf numFmtId="3" fontId="98" fillId="0" borderId="116" xfId="0" applyNumberFormat="1" applyFont="1" applyBorder="1" applyAlignment="1">
      <alignment horizontal="right"/>
    </xf>
    <xf numFmtId="0" fontId="99" fillId="0" borderId="161" xfId="0" applyFont="1" applyBorder="1"/>
    <xf numFmtId="41" fontId="99" fillId="2" borderId="7" xfId="10" applyFont="1" applyFill="1" applyBorder="1"/>
    <xf numFmtId="171" fontId="22" fillId="0" borderId="116" xfId="1" applyNumberFormat="1" applyFont="1" applyFill="1" applyBorder="1"/>
    <xf numFmtId="0" fontId="96" fillId="6" borderId="0" xfId="0" applyFont="1" applyFill="1"/>
    <xf numFmtId="167" fontId="96" fillId="0" borderId="116" xfId="1" applyNumberFormat="1" applyFont="1" applyFill="1" applyBorder="1"/>
    <xf numFmtId="167" fontId="95" fillId="0" borderId="116" xfId="1" applyNumberFormat="1" applyFont="1" applyFill="1" applyBorder="1"/>
    <xf numFmtId="167" fontId="96" fillId="48" borderId="116" xfId="1" applyNumberFormat="1" applyFont="1" applyFill="1" applyBorder="1"/>
    <xf numFmtId="167" fontId="96" fillId="12" borderId="116" xfId="1" applyNumberFormat="1" applyFont="1" applyFill="1" applyBorder="1"/>
    <xf numFmtId="167" fontId="96" fillId="52" borderId="116" xfId="1" applyNumberFormat="1" applyFont="1" applyFill="1" applyBorder="1"/>
    <xf numFmtId="167" fontId="95" fillId="12" borderId="116" xfId="1" applyNumberFormat="1" applyFont="1" applyFill="1" applyBorder="1"/>
    <xf numFmtId="17" fontId="40" fillId="2" borderId="244" xfId="0" applyNumberFormat="1" applyFont="1" applyFill="1" applyBorder="1" applyAlignment="1">
      <alignment horizontal="center"/>
    </xf>
    <xf numFmtId="167" fontId="95" fillId="2" borderId="250" xfId="1" applyNumberFormat="1" applyFont="1" applyFill="1" applyBorder="1" applyAlignment="1">
      <alignment horizontal="center"/>
    </xf>
    <xf numFmtId="167" fontId="4" fillId="56" borderId="93" xfId="1" applyNumberFormat="1" applyFont="1" applyFill="1" applyBorder="1" applyAlignment="1">
      <alignment horizontal="center" wrapText="1"/>
    </xf>
    <xf numFmtId="166" fontId="58" fillId="56" borderId="2" xfId="1" applyNumberFormat="1" applyFont="1" applyFill="1" applyBorder="1" applyAlignment="1"/>
    <xf numFmtId="166" fontId="58" fillId="56" borderId="12" xfId="1" applyNumberFormat="1" applyFont="1" applyFill="1" applyBorder="1" applyAlignment="1"/>
    <xf numFmtId="167" fontId="4" fillId="56" borderId="176" xfId="1" applyNumberFormat="1" applyFont="1" applyFill="1" applyBorder="1" applyAlignment="1">
      <alignment horizontal="center" wrapText="1"/>
    </xf>
    <xf numFmtId="166" fontId="58" fillId="57" borderId="204" xfId="1" applyNumberFormat="1" applyFont="1" applyFill="1" applyBorder="1" applyAlignment="1"/>
    <xf numFmtId="167" fontId="4" fillId="56" borderId="5" xfId="1" applyNumberFormat="1" applyFont="1" applyFill="1" applyBorder="1" applyAlignment="1">
      <alignment horizontal="center" wrapText="1"/>
    </xf>
    <xf numFmtId="166" fontId="58" fillId="56" borderId="10" xfId="1" applyNumberFormat="1" applyFont="1" applyFill="1" applyBorder="1" applyAlignment="1"/>
    <xf numFmtId="166" fontId="58" fillId="57" borderId="95" xfId="1" applyNumberFormat="1" applyFont="1" applyFill="1" applyBorder="1" applyAlignment="1"/>
    <xf numFmtId="167" fontId="4" fillId="56" borderId="10" xfId="1" applyNumberFormat="1" applyFont="1" applyFill="1" applyBorder="1" applyAlignment="1">
      <alignment horizontal="center" wrapText="1"/>
    </xf>
    <xf numFmtId="167" fontId="4" fillId="57" borderId="95" xfId="1" applyNumberFormat="1" applyFont="1" applyFill="1" applyBorder="1" applyAlignment="1">
      <alignment horizontal="center" wrapText="1"/>
    </xf>
    <xf numFmtId="167" fontId="58" fillId="56" borderId="12" xfId="1" applyNumberFormat="1" applyFont="1" applyFill="1" applyBorder="1" applyAlignment="1">
      <alignment horizontal="center"/>
    </xf>
    <xf numFmtId="166" fontId="58" fillId="56" borderId="12" xfId="1" applyNumberFormat="1" applyFont="1" applyFill="1" applyBorder="1" applyAlignment="1">
      <alignment horizontal="center"/>
    </xf>
    <xf numFmtId="166" fontId="58" fillId="58" borderId="204" xfId="1" applyNumberFormat="1" applyFont="1" applyFill="1" applyBorder="1" applyAlignment="1">
      <alignment horizontal="center"/>
    </xf>
    <xf numFmtId="167" fontId="58" fillId="56" borderId="4" xfId="1" applyNumberFormat="1" applyFont="1" applyFill="1" applyBorder="1" applyAlignment="1"/>
    <xf numFmtId="167" fontId="58" fillId="56" borderId="20" xfId="1" applyNumberFormat="1" applyFont="1" applyFill="1" applyBorder="1" applyAlignment="1"/>
    <xf numFmtId="167" fontId="4" fillId="0" borderId="0" xfId="1" applyNumberFormat="1" applyFont="1" applyFill="1" applyBorder="1"/>
    <xf numFmtId="167" fontId="4" fillId="0" borderId="116" xfId="1" applyNumberFormat="1" applyFont="1" applyBorder="1" applyAlignment="1">
      <alignment horizontal="center" wrapText="1"/>
    </xf>
    <xf numFmtId="167" fontId="4" fillId="45" borderId="116" xfId="1" applyNumberFormat="1" applyFont="1" applyFill="1" applyBorder="1" applyAlignment="1">
      <alignment horizontal="center" wrapText="1"/>
    </xf>
    <xf numFmtId="0" fontId="4" fillId="0" borderId="116" xfId="0" applyFont="1" applyBorder="1" applyAlignment="1">
      <alignment horizontal="center" wrapText="1"/>
    </xf>
    <xf numFmtId="167" fontId="4" fillId="0" borderId="116" xfId="1" applyNumberFormat="1" applyFont="1" applyFill="1" applyBorder="1" applyAlignment="1">
      <alignment horizontal="center" wrapText="1"/>
    </xf>
    <xf numFmtId="0" fontId="59" fillId="0" borderId="246" xfId="0" applyFont="1" applyBorder="1"/>
    <xf numFmtId="0" fontId="60" fillId="0" borderId="149" xfId="0" applyFont="1" applyBorder="1" applyAlignment="1">
      <alignment wrapText="1"/>
    </xf>
    <xf numFmtId="167" fontId="4" fillId="2" borderId="5" xfId="1" applyNumberFormat="1" applyFont="1" applyFill="1" applyBorder="1" applyAlignment="1">
      <alignment horizontal="center" wrapText="1"/>
    </xf>
    <xf numFmtId="4" fontId="78" fillId="0" borderId="116" xfId="0" applyNumberFormat="1" applyFont="1" applyBorder="1" applyAlignment="1">
      <alignment horizontal="center" wrapText="1"/>
    </xf>
    <xf numFmtId="0" fontId="78" fillId="45" borderId="116" xfId="0" applyFont="1" applyFill="1" applyBorder="1" applyAlignment="1">
      <alignment horizontal="center" wrapText="1"/>
    </xf>
    <xf numFmtId="0" fontId="82" fillId="0" borderId="182" xfId="0" applyFont="1" applyBorder="1" applyAlignment="1">
      <alignment horizontal="center" wrapText="1"/>
    </xf>
    <xf numFmtId="0" fontId="82" fillId="0" borderId="116" xfId="0" applyFont="1" applyBorder="1" applyAlignment="1">
      <alignment horizontal="center" wrapText="1"/>
    </xf>
    <xf numFmtId="0" fontId="82" fillId="45" borderId="116" xfId="0" applyFont="1" applyFill="1" applyBorder="1" applyAlignment="1">
      <alignment horizontal="center" wrapText="1"/>
    </xf>
    <xf numFmtId="0" fontId="82" fillId="0" borderId="144" xfId="0" applyFont="1" applyBorder="1" applyAlignment="1">
      <alignment horizontal="center" wrapText="1"/>
    </xf>
    <xf numFmtId="3" fontId="78" fillId="28" borderId="116" xfId="0" applyNumberFormat="1" applyFont="1" applyFill="1" applyBorder="1" applyAlignment="1">
      <alignment horizontal="center" wrapText="1"/>
    </xf>
    <xf numFmtId="0" fontId="0" fillId="52" borderId="0" xfId="0" applyFill="1"/>
    <xf numFmtId="0" fontId="0" fillId="23" borderId="259" xfId="0" applyFill="1" applyBorder="1"/>
    <xf numFmtId="0" fontId="66" fillId="23" borderId="261" xfId="0" applyFont="1" applyFill="1" applyBorder="1"/>
    <xf numFmtId="173" fontId="38" fillId="23" borderId="262" xfId="0" applyNumberFormat="1" applyFont="1" applyFill="1" applyBorder="1" applyAlignment="1">
      <alignment horizontal="center" wrapText="1"/>
    </xf>
    <xf numFmtId="3" fontId="38" fillId="23" borderId="262" xfId="0" applyNumberFormat="1" applyFont="1" applyFill="1" applyBorder="1" applyAlignment="1">
      <alignment wrapText="1"/>
    </xf>
    <xf numFmtId="17" fontId="38" fillId="2" borderId="260" xfId="0" applyNumberFormat="1" applyFont="1" applyFill="1" applyBorder="1" applyAlignment="1">
      <alignment horizontal="center"/>
    </xf>
    <xf numFmtId="17" fontId="78" fillId="29" borderId="263" xfId="0" applyNumberFormat="1" applyFont="1" applyFill="1" applyBorder="1" applyAlignment="1">
      <alignment horizontal="center"/>
    </xf>
    <xf numFmtId="0" fontId="108" fillId="0" borderId="2" xfId="0" applyFont="1" applyBorder="1" applyAlignment="1">
      <alignment horizontal="center" vertical="center"/>
    </xf>
    <xf numFmtId="0" fontId="78" fillId="33" borderId="98" xfId="0" applyFont="1" applyFill="1" applyBorder="1" applyAlignment="1">
      <alignment horizontal="center" wrapText="1"/>
    </xf>
    <xf numFmtId="180" fontId="11" fillId="0" borderId="0" xfId="0" applyNumberFormat="1" applyFont="1"/>
    <xf numFmtId="0" fontId="123" fillId="59" borderId="266" xfId="0" applyFont="1" applyFill="1" applyBorder="1"/>
    <xf numFmtId="0" fontId="123" fillId="60" borderId="264" xfId="0" applyFont="1" applyFill="1" applyBorder="1"/>
    <xf numFmtId="0" fontId="117" fillId="0" borderId="264" xfId="0" applyFont="1" applyBorder="1"/>
    <xf numFmtId="3" fontId="110" fillId="0" borderId="264" xfId="0" applyNumberFormat="1" applyFont="1" applyBorder="1"/>
    <xf numFmtId="3" fontId="117" fillId="0" borderId="264" xfId="0" applyNumberFormat="1" applyFont="1" applyBorder="1"/>
    <xf numFmtId="0" fontId="120" fillId="0" borderId="265" xfId="0" applyFont="1" applyBorder="1"/>
    <xf numFmtId="3" fontId="120" fillId="0" borderId="265" xfId="0" applyNumberFormat="1" applyFont="1" applyBorder="1"/>
    <xf numFmtId="3" fontId="96" fillId="0" borderId="0" xfId="0" applyNumberFormat="1" applyFont="1"/>
    <xf numFmtId="168" fontId="96" fillId="0" borderId="0" xfId="10" applyNumberFormat="1" applyFont="1"/>
    <xf numFmtId="166" fontId="33" fillId="0" borderId="0" xfId="1" applyNumberFormat="1" applyFont="1" applyFill="1" applyBorder="1"/>
    <xf numFmtId="166" fontId="97" fillId="0" borderId="116" xfId="1" applyNumberFormat="1" applyFont="1" applyFill="1" applyBorder="1"/>
    <xf numFmtId="166" fontId="33" fillId="48" borderId="116" xfId="1" applyNumberFormat="1" applyFont="1" applyFill="1" applyBorder="1"/>
    <xf numFmtId="167" fontId="95" fillId="48" borderId="116" xfId="1" applyNumberFormat="1" applyFont="1" applyFill="1" applyBorder="1"/>
    <xf numFmtId="0" fontId="59" fillId="0" borderId="267" xfId="0" applyFont="1" applyBorder="1"/>
    <xf numFmtId="167" fontId="4" fillId="4" borderId="0" xfId="1" applyNumberFormat="1" applyFont="1" applyFill="1" applyBorder="1" applyAlignment="1">
      <alignment horizontal="center" wrapText="1"/>
    </xf>
    <xf numFmtId="167" fontId="60" fillId="4" borderId="0" xfId="1" applyNumberFormat="1" applyFont="1" applyFill="1" applyBorder="1" applyAlignment="1">
      <alignment horizontal="center" wrapText="1"/>
    </xf>
    <xf numFmtId="0" fontId="79" fillId="32" borderId="116" xfId="0" applyFont="1" applyFill="1" applyBorder="1" applyAlignment="1">
      <alignment horizontal="left"/>
    </xf>
    <xf numFmtId="0" fontId="78" fillId="28" borderId="116" xfId="0" applyFont="1" applyFill="1" applyBorder="1" applyAlignment="1">
      <alignment horizontal="center" wrapText="1"/>
    </xf>
    <xf numFmtId="0" fontId="51" fillId="44" borderId="0" xfId="0" applyFont="1" applyFill="1"/>
    <xf numFmtId="17" fontId="58" fillId="2" borderId="263" xfId="0" applyNumberFormat="1" applyFont="1" applyFill="1" applyBorder="1" applyAlignment="1">
      <alignment horizontal="center"/>
    </xf>
    <xf numFmtId="0" fontId="78" fillId="28" borderId="268" xfId="0" applyFont="1" applyFill="1" applyBorder="1" applyAlignment="1">
      <alignment horizontal="center" wrapText="1"/>
    </xf>
    <xf numFmtId="168" fontId="78" fillId="44" borderId="101" xfId="0" applyNumberFormat="1" applyFont="1" applyFill="1" applyBorder="1" applyAlignment="1">
      <alignment horizontal="center" wrapText="1"/>
    </xf>
    <xf numFmtId="0" fontId="78" fillId="61" borderId="109" xfId="0" applyFont="1" applyFill="1" applyBorder="1" applyAlignment="1">
      <alignment horizontal="center" wrapText="1"/>
    </xf>
    <xf numFmtId="0" fontId="124" fillId="0" borderId="0" xfId="0" pivotButton="1" applyFont="1"/>
    <xf numFmtId="0" fontId="124" fillId="0" borderId="0" xfId="0" applyFont="1"/>
    <xf numFmtId="3" fontId="124" fillId="0" borderId="0" xfId="0" applyNumberFormat="1" applyFont="1"/>
    <xf numFmtId="3" fontId="126" fillId="0" borderId="0" xfId="0" applyNumberFormat="1" applyFont="1"/>
    <xf numFmtId="0" fontId="125" fillId="0" borderId="0" xfId="0" applyFont="1"/>
    <xf numFmtId="0" fontId="71" fillId="3" borderId="0" xfId="0" applyFont="1" applyFill="1" applyAlignment="1">
      <alignment horizontal="center" vertical="center" wrapText="1"/>
    </xf>
    <xf numFmtId="0" fontId="2" fillId="0" borderId="96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95" fillId="0" borderId="0" xfId="0" applyFont="1" applyAlignment="1">
      <alignment horizontal="center"/>
    </xf>
    <xf numFmtId="166" fontId="95" fillId="2" borderId="166" xfId="0" applyNumberFormat="1" applyFont="1" applyFill="1" applyBorder="1" applyAlignment="1">
      <alignment horizontal="center"/>
    </xf>
    <xf numFmtId="166" fontId="95" fillId="2" borderId="122" xfId="0" applyNumberFormat="1" applyFont="1" applyFill="1" applyBorder="1" applyAlignment="1">
      <alignment horizontal="center"/>
    </xf>
    <xf numFmtId="41" fontId="95" fillId="8" borderId="96" xfId="10" applyFont="1" applyFill="1" applyBorder="1" applyAlignment="1">
      <alignment horizontal="center"/>
    </xf>
    <xf numFmtId="41" fontId="95" fillId="8" borderId="100" xfId="10" applyFont="1" applyFill="1" applyBorder="1" applyAlignment="1">
      <alignment horizontal="center"/>
    </xf>
    <xf numFmtId="41" fontId="95" fillId="8" borderId="101" xfId="10" applyFont="1" applyFill="1" applyBorder="1" applyAlignment="1">
      <alignment horizontal="center"/>
    </xf>
    <xf numFmtId="0" fontId="95" fillId="8" borderId="19" xfId="0" applyFont="1" applyFill="1" applyBorder="1" applyAlignment="1">
      <alignment horizontal="center" wrapText="1"/>
    </xf>
    <xf numFmtId="0" fontId="95" fillId="8" borderId="20" xfId="0" applyFont="1" applyFill="1" applyBorder="1" applyAlignment="1">
      <alignment horizontal="center" wrapText="1"/>
    </xf>
    <xf numFmtId="0" fontId="95" fillId="8" borderId="19" xfId="0" applyFont="1" applyFill="1" applyBorder="1" applyAlignment="1">
      <alignment horizontal="center"/>
    </xf>
    <xf numFmtId="0" fontId="95" fillId="8" borderId="20" xfId="0" applyFont="1" applyFill="1" applyBorder="1" applyAlignment="1">
      <alignment horizontal="center"/>
    </xf>
    <xf numFmtId="0" fontId="2" fillId="2" borderId="96" xfId="0" applyFont="1" applyFill="1" applyBorder="1" applyAlignment="1">
      <alignment horizontal="center"/>
    </xf>
    <xf numFmtId="0" fontId="2" fillId="2" borderId="100" xfId="0" applyFont="1" applyFill="1" applyBorder="1" applyAlignment="1">
      <alignment horizontal="center"/>
    </xf>
    <xf numFmtId="0" fontId="2" fillId="2" borderId="10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41" fontId="23" fillId="18" borderId="37" xfId="10" applyFont="1" applyFill="1" applyBorder="1" applyAlignment="1">
      <alignment horizontal="center" vertical="center"/>
    </xf>
    <xf numFmtId="41" fontId="23" fillId="18" borderId="6" xfId="10" applyFont="1" applyFill="1" applyBorder="1" applyAlignment="1">
      <alignment horizontal="center" vertical="center"/>
    </xf>
    <xf numFmtId="0" fontId="23" fillId="18" borderId="35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41" fontId="23" fillId="18" borderId="36" xfId="10" applyFont="1" applyFill="1" applyBorder="1" applyAlignment="1">
      <alignment horizontal="center" vertical="center"/>
    </xf>
    <xf numFmtId="41" fontId="23" fillId="18" borderId="33" xfId="10" applyFont="1" applyFill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13" fillId="0" borderId="11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166" fontId="0" fillId="0" borderId="5" xfId="1" applyNumberFormat="1" applyFont="1" applyFill="1" applyBorder="1" applyAlignment="1">
      <alignment horizontal="left"/>
    </xf>
    <xf numFmtId="166" fontId="0" fillId="6" borderId="24" xfId="1" applyNumberFormat="1" applyFont="1" applyFill="1" applyBorder="1" applyAlignment="1">
      <alignment horizontal="left"/>
    </xf>
    <xf numFmtId="166" fontId="0" fillId="6" borderId="30" xfId="1" applyNumberFormat="1" applyFont="1" applyFill="1" applyBorder="1" applyAlignment="1">
      <alignment horizontal="left"/>
    </xf>
    <xf numFmtId="166" fontId="0" fillId="2" borderId="24" xfId="1" applyNumberFormat="1" applyFont="1" applyFill="1" applyBorder="1" applyAlignment="1">
      <alignment horizontal="left"/>
    </xf>
    <xf numFmtId="166" fontId="0" fillId="2" borderId="30" xfId="1" applyNumberFormat="1" applyFont="1" applyFill="1" applyBorder="1" applyAlignment="1">
      <alignment horizontal="left"/>
    </xf>
    <xf numFmtId="0" fontId="124" fillId="0" borderId="0" xfId="0" applyFont="1" applyFill="1"/>
  </cellXfs>
  <cellStyles count="15">
    <cellStyle name="Cancel" xfId="8" xr:uid="{00000000-0005-0000-0000-000000000000}"/>
    <cellStyle name="Hipervínculo" xfId="6" builtinId="8" hidden="1"/>
    <cellStyle name="Hipervínculo" xfId="4" builtinId="8" hidden="1"/>
    <cellStyle name="Hipervínculo" xfId="2" builtinId="8" hidden="1"/>
    <cellStyle name="Hipervínculo visitado" xfId="7" builtinId="9" hidden="1"/>
    <cellStyle name="Hipervínculo visitado" xfId="5" builtinId="9" hidden="1"/>
    <cellStyle name="Hipervínculo visitado" xfId="3" builtinId="9" hidden="1"/>
    <cellStyle name="Millares" xfId="1" builtinId="3"/>
    <cellStyle name="Millares [0]" xfId="10" builtinId="6"/>
    <cellStyle name="Millares 2" xfId="13" xr:uid="{AE663B9F-102E-41DC-8EE1-C9AAC3FF5B0C}"/>
    <cellStyle name="Millares 3" xfId="14" xr:uid="{D18554CD-C5B5-4AC6-B371-9C774A55E2C6}"/>
    <cellStyle name="Normal" xfId="0" builtinId="0"/>
    <cellStyle name="Normal 14 2" xfId="9" xr:uid="{00000000-0005-0000-0000-000009000000}"/>
    <cellStyle name="Normal 2" xfId="12" xr:uid="{0B798704-4F75-4956-8B83-46083163A4CD}"/>
    <cellStyle name="Porcentaje" xfId="11" builtinId="5"/>
  </cellStyles>
  <dxfs count="510"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numFmt numFmtId="3" formatCode="#,##0"/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indexed="9"/>
        </patternFill>
      </fill>
      <border diagonalUp="0" diagonalDown="0">
        <left/>
        <right style="medium">
          <color indexed="8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  <dxf>
      <fill>
        <patternFill patternType="solid">
          <fgColor indexed="64"/>
          <bgColor indexed="9"/>
        </patternFill>
      </fill>
      <border diagonalUp="0" diagonalDown="0">
        <left/>
        <right style="medium">
          <color indexed="8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2" formatCode="mmm/yy"/>
      <fill>
        <patternFill patternType="solid">
          <fgColor rgb="FF00000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2" formatCode="mmm/yy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sheetMetadata" Target="metadata.xml"/><Relationship Id="rId50" Type="http://schemas.microsoft.com/office/2017/06/relationships/rdRichValueTypes" Target="richData/rdRichValueTyp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17/06/relationships/rdRichValue" Target="richData/rdrichvalue.xml"/><Relationship Id="rId56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Ingresos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unidades_Dic'!$B$4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unidades_Dic'!$D$4:$O$4</c:f>
              <c:numCache>
                <c:formatCode>#,##0</c:formatCode>
                <c:ptCount val="12"/>
                <c:pt idx="0">
                  <c:v>362362.73390557943</c:v>
                </c:pt>
                <c:pt idx="1">
                  <c:v>547310.61909871246</c:v>
                </c:pt>
                <c:pt idx="2">
                  <c:v>389727.45708154509</c:v>
                </c:pt>
                <c:pt idx="3">
                  <c:v>237434.48497854077</c:v>
                </c:pt>
                <c:pt idx="4">
                  <c:v>272631.08476394851</c:v>
                </c:pt>
                <c:pt idx="5">
                  <c:v>277419.07296137337</c:v>
                </c:pt>
                <c:pt idx="6">
                  <c:v>475570.74892703863</c:v>
                </c:pt>
                <c:pt idx="7">
                  <c:v>151482.73712446351</c:v>
                </c:pt>
                <c:pt idx="8">
                  <c:v>297925.05042918457</c:v>
                </c:pt>
                <c:pt idx="9">
                  <c:v>158266.46030042917</c:v>
                </c:pt>
                <c:pt idx="10">
                  <c:v>248788.92596566523</c:v>
                </c:pt>
                <c:pt idx="11">
                  <c:v>173207.55042918454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C-47EC-BFBF-BC7D0EE160D4}"/>
            </c:ext>
          </c:extLst>
        </c:ser>
        <c:ser>
          <c:idx val="1"/>
          <c:order val="1"/>
          <c:tx>
            <c:strRef>
              <c:f>'Tabla datos unidades_Dic'!$B$5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unidades_Dic'!$D$5:$O$5</c:f>
              <c:numCache>
                <c:formatCode>#,##0</c:formatCode>
                <c:ptCount val="12"/>
                <c:pt idx="0">
                  <c:v>123848</c:v>
                </c:pt>
                <c:pt idx="1">
                  <c:v>62454</c:v>
                </c:pt>
                <c:pt idx="2">
                  <c:v>105377</c:v>
                </c:pt>
                <c:pt idx="3">
                  <c:v>110077</c:v>
                </c:pt>
                <c:pt idx="4">
                  <c:v>142610</c:v>
                </c:pt>
                <c:pt idx="5">
                  <c:v>229588</c:v>
                </c:pt>
                <c:pt idx="6">
                  <c:v>251702</c:v>
                </c:pt>
                <c:pt idx="7">
                  <c:v>641573</c:v>
                </c:pt>
                <c:pt idx="8">
                  <c:v>119133</c:v>
                </c:pt>
                <c:pt idx="9">
                  <c:v>265449</c:v>
                </c:pt>
                <c:pt idx="10">
                  <c:v>96110</c:v>
                </c:pt>
                <c:pt idx="11">
                  <c:v>269432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C-47EC-BFBF-BC7D0EE160D4}"/>
            </c:ext>
          </c:extLst>
        </c:ser>
        <c:ser>
          <c:idx val="2"/>
          <c:order val="2"/>
          <c:tx>
            <c:strRef>
              <c:f>'Tabla datos unidades_Dic'!$B$6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unidades_Dic'!$D$6:$O$6</c:f>
              <c:numCache>
                <c:formatCode>#,##0</c:formatCode>
                <c:ptCount val="12"/>
                <c:pt idx="0">
                  <c:v>80502</c:v>
                </c:pt>
                <c:pt idx="1">
                  <c:v>59683</c:v>
                </c:pt>
                <c:pt idx="2">
                  <c:v>96322</c:v>
                </c:pt>
                <c:pt idx="3">
                  <c:v>97209.7</c:v>
                </c:pt>
                <c:pt idx="4">
                  <c:v>37074</c:v>
                </c:pt>
                <c:pt idx="5">
                  <c:v>66563</c:v>
                </c:pt>
                <c:pt idx="6">
                  <c:v>47717</c:v>
                </c:pt>
                <c:pt idx="7">
                  <c:v>119652</c:v>
                </c:pt>
                <c:pt idx="8">
                  <c:v>203588</c:v>
                </c:pt>
                <c:pt idx="9">
                  <c:v>325062</c:v>
                </c:pt>
                <c:pt idx="10">
                  <c:v>239603</c:v>
                </c:pt>
                <c:pt idx="11">
                  <c:v>224116.50999999998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EC-47EC-BFBF-BC7D0EE160D4}"/>
            </c:ext>
          </c:extLst>
        </c:ser>
        <c:ser>
          <c:idx val="3"/>
          <c:order val="3"/>
          <c:tx>
            <c:strRef>
              <c:f>'Tabla datos unidades_Dic'!$B$7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unidades_Dic'!$D$7:$O$7</c:f>
              <c:numCache>
                <c:formatCode>#,##0</c:formatCode>
                <c:ptCount val="12"/>
                <c:pt idx="0">
                  <c:v>150453</c:v>
                </c:pt>
                <c:pt idx="1">
                  <c:v>243465.21</c:v>
                </c:pt>
                <c:pt idx="2">
                  <c:v>141526</c:v>
                </c:pt>
                <c:pt idx="3">
                  <c:v>169200</c:v>
                </c:pt>
                <c:pt idx="4">
                  <c:v>195090</c:v>
                </c:pt>
                <c:pt idx="5">
                  <c:v>61796</c:v>
                </c:pt>
                <c:pt idx="6">
                  <c:v>0</c:v>
                </c:pt>
                <c:pt idx="7">
                  <c:v>20000</c:v>
                </c:pt>
                <c:pt idx="8">
                  <c:v>0</c:v>
                </c:pt>
                <c:pt idx="9">
                  <c:v>45000</c:v>
                </c:pt>
                <c:pt idx="10">
                  <c:v>0</c:v>
                </c:pt>
                <c:pt idx="11">
                  <c:v>178785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EC-47EC-BFBF-BC7D0EE160D4}"/>
            </c:ext>
          </c:extLst>
        </c:ser>
        <c:ser>
          <c:idx val="4"/>
          <c:order val="4"/>
          <c:tx>
            <c:strRef>
              <c:f>'Tabla datos unidades_Dic'!$B$8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unidades_Dic'!$D$8:$O$8</c:f>
              <c:numCache>
                <c:formatCode>#,##0</c:formatCode>
                <c:ptCount val="12"/>
                <c:pt idx="0">
                  <c:v>0</c:v>
                </c:pt>
                <c:pt idx="1">
                  <c:v>21682</c:v>
                </c:pt>
                <c:pt idx="2">
                  <c:v>45478</c:v>
                </c:pt>
                <c:pt idx="3">
                  <c:v>0</c:v>
                </c:pt>
                <c:pt idx="4">
                  <c:v>0</c:v>
                </c:pt>
                <c:pt idx="5">
                  <c:v>172045</c:v>
                </c:pt>
                <c:pt idx="6">
                  <c:v>0</c:v>
                </c:pt>
                <c:pt idx="7">
                  <c:v>99524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EC-47EC-BFBF-BC7D0EE1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unidades_Dic'!$B$9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'Tabla datos unidades_Dic'!$D$9:$O$9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778430.45708154514</c:v>
                </c:pt>
                <c:pt idx="3">
                  <c:v>613921.18497854075</c:v>
                </c:pt>
                <c:pt idx="4">
                  <c:v>647405.08476394857</c:v>
                </c:pt>
                <c:pt idx="5">
                  <c:v>807411.07296137337</c:v>
                </c:pt>
                <c:pt idx="6">
                  <c:v>774989.74892703863</c:v>
                </c:pt>
                <c:pt idx="7">
                  <c:v>1032231.7371244635</c:v>
                </c:pt>
                <c:pt idx="8">
                  <c:v>620646.05042918457</c:v>
                </c:pt>
                <c:pt idx="9">
                  <c:v>793777.46030042914</c:v>
                </c:pt>
                <c:pt idx="10">
                  <c:v>584501.92596566526</c:v>
                </c:pt>
                <c:pt idx="11">
                  <c:v>845541.06042918458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EC-47EC-BFBF-BC7D0EE1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Gastos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unidades_Dic'!$B$12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unidades_Dic'!$D$12:$O$12</c:f>
              <c:numCache>
                <c:formatCode>#,##0</c:formatCode>
                <c:ptCount val="12"/>
                <c:pt idx="0">
                  <c:v>397276.64806866954</c:v>
                </c:pt>
                <c:pt idx="1">
                  <c:v>422126.63733905577</c:v>
                </c:pt>
                <c:pt idx="2">
                  <c:v>439899.17918454937</c:v>
                </c:pt>
                <c:pt idx="3">
                  <c:v>341507.34656652366</c:v>
                </c:pt>
                <c:pt idx="4">
                  <c:v>340134.80364806874</c:v>
                </c:pt>
                <c:pt idx="5">
                  <c:v>380566.1684549356</c:v>
                </c:pt>
                <c:pt idx="6">
                  <c:v>395727.1856223176</c:v>
                </c:pt>
                <c:pt idx="7">
                  <c:v>425248.90557939914</c:v>
                </c:pt>
                <c:pt idx="8">
                  <c:v>455871.32510729617</c:v>
                </c:pt>
                <c:pt idx="9">
                  <c:v>513185.65987124463</c:v>
                </c:pt>
                <c:pt idx="10">
                  <c:v>392218.11373390566</c:v>
                </c:pt>
                <c:pt idx="11">
                  <c:v>495505.53540772531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1-415F-9017-3BB69F7374FE}"/>
            </c:ext>
          </c:extLst>
        </c:ser>
        <c:ser>
          <c:idx val="1"/>
          <c:order val="1"/>
          <c:tx>
            <c:strRef>
              <c:f>'Tabla datos unidades_Dic'!$B$13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unidades_Dic'!$D$13:$O$13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167995</c:v>
                </c:pt>
                <c:pt idx="6">
                  <c:v>199355</c:v>
                </c:pt>
                <c:pt idx="7">
                  <c:v>225572</c:v>
                </c:pt>
                <c:pt idx="8">
                  <c:v>127097</c:v>
                </c:pt>
                <c:pt idx="9">
                  <c:v>108174</c:v>
                </c:pt>
                <c:pt idx="10">
                  <c:v>139137.64000000001</c:v>
                </c:pt>
                <c:pt idx="11">
                  <c:v>234121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1-415F-9017-3BB69F7374FE}"/>
            </c:ext>
          </c:extLst>
        </c:ser>
        <c:ser>
          <c:idx val="2"/>
          <c:order val="2"/>
          <c:tx>
            <c:strRef>
              <c:f>'Tabla datos unidades_Dic'!$B$14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unidades_Dic'!$D$14:$O$14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47971</c:v>
                </c:pt>
                <c:pt idx="11">
                  <c:v>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91-415F-9017-3BB69F7374FE}"/>
            </c:ext>
          </c:extLst>
        </c:ser>
        <c:ser>
          <c:idx val="3"/>
          <c:order val="3"/>
          <c:tx>
            <c:strRef>
              <c:f>'Tabla datos unidades_Dic'!$B$15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unidades_Dic'!$D$15:$O$15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10017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91-415F-9017-3BB69F7374FE}"/>
            </c:ext>
          </c:extLst>
        </c:ser>
        <c:ser>
          <c:idx val="4"/>
          <c:order val="4"/>
          <c:tx>
            <c:strRef>
              <c:f>'Tabla datos unidades_Dic'!$B$16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unidades_Dic'!$D$16:$O$16</c:f>
              <c:numCache>
                <c:formatCode>#,##0</c:formatCode>
                <c:ptCount val="12"/>
                <c:pt idx="0">
                  <c:v>14044</c:v>
                </c:pt>
                <c:pt idx="1">
                  <c:v>0</c:v>
                </c:pt>
                <c:pt idx="2">
                  <c:v>0</c:v>
                </c:pt>
                <c:pt idx="3">
                  <c:v>14380</c:v>
                </c:pt>
                <c:pt idx="4">
                  <c:v>16000</c:v>
                </c:pt>
                <c:pt idx="5">
                  <c:v>15094</c:v>
                </c:pt>
                <c:pt idx="6">
                  <c:v>5684.8</c:v>
                </c:pt>
                <c:pt idx="7">
                  <c:v>5684.8</c:v>
                </c:pt>
                <c:pt idx="8">
                  <c:v>5684.8</c:v>
                </c:pt>
                <c:pt idx="9">
                  <c:v>5684.8</c:v>
                </c:pt>
                <c:pt idx="10">
                  <c:v>5684.8</c:v>
                </c:pt>
                <c:pt idx="11">
                  <c:v>5684.8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91-415F-9017-3BB69F737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unidades_Dic'!$B$17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unidades_Dic'!$D$17:$O$17</c:f>
              <c:numCache>
                <c:formatCode>#,##0</c:formatCode>
                <c:ptCount val="12"/>
                <c:pt idx="0">
                  <c:v>521821.49806866958</c:v>
                </c:pt>
                <c:pt idx="1">
                  <c:v>533560.63733905577</c:v>
                </c:pt>
                <c:pt idx="2">
                  <c:v>617807.17918454937</c:v>
                </c:pt>
                <c:pt idx="3">
                  <c:v>555462.04656652361</c:v>
                </c:pt>
                <c:pt idx="4">
                  <c:v>566053.8036480688</c:v>
                </c:pt>
                <c:pt idx="5">
                  <c:v>644119.16845493554</c:v>
                </c:pt>
                <c:pt idx="6">
                  <c:v>641802.98562231765</c:v>
                </c:pt>
                <c:pt idx="7">
                  <c:v>678995.70557939913</c:v>
                </c:pt>
                <c:pt idx="8">
                  <c:v>666976.12510729628</c:v>
                </c:pt>
                <c:pt idx="9">
                  <c:v>729504.45987124462</c:v>
                </c:pt>
                <c:pt idx="10">
                  <c:v>586011.55373390578</c:v>
                </c:pt>
                <c:pt idx="11">
                  <c:v>976722.3354077253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91-415F-9017-3BB69F737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Margen operacional</a:t>
            </a:r>
            <a:r>
              <a:rPr lang="es-CL" b="0" baseline="0"/>
              <a:t> </a:t>
            </a:r>
            <a:r>
              <a:rPr lang="es-CL" b="0"/>
              <a:t>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unidades_Dic'!$B$20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unidades_Dic'!$D$20:$O$20</c:f>
              <c:numCache>
                <c:formatCode>#,##0</c:formatCode>
                <c:ptCount val="12"/>
                <c:pt idx="0">
                  <c:v>-34913.914163090114</c:v>
                </c:pt>
                <c:pt idx="1">
                  <c:v>125183.98175965669</c:v>
                </c:pt>
                <c:pt idx="2">
                  <c:v>-50171.722103004286</c:v>
                </c:pt>
                <c:pt idx="3">
                  <c:v>-104072.86158798289</c:v>
                </c:pt>
                <c:pt idx="4">
                  <c:v>-67503.71888412023</c:v>
                </c:pt>
                <c:pt idx="5">
                  <c:v>-103147.09549356223</c:v>
                </c:pt>
                <c:pt idx="6">
                  <c:v>79843.563304721029</c:v>
                </c:pt>
                <c:pt idx="7">
                  <c:v>-273766.16845493566</c:v>
                </c:pt>
                <c:pt idx="8">
                  <c:v>-157946.2746781116</c:v>
                </c:pt>
                <c:pt idx="9">
                  <c:v>-354919.19957081543</c:v>
                </c:pt>
                <c:pt idx="10">
                  <c:v>-143429.18776824043</c:v>
                </c:pt>
                <c:pt idx="11">
                  <c:v>-322297.9849785408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F-4719-AA31-29E2822DEBA8}"/>
            </c:ext>
          </c:extLst>
        </c:ser>
        <c:ser>
          <c:idx val="1"/>
          <c:order val="1"/>
          <c:tx>
            <c:strRef>
              <c:f>'Tabla datos unidades_Dic'!$B$21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unidades_Dic'!$D$21:$O$21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61593</c:v>
                </c:pt>
                <c:pt idx="6">
                  <c:v>52347</c:v>
                </c:pt>
                <c:pt idx="7">
                  <c:v>416001</c:v>
                </c:pt>
                <c:pt idx="8">
                  <c:v>-7964</c:v>
                </c:pt>
                <c:pt idx="9">
                  <c:v>157275</c:v>
                </c:pt>
                <c:pt idx="10">
                  <c:v>-43027.640000000014</c:v>
                </c:pt>
                <c:pt idx="11">
                  <c:v>35311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F-4719-AA31-29E2822DEBA8}"/>
            </c:ext>
          </c:extLst>
        </c:ser>
        <c:ser>
          <c:idx val="2"/>
          <c:order val="2"/>
          <c:tx>
            <c:strRef>
              <c:f>'Tabla datos unidades_Dic'!$B$22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unidades_Dic'!$D$22:$O$22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191632</c:v>
                </c:pt>
                <c:pt idx="11">
                  <c:v>201115.50999999998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F-4719-AA31-29E2822DEBA8}"/>
            </c:ext>
          </c:extLst>
        </c:ser>
        <c:ser>
          <c:idx val="3"/>
          <c:order val="3"/>
          <c:tx>
            <c:strRef>
              <c:f>'Tabla datos unidades_Dic'!$B$23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unidades_Dic'!$D$23:$O$23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F-4719-AA31-29E2822DEBA8}"/>
            </c:ext>
          </c:extLst>
        </c:ser>
        <c:ser>
          <c:idx val="4"/>
          <c:order val="4"/>
          <c:tx>
            <c:strRef>
              <c:f>'Tabla datos unidades_Dic'!$B$24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unidades_Dic'!$D$24:$O$24</c:f>
              <c:numCache>
                <c:formatCode>#,##0</c:formatCode>
                <c:ptCount val="12"/>
                <c:pt idx="0">
                  <c:v>-14044</c:v>
                </c:pt>
                <c:pt idx="1">
                  <c:v>21682</c:v>
                </c:pt>
                <c:pt idx="2">
                  <c:v>45478</c:v>
                </c:pt>
                <c:pt idx="3">
                  <c:v>-14380</c:v>
                </c:pt>
                <c:pt idx="4">
                  <c:v>-16000</c:v>
                </c:pt>
                <c:pt idx="5">
                  <c:v>156951</c:v>
                </c:pt>
                <c:pt idx="6">
                  <c:v>-5684.8</c:v>
                </c:pt>
                <c:pt idx="7">
                  <c:v>93839.2</c:v>
                </c:pt>
                <c:pt idx="8">
                  <c:v>-5684.8</c:v>
                </c:pt>
                <c:pt idx="9">
                  <c:v>-5684.8</c:v>
                </c:pt>
                <c:pt idx="10">
                  <c:v>-5684.8</c:v>
                </c:pt>
                <c:pt idx="11">
                  <c:v>-5684.8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7F-4719-AA31-29E2822DE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unidades_Dic'!$B$25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unidades_Dic'!$D$3:$O$3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unidades_Dic'!$D$25:$O$25</c:f>
              <c:numCache>
                <c:formatCode>#,##0</c:formatCode>
                <c:ptCount val="12"/>
                <c:pt idx="0">
                  <c:v>195344.23583690988</c:v>
                </c:pt>
                <c:pt idx="1">
                  <c:v>401034.19175965665</c:v>
                </c:pt>
                <c:pt idx="2">
                  <c:v>160623.27789699571</c:v>
                </c:pt>
                <c:pt idx="3">
                  <c:v>58459.138412017113</c:v>
                </c:pt>
                <c:pt idx="4">
                  <c:v>81351.28111587977</c:v>
                </c:pt>
                <c:pt idx="5">
                  <c:v>163291.90450643777</c:v>
                </c:pt>
                <c:pt idx="6">
                  <c:v>133186.76330472104</c:v>
                </c:pt>
                <c:pt idx="7">
                  <c:v>353236.03154506435</c:v>
                </c:pt>
                <c:pt idx="8">
                  <c:v>-46330.074678111603</c:v>
                </c:pt>
                <c:pt idx="9">
                  <c:v>64273.000429184569</c:v>
                </c:pt>
                <c:pt idx="10">
                  <c:v>-1509.6277682404443</c:v>
                </c:pt>
                <c:pt idx="11">
                  <c:v>-131181.27497854081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7F-4719-AA31-29E2822DE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  <c:min val="-8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n-US" b="0"/>
              <a:t>Distribución de caja total 2025</a:t>
            </a:r>
          </a:p>
        </c:rich>
      </c:tx>
      <c:layout>
        <c:manualLayout>
          <c:xMode val="edge"/>
          <c:yMode val="edge"/>
          <c:x val="1.5347112860892369E-2"/>
          <c:y val="2.7649769585253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 datos unidades_Dic'!$S$61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E3-430A-BB8D-02E9DD955B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3E3-430A-BB8D-02E9DD955B1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E3-430A-BB8D-02E9DD955B1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3E3-430A-BB8D-02E9DD955B1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3E3-430A-BB8D-02E9DD955B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datos unidades_Dic'!$R$62:$R$66</c:f>
              <c:strCache>
                <c:ptCount val="5"/>
                <c:pt idx="0">
                  <c:v>Otros</c:v>
                </c:pt>
                <c:pt idx="1">
                  <c:v>Brasil</c:v>
                </c:pt>
                <c:pt idx="2">
                  <c:v>Perú</c:v>
                </c:pt>
                <c:pt idx="3">
                  <c:v>USA</c:v>
                </c:pt>
                <c:pt idx="4">
                  <c:v>Chile</c:v>
                </c:pt>
              </c:strCache>
            </c:strRef>
          </c:cat>
          <c:val>
            <c:numRef>
              <c:f>'Tabla datos unidades_Dic'!$S$62:$S$66</c:f>
              <c:numCache>
                <c:formatCode>#,##0</c:formatCode>
                <c:ptCount val="5"/>
                <c:pt idx="0">
                  <c:v>1399.1511999999998</c:v>
                </c:pt>
                <c:pt idx="1">
                  <c:v>389.08814000000001</c:v>
                </c:pt>
                <c:pt idx="2">
                  <c:v>80.817903512646211</c:v>
                </c:pt>
                <c:pt idx="3">
                  <c:v>69.763209999999958</c:v>
                </c:pt>
                <c:pt idx="4">
                  <c:v>23.28405688304705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3-430A-BB8D-02E9DD955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Ingresos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unidades_Sept'!$B$4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unidades_Sept'!$D$4:$O$4</c:f>
              <c:numCache>
                <c:formatCode>#,##0</c:formatCode>
                <c:ptCount val="12"/>
                <c:pt idx="0">
                  <c:v>362362.73390557943</c:v>
                </c:pt>
                <c:pt idx="1">
                  <c:v>547310.61909871246</c:v>
                </c:pt>
                <c:pt idx="2">
                  <c:v>389727.45708154509</c:v>
                </c:pt>
                <c:pt idx="3">
                  <c:v>237434.48497854077</c:v>
                </c:pt>
                <c:pt idx="4">
                  <c:v>272631.08476394851</c:v>
                </c:pt>
                <c:pt idx="5">
                  <c:v>277419.07296137337</c:v>
                </c:pt>
                <c:pt idx="6">
                  <c:v>475570.74892703863</c:v>
                </c:pt>
                <c:pt idx="7">
                  <c:v>151482.73712446351</c:v>
                </c:pt>
                <c:pt idx="8">
                  <c:v>297925.05042918457</c:v>
                </c:pt>
                <c:pt idx="9">
                  <c:v>158266.46030042917</c:v>
                </c:pt>
                <c:pt idx="10">
                  <c:v>248788.92596566523</c:v>
                </c:pt>
                <c:pt idx="11">
                  <c:v>173207.55042918454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6-4060-A9C7-339591695CD3}"/>
            </c:ext>
          </c:extLst>
        </c:ser>
        <c:ser>
          <c:idx val="1"/>
          <c:order val="1"/>
          <c:tx>
            <c:strRef>
              <c:f>'Tabla datos unidades_Sept'!$B$5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unidades_Sept'!$D$5:$O$5</c:f>
              <c:numCache>
                <c:formatCode>#,##0</c:formatCode>
                <c:ptCount val="12"/>
                <c:pt idx="0">
                  <c:v>123848</c:v>
                </c:pt>
                <c:pt idx="1">
                  <c:v>62454</c:v>
                </c:pt>
                <c:pt idx="2">
                  <c:v>105377</c:v>
                </c:pt>
                <c:pt idx="3">
                  <c:v>110077</c:v>
                </c:pt>
                <c:pt idx="4">
                  <c:v>142610</c:v>
                </c:pt>
                <c:pt idx="5">
                  <c:v>229588</c:v>
                </c:pt>
                <c:pt idx="6">
                  <c:v>251702</c:v>
                </c:pt>
                <c:pt idx="7">
                  <c:v>641573</c:v>
                </c:pt>
                <c:pt idx="8">
                  <c:v>119133</c:v>
                </c:pt>
                <c:pt idx="9">
                  <c:v>265449</c:v>
                </c:pt>
                <c:pt idx="10">
                  <c:v>96110</c:v>
                </c:pt>
                <c:pt idx="11">
                  <c:v>269432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6-4060-A9C7-339591695CD3}"/>
            </c:ext>
          </c:extLst>
        </c:ser>
        <c:ser>
          <c:idx val="2"/>
          <c:order val="2"/>
          <c:tx>
            <c:strRef>
              <c:f>'Tabla datos unidades_Sept'!$B$6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unidades_Sept'!$D$6:$O$6</c:f>
              <c:numCache>
                <c:formatCode>#,##0</c:formatCode>
                <c:ptCount val="12"/>
                <c:pt idx="0">
                  <c:v>80502</c:v>
                </c:pt>
                <c:pt idx="1">
                  <c:v>59683</c:v>
                </c:pt>
                <c:pt idx="2">
                  <c:v>96322</c:v>
                </c:pt>
                <c:pt idx="3">
                  <c:v>97209.7</c:v>
                </c:pt>
                <c:pt idx="4">
                  <c:v>37074</c:v>
                </c:pt>
                <c:pt idx="5">
                  <c:v>66563</c:v>
                </c:pt>
                <c:pt idx="6">
                  <c:v>47717</c:v>
                </c:pt>
                <c:pt idx="7">
                  <c:v>119652</c:v>
                </c:pt>
                <c:pt idx="8">
                  <c:v>203588</c:v>
                </c:pt>
                <c:pt idx="9">
                  <c:v>325062</c:v>
                </c:pt>
                <c:pt idx="10">
                  <c:v>239603</c:v>
                </c:pt>
                <c:pt idx="11">
                  <c:v>224116.50999999998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6-4060-A9C7-339591695CD3}"/>
            </c:ext>
          </c:extLst>
        </c:ser>
        <c:ser>
          <c:idx val="3"/>
          <c:order val="3"/>
          <c:tx>
            <c:strRef>
              <c:f>'Tabla datos unidades_Sept'!$B$7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unidades_Sept'!$D$7:$O$7</c:f>
              <c:numCache>
                <c:formatCode>#,##0</c:formatCode>
                <c:ptCount val="12"/>
                <c:pt idx="0">
                  <c:v>150453</c:v>
                </c:pt>
                <c:pt idx="1">
                  <c:v>243465.21</c:v>
                </c:pt>
                <c:pt idx="2">
                  <c:v>141526</c:v>
                </c:pt>
                <c:pt idx="3">
                  <c:v>169200</c:v>
                </c:pt>
                <c:pt idx="4">
                  <c:v>195090</c:v>
                </c:pt>
                <c:pt idx="5">
                  <c:v>61796</c:v>
                </c:pt>
                <c:pt idx="6">
                  <c:v>0</c:v>
                </c:pt>
                <c:pt idx="7">
                  <c:v>20000</c:v>
                </c:pt>
                <c:pt idx="8">
                  <c:v>0</c:v>
                </c:pt>
                <c:pt idx="9">
                  <c:v>45000</c:v>
                </c:pt>
                <c:pt idx="10">
                  <c:v>0</c:v>
                </c:pt>
                <c:pt idx="11">
                  <c:v>178785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36-4060-A9C7-339591695CD3}"/>
            </c:ext>
          </c:extLst>
        </c:ser>
        <c:ser>
          <c:idx val="4"/>
          <c:order val="4"/>
          <c:tx>
            <c:strRef>
              <c:f>'Tabla datos unidades_Sept'!$B$8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unidades_Sept'!$D$8:$O$8</c:f>
              <c:numCache>
                <c:formatCode>#,##0</c:formatCode>
                <c:ptCount val="12"/>
                <c:pt idx="0">
                  <c:v>0</c:v>
                </c:pt>
                <c:pt idx="1">
                  <c:v>21682</c:v>
                </c:pt>
                <c:pt idx="2">
                  <c:v>45478</c:v>
                </c:pt>
                <c:pt idx="3">
                  <c:v>0</c:v>
                </c:pt>
                <c:pt idx="4">
                  <c:v>0</c:v>
                </c:pt>
                <c:pt idx="5">
                  <c:v>172045</c:v>
                </c:pt>
                <c:pt idx="6">
                  <c:v>0</c:v>
                </c:pt>
                <c:pt idx="7">
                  <c:v>99524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36-4060-A9C7-33959169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unidades_Sept'!$B$9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'Tabla datos unidades_Sept'!$D$9:$O$9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778430.45708154514</c:v>
                </c:pt>
                <c:pt idx="3">
                  <c:v>613921.18497854075</c:v>
                </c:pt>
                <c:pt idx="4">
                  <c:v>647405.08476394857</c:v>
                </c:pt>
                <c:pt idx="5">
                  <c:v>807411.07296137337</c:v>
                </c:pt>
                <c:pt idx="6">
                  <c:v>774989.74892703863</c:v>
                </c:pt>
                <c:pt idx="7">
                  <c:v>1032231.7371244635</c:v>
                </c:pt>
                <c:pt idx="8">
                  <c:v>620646.05042918457</c:v>
                </c:pt>
                <c:pt idx="9">
                  <c:v>793777.46030042914</c:v>
                </c:pt>
                <c:pt idx="10">
                  <c:v>584501.92596566526</c:v>
                </c:pt>
                <c:pt idx="11">
                  <c:v>845541.06042918458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36-4060-A9C7-33959169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Gastos operacionales 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unidades_Sept'!$B$12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unidades_Sept'!$D$12:$O$12</c:f>
              <c:numCache>
                <c:formatCode>#,##0</c:formatCode>
                <c:ptCount val="12"/>
                <c:pt idx="0">
                  <c:v>397276.64806866954</c:v>
                </c:pt>
                <c:pt idx="1">
                  <c:v>422126.63733905577</c:v>
                </c:pt>
                <c:pt idx="2">
                  <c:v>439899.17918454937</c:v>
                </c:pt>
                <c:pt idx="3">
                  <c:v>341507.34656652366</c:v>
                </c:pt>
                <c:pt idx="4">
                  <c:v>340134.80364806874</c:v>
                </c:pt>
                <c:pt idx="5">
                  <c:v>380566.1684549356</c:v>
                </c:pt>
                <c:pt idx="6">
                  <c:v>395727.1856223176</c:v>
                </c:pt>
                <c:pt idx="7">
                  <c:v>425248.90557939914</c:v>
                </c:pt>
                <c:pt idx="8">
                  <c:v>455871.32510729617</c:v>
                </c:pt>
                <c:pt idx="9">
                  <c:v>425000</c:v>
                </c:pt>
                <c:pt idx="10">
                  <c:v>425000</c:v>
                </c:pt>
                <c:pt idx="11">
                  <c:v>425000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4-4DA3-8D2E-5A89566336BB}"/>
            </c:ext>
          </c:extLst>
        </c:ser>
        <c:ser>
          <c:idx val="1"/>
          <c:order val="1"/>
          <c:tx>
            <c:strRef>
              <c:f>'Tabla datos unidades_Sept'!$B$13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unidades_Sept'!$D$13:$O$13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167995</c:v>
                </c:pt>
                <c:pt idx="6">
                  <c:v>199355</c:v>
                </c:pt>
                <c:pt idx="7">
                  <c:v>225572</c:v>
                </c:pt>
                <c:pt idx="8">
                  <c:v>127097</c:v>
                </c:pt>
                <c:pt idx="9">
                  <c:v>106082.23000000001</c:v>
                </c:pt>
                <c:pt idx="10">
                  <c:v>138332.13</c:v>
                </c:pt>
                <c:pt idx="11">
                  <c:v>170582.03000000003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4-4DA3-8D2E-5A89566336BB}"/>
            </c:ext>
          </c:extLst>
        </c:ser>
        <c:ser>
          <c:idx val="2"/>
          <c:order val="2"/>
          <c:tx>
            <c:strRef>
              <c:f>'Tabla datos unidades_Sept'!$B$14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unidades_Sept'!$D$14:$O$14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47971</c:v>
                </c:pt>
                <c:pt idx="11">
                  <c:v>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4-4DA3-8D2E-5A89566336BB}"/>
            </c:ext>
          </c:extLst>
        </c:ser>
        <c:ser>
          <c:idx val="3"/>
          <c:order val="3"/>
          <c:tx>
            <c:strRef>
              <c:f>'Tabla datos unidades_Sept'!$B$15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unidades_Sept'!$D$15:$O$15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10017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B4-4DA3-8D2E-5A89566336BB}"/>
            </c:ext>
          </c:extLst>
        </c:ser>
        <c:ser>
          <c:idx val="4"/>
          <c:order val="4"/>
          <c:tx>
            <c:strRef>
              <c:f>'Tabla datos unidades_Sept'!$B$16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unidades_Sept'!$D$16:$O$16</c:f>
              <c:numCache>
                <c:formatCode>#,##0</c:formatCode>
                <c:ptCount val="12"/>
                <c:pt idx="0">
                  <c:v>14044</c:v>
                </c:pt>
                <c:pt idx="1">
                  <c:v>0</c:v>
                </c:pt>
                <c:pt idx="2">
                  <c:v>0</c:v>
                </c:pt>
                <c:pt idx="3">
                  <c:v>14380</c:v>
                </c:pt>
                <c:pt idx="4">
                  <c:v>16000</c:v>
                </c:pt>
                <c:pt idx="5">
                  <c:v>15094</c:v>
                </c:pt>
                <c:pt idx="6">
                  <c:v>5684.8</c:v>
                </c:pt>
                <c:pt idx="7">
                  <c:v>5684.8</c:v>
                </c:pt>
                <c:pt idx="8">
                  <c:v>5684.8</c:v>
                </c:pt>
                <c:pt idx="9">
                  <c:v>5684.8</c:v>
                </c:pt>
                <c:pt idx="10">
                  <c:v>5684.8</c:v>
                </c:pt>
                <c:pt idx="11">
                  <c:v>5684.8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B4-4DA3-8D2E-5A8956633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unidades_Sept'!$B$17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unidades_Sept'!$D$17:$O$17</c:f>
              <c:numCache>
                <c:formatCode>#,##0</c:formatCode>
                <c:ptCount val="12"/>
                <c:pt idx="0">
                  <c:v>521821.49806866958</c:v>
                </c:pt>
                <c:pt idx="1">
                  <c:v>533560.63733905577</c:v>
                </c:pt>
                <c:pt idx="2">
                  <c:v>617807.17918454937</c:v>
                </c:pt>
                <c:pt idx="3">
                  <c:v>555462.04656652361</c:v>
                </c:pt>
                <c:pt idx="4">
                  <c:v>566053.8036480688</c:v>
                </c:pt>
                <c:pt idx="5">
                  <c:v>644119.16845493554</c:v>
                </c:pt>
                <c:pt idx="6">
                  <c:v>641802.98562231765</c:v>
                </c:pt>
                <c:pt idx="7">
                  <c:v>678995.70557939913</c:v>
                </c:pt>
                <c:pt idx="8">
                  <c:v>666976.12510729628</c:v>
                </c:pt>
                <c:pt idx="9">
                  <c:v>639227.03</c:v>
                </c:pt>
                <c:pt idx="10">
                  <c:v>617987.93000000005</c:v>
                </c:pt>
                <c:pt idx="11">
                  <c:v>842677.83000000007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B4-4DA3-8D2E-5A8956633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0"/>
              <a:t>Margen operacional</a:t>
            </a:r>
            <a:r>
              <a:rPr lang="es-CL" b="0" baseline="0"/>
              <a:t> </a:t>
            </a:r>
            <a:r>
              <a:rPr lang="es-CL" b="0"/>
              <a:t>2025</a:t>
            </a:r>
          </a:p>
        </c:rich>
      </c:tx>
      <c:layout>
        <c:manualLayout>
          <c:xMode val="edge"/>
          <c:yMode val="edge"/>
          <c:x val="9.1562614928549519E-3"/>
          <c:y val="2.7972027972027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unidades_Sept'!$B$20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unidades_Sept'!$D$20:$O$20</c:f>
              <c:numCache>
                <c:formatCode>#,##0</c:formatCode>
                <c:ptCount val="12"/>
                <c:pt idx="0">
                  <c:v>-34913.914163090114</c:v>
                </c:pt>
                <c:pt idx="1">
                  <c:v>125183.98175965669</c:v>
                </c:pt>
                <c:pt idx="2">
                  <c:v>-50171.722103004286</c:v>
                </c:pt>
                <c:pt idx="3">
                  <c:v>-104072.86158798289</c:v>
                </c:pt>
                <c:pt idx="4">
                  <c:v>-67503.71888412023</c:v>
                </c:pt>
                <c:pt idx="5">
                  <c:v>-103147.09549356223</c:v>
                </c:pt>
                <c:pt idx="6">
                  <c:v>79843.563304721029</c:v>
                </c:pt>
                <c:pt idx="7">
                  <c:v>-273766.16845493566</c:v>
                </c:pt>
                <c:pt idx="8">
                  <c:v>-157946.2746781116</c:v>
                </c:pt>
                <c:pt idx="9">
                  <c:v>-266733.53969957086</c:v>
                </c:pt>
                <c:pt idx="10">
                  <c:v>-176211.07403433477</c:v>
                </c:pt>
                <c:pt idx="11">
                  <c:v>-251792.44957081546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F-4F1D-AD07-633FB8B12D1B}"/>
            </c:ext>
          </c:extLst>
        </c:ser>
        <c:ser>
          <c:idx val="1"/>
          <c:order val="1"/>
          <c:tx>
            <c:strRef>
              <c:f>'Tabla datos unidades_Sept'!$B$21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unidades_Sept'!$D$21:$O$21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61593</c:v>
                </c:pt>
                <c:pt idx="6">
                  <c:v>52347</c:v>
                </c:pt>
                <c:pt idx="7">
                  <c:v>416001</c:v>
                </c:pt>
                <c:pt idx="8">
                  <c:v>-7964</c:v>
                </c:pt>
                <c:pt idx="9">
                  <c:v>159366.76999999999</c:v>
                </c:pt>
                <c:pt idx="10">
                  <c:v>-42222.130000000005</c:v>
                </c:pt>
                <c:pt idx="11">
                  <c:v>98849.969999999972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F-4F1D-AD07-633FB8B12D1B}"/>
            </c:ext>
          </c:extLst>
        </c:ser>
        <c:ser>
          <c:idx val="2"/>
          <c:order val="2"/>
          <c:tx>
            <c:strRef>
              <c:f>'Tabla datos unidades_Sept'!$B$22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unidades_Sept'!$D$22:$O$22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191632</c:v>
                </c:pt>
                <c:pt idx="11">
                  <c:v>201115.50999999998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F-4F1D-AD07-633FB8B12D1B}"/>
            </c:ext>
          </c:extLst>
        </c:ser>
        <c:ser>
          <c:idx val="3"/>
          <c:order val="3"/>
          <c:tx>
            <c:strRef>
              <c:f>'Tabla datos unidades_Sept'!$B$23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unidades_Sept'!$D$23:$O$23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F-4F1D-AD07-633FB8B12D1B}"/>
            </c:ext>
          </c:extLst>
        </c:ser>
        <c:ser>
          <c:idx val="4"/>
          <c:order val="4"/>
          <c:tx>
            <c:strRef>
              <c:f>'Tabla datos unidades_Sept'!$B$24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unidades_Sept'!$D$24:$O$24</c:f>
              <c:numCache>
                <c:formatCode>#,##0</c:formatCode>
                <c:ptCount val="12"/>
                <c:pt idx="0">
                  <c:v>-14044</c:v>
                </c:pt>
                <c:pt idx="1">
                  <c:v>21682</c:v>
                </c:pt>
                <c:pt idx="2">
                  <c:v>45478</c:v>
                </c:pt>
                <c:pt idx="3">
                  <c:v>-14380</c:v>
                </c:pt>
                <c:pt idx="4">
                  <c:v>-16000</c:v>
                </c:pt>
                <c:pt idx="5">
                  <c:v>156951</c:v>
                </c:pt>
                <c:pt idx="6">
                  <c:v>-5684.8</c:v>
                </c:pt>
                <c:pt idx="7">
                  <c:v>93839.2</c:v>
                </c:pt>
                <c:pt idx="8">
                  <c:v>-5684.8</c:v>
                </c:pt>
                <c:pt idx="9">
                  <c:v>-5684.8</c:v>
                </c:pt>
                <c:pt idx="10">
                  <c:v>-5684.8</c:v>
                </c:pt>
                <c:pt idx="11">
                  <c:v>-5684.8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F-4F1D-AD07-633FB8B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92182160"/>
        <c:axId val="1392182640"/>
      </c:barChart>
      <c:lineChart>
        <c:grouping val="standard"/>
        <c:varyColors val="0"/>
        <c:ser>
          <c:idx val="5"/>
          <c:order val="5"/>
          <c:tx>
            <c:strRef>
              <c:f>'Tabla datos unidades_Sept'!$B$25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905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C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'Tabla datos unidades_Sept'!$D$3:$O$3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datos unidades_Sept'!$D$25:$O$25</c:f>
              <c:numCache>
                <c:formatCode>#,##0</c:formatCode>
                <c:ptCount val="12"/>
                <c:pt idx="0">
                  <c:v>195344.23583690988</c:v>
                </c:pt>
                <c:pt idx="1">
                  <c:v>401034.19175965665</c:v>
                </c:pt>
                <c:pt idx="2">
                  <c:v>160623.27789699571</c:v>
                </c:pt>
                <c:pt idx="3">
                  <c:v>58459.138412017113</c:v>
                </c:pt>
                <c:pt idx="4">
                  <c:v>81351.28111587977</c:v>
                </c:pt>
                <c:pt idx="5">
                  <c:v>163291.90450643777</c:v>
                </c:pt>
                <c:pt idx="6">
                  <c:v>133186.76330472104</c:v>
                </c:pt>
                <c:pt idx="7">
                  <c:v>353236.03154506435</c:v>
                </c:pt>
                <c:pt idx="8">
                  <c:v>-46330.074678111603</c:v>
                </c:pt>
                <c:pt idx="9">
                  <c:v>154550.43030042914</c:v>
                </c:pt>
                <c:pt idx="10">
                  <c:v>-33486.004034334779</c:v>
                </c:pt>
                <c:pt idx="11">
                  <c:v>2863.2304291844948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DF-4F1D-AD07-633FB8B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182160"/>
        <c:axId val="1392182640"/>
      </c:lineChart>
      <c:dateAx>
        <c:axId val="1392182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640"/>
        <c:crosses val="autoZero"/>
        <c:auto val="1"/>
        <c:lblOffset val="100"/>
        <c:baseTimeUnit val="months"/>
      </c:dateAx>
      <c:valAx>
        <c:axId val="1392182640"/>
        <c:scaling>
          <c:orientation val="minMax"/>
          <c:min val="-8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92182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n-US" b="0"/>
              <a:t>Distribución de caja total 2025</a:t>
            </a:r>
          </a:p>
        </c:rich>
      </c:tx>
      <c:layout>
        <c:manualLayout>
          <c:xMode val="edge"/>
          <c:yMode val="edge"/>
          <c:x val="1.5347112860892369E-2"/>
          <c:y val="2.7649769585253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 datos unidades_Sept'!$S$60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7E-417E-83E6-80521BFA9C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7E-417E-83E6-80521BFA9C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7E-417E-83E6-80521BFA9C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C7E-417E-83E6-80521BFA9CD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C7E-417E-83E6-80521BFA9C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datos unidades_Sept'!$R$61:$R$65</c:f>
              <c:strCache>
                <c:ptCount val="5"/>
                <c:pt idx="0">
                  <c:v>USA</c:v>
                </c:pt>
                <c:pt idx="1">
                  <c:v>Brasil</c:v>
                </c:pt>
                <c:pt idx="2">
                  <c:v>Otros</c:v>
                </c:pt>
                <c:pt idx="3">
                  <c:v>Perú</c:v>
                </c:pt>
                <c:pt idx="4">
                  <c:v>Chile</c:v>
                </c:pt>
              </c:strCache>
            </c:strRef>
          </c:cat>
          <c:val>
            <c:numRef>
              <c:f>'Tabla datos unidades_Sept'!$S$61:$S$65</c:f>
              <c:numCache>
                <c:formatCode>#,##0</c:formatCode>
                <c:ptCount val="5"/>
                <c:pt idx="0">
                  <c:v>1202.5410099999999</c:v>
                </c:pt>
                <c:pt idx="1">
                  <c:v>741.72932851376152</c:v>
                </c:pt>
                <c:pt idx="2">
                  <c:v>670.07939999999962</c:v>
                </c:pt>
                <c:pt idx="3">
                  <c:v>384.33119351264611</c:v>
                </c:pt>
                <c:pt idx="4">
                  <c:v>-407.13954399141642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5-4D0E-8438-D694889E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mes'!$O$10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mes'!$P$10:$U$10</c:f>
              <c:numCache>
                <c:formatCode>#,##0</c:formatCode>
                <c:ptCount val="6"/>
                <c:pt idx="0">
                  <c:v>357.04874678111588</c:v>
                </c:pt>
                <c:pt idx="1">
                  <c:v>288.64785515021464</c:v>
                </c:pt>
                <c:pt idx="2">
                  <c:v>295.05654077253223</c:v>
                </c:pt>
                <c:pt idx="3">
                  <c:v>303.79496137339055</c:v>
                </c:pt>
                <c:pt idx="4">
                  <c:v>317.00841416309015</c:v>
                </c:pt>
                <c:pt idx="5">
                  <c:v>332.72499356223176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D-4E31-BD26-4BFACBF02B3F}"/>
            </c:ext>
          </c:extLst>
        </c:ser>
        <c:ser>
          <c:idx val="1"/>
          <c:order val="1"/>
          <c:tx>
            <c:strRef>
              <c:f>'Flujo Consolidado por mes'!$O$11</c:f>
              <c:strCache>
                <c:ptCount val="1"/>
                <c:pt idx="0">
                  <c:v>Honorarios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mes'!$P$11:$U$11</c:f>
              <c:numCache>
                <c:formatCode>#,##0</c:formatCode>
                <c:ptCount val="6"/>
                <c:pt idx="0">
                  <c:v>58.297762875536485</c:v>
                </c:pt>
                <c:pt idx="1">
                  <c:v>115.21986909871244</c:v>
                </c:pt>
                <c:pt idx="2">
                  <c:v>127.98132510729614</c:v>
                </c:pt>
                <c:pt idx="3">
                  <c:v>97.67312510729613</c:v>
                </c:pt>
                <c:pt idx="4">
                  <c:v>122.48897424892702</c:v>
                </c:pt>
                <c:pt idx="5">
                  <c:v>167.93194635193132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D-4E31-BD26-4BFACBF02B3F}"/>
            </c:ext>
          </c:extLst>
        </c:ser>
        <c:ser>
          <c:idx val="2"/>
          <c:order val="2"/>
          <c:tx>
            <c:strRef>
              <c:f>'Flujo Consolidado por mes'!$O$12</c:f>
              <c:strCache>
                <c:ptCount val="1"/>
                <c:pt idx="0">
                  <c:v>Gasto Operacional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mes'!$P$12:$U$12</c:f>
              <c:numCache>
                <c:formatCode>#,##0</c:formatCode>
                <c:ptCount val="6"/>
                <c:pt idx="0">
                  <c:v>55.14640150214592</c:v>
                </c:pt>
                <c:pt idx="1">
                  <c:v>43.459546137339061</c:v>
                </c:pt>
                <c:pt idx="2">
                  <c:v>107.99125107296138</c:v>
                </c:pt>
                <c:pt idx="3">
                  <c:v>43.21821652360515</c:v>
                </c:pt>
                <c:pt idx="4">
                  <c:v>19.887891630901287</c:v>
                </c:pt>
                <c:pt idx="5">
                  <c:v>48.528437768240344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D-4E31-BD26-4BFACBF02B3F}"/>
            </c:ext>
          </c:extLst>
        </c:ser>
        <c:ser>
          <c:idx val="3"/>
          <c:order val="3"/>
          <c:tx>
            <c:strRef>
              <c:f>'Flujo Consolidado por mes'!$O$13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mes'!$P$13:$U$13</c:f>
              <c:numCache>
                <c:formatCode>#,##0</c:formatCode>
                <c:ptCount val="6"/>
                <c:pt idx="0">
                  <c:v>15.122477467811159</c:v>
                </c:pt>
                <c:pt idx="1">
                  <c:v>42.528747854077253</c:v>
                </c:pt>
                <c:pt idx="2">
                  <c:v>40.494748927038628</c:v>
                </c:pt>
                <c:pt idx="3">
                  <c:v>39.999069742489269</c:v>
                </c:pt>
                <c:pt idx="4">
                  <c:v>35.904984978540774</c:v>
                </c:pt>
                <c:pt idx="5">
                  <c:v>36.03101824034335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D-4E31-BD26-4BFACBF02B3F}"/>
            </c:ext>
          </c:extLst>
        </c:ser>
        <c:ser>
          <c:idx val="4"/>
          <c:order val="4"/>
          <c:tx>
            <c:strRef>
              <c:f>'Flujo Consolidado por mes'!$O$14</c:f>
              <c:strCache>
                <c:ptCount val="1"/>
                <c:pt idx="0">
                  <c:v> Gasto Administrativo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mes'!$P$14:$U$14</c:f>
              <c:numCache>
                <c:formatCode>#,##0</c:formatCode>
                <c:ptCount val="6"/>
                <c:pt idx="0">
                  <c:v>17.728622317596567</c:v>
                </c:pt>
                <c:pt idx="1">
                  <c:v>38.142619098712444</c:v>
                </c:pt>
                <c:pt idx="2">
                  <c:v>36.60831330472103</c:v>
                </c:pt>
                <c:pt idx="3">
                  <c:v>53.393673819742489</c:v>
                </c:pt>
                <c:pt idx="4">
                  <c:v>34.088224248927041</c:v>
                </c:pt>
                <c:pt idx="5">
                  <c:v>50.449772532188845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D-4E31-BD26-4BFACBF02B3F}"/>
            </c:ext>
          </c:extLst>
        </c:ser>
        <c:ser>
          <c:idx val="5"/>
          <c:order val="5"/>
          <c:tx>
            <c:strRef>
              <c:f>'Flujo Consolidado por mes'!$O$15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'Flujo Consolidado por mes'!$P$9:$U$9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mes'!$P$15:$U$15</c:f>
              <c:numCache>
                <c:formatCode>#,##0</c:formatCode>
                <c:ptCount val="6"/>
                <c:pt idx="0">
                  <c:v>18.477487124463519</c:v>
                </c:pt>
                <c:pt idx="1">
                  <c:v>5.5620000000000003</c:v>
                </c:pt>
                <c:pt idx="2">
                  <c:v>9.6750000000000007</c:v>
                </c:pt>
                <c:pt idx="3">
                  <c:v>17.382999999999999</c:v>
                </c:pt>
                <c:pt idx="4">
                  <c:v>36.675314377682398</c:v>
                </c:pt>
                <c:pt idx="5">
                  <c:v>8.4529999999999994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AD-4E31-BD26-4BFACBF0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6"/>
          <c:order val="6"/>
          <c:tx>
            <c:strRef>
              <c:f>'Flujo Consolidado por mes'!$O$16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 Consolidado por mes'!$P$16:$U$16</c:f>
              <c:numCache>
                <c:formatCode>#,##0</c:formatCode>
                <c:ptCount val="6"/>
                <c:pt idx="0">
                  <c:v>521.82149806866948</c:v>
                </c:pt>
                <c:pt idx="1">
                  <c:v>533.56063733905592</c:v>
                </c:pt>
                <c:pt idx="2">
                  <c:v>617.80717918454934</c:v>
                </c:pt>
                <c:pt idx="3">
                  <c:v>555.46204656652367</c:v>
                </c:pt>
                <c:pt idx="4">
                  <c:v>566.05380364806865</c:v>
                </c:pt>
                <c:pt idx="5">
                  <c:v>644.11916845493556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AD-4E31-BD26-4BFACBF0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dateAx>
        <c:axId val="532052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Offset val="100"/>
        <c:baseTimeUnit val="months"/>
      </c:date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54-4214-85F9-758B6CD79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54-4214-85F9-758B6CD79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54-4214-85F9-758B6CD79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54-4214-85F9-758B6CD796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54-4214-85F9-758B6CD796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54-4214-85F9-758B6CD796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'Flujo Consolidado por mes'!$O$10:$O$15</c:f>
              <c:strCache>
                <c:ptCount val="6"/>
                <c:pt idx="0">
                  <c:v>Sueldos</c:v>
                </c:pt>
                <c:pt idx="1">
                  <c:v>Honorarios</c:v>
                </c:pt>
                <c:pt idx="2">
                  <c:v>Gasto Operacional</c:v>
                </c:pt>
                <c:pt idx="3">
                  <c:v>Sueldos administrativos</c:v>
                </c:pt>
                <c:pt idx="4">
                  <c:v> Gasto Administrativo </c:v>
                </c:pt>
                <c:pt idx="5">
                  <c:v>Activos</c:v>
                </c:pt>
              </c:strCache>
            </c:strRef>
          </c:cat>
          <c:val>
            <c:numRef>
              <c:f>'Flujo Consolidado por mes'!$V$10:$V$15</c:f>
              <c:numCache>
                <c:formatCode>#,##0</c:formatCode>
                <c:ptCount val="6"/>
                <c:pt idx="0">
                  <c:v>1894.2815118025751</c:v>
                </c:pt>
                <c:pt idx="1">
                  <c:v>689.59300278969954</c:v>
                </c:pt>
                <c:pt idx="2">
                  <c:v>318.23174463519314</c:v>
                </c:pt>
                <c:pt idx="3">
                  <c:v>210.08104721030043</c:v>
                </c:pt>
                <c:pt idx="4">
                  <c:v>230.41122532188842</c:v>
                </c:pt>
                <c:pt idx="5">
                  <c:v>96.225801502145913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F-4B8C-B246-03235E9C5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mes'!$Z$10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mes'!$AA$10:$AF$10</c:f>
              <c:numCache>
                <c:formatCode>#,##0</c:formatCode>
                <c:ptCount val="6"/>
                <c:pt idx="0">
                  <c:v>258.04874678111588</c:v>
                </c:pt>
                <c:pt idx="1">
                  <c:v>288.64785515021464</c:v>
                </c:pt>
                <c:pt idx="2">
                  <c:v>295.05654077253223</c:v>
                </c:pt>
                <c:pt idx="3">
                  <c:v>303.79496137339055</c:v>
                </c:pt>
                <c:pt idx="4">
                  <c:v>317.00841416309015</c:v>
                </c:pt>
                <c:pt idx="5">
                  <c:v>332.72499356223176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C0E-8179-391E81A4F5CF}"/>
            </c:ext>
          </c:extLst>
        </c:ser>
        <c:ser>
          <c:idx val="1"/>
          <c:order val="1"/>
          <c:tx>
            <c:strRef>
              <c:f>'Flujo Consolidado por mes'!$Z$11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mes'!$AA$11:$AF$11</c:f>
              <c:numCache>
                <c:formatCode>#,##0</c:formatCode>
                <c:ptCount val="6"/>
                <c:pt idx="0">
                  <c:v>43.122477467811159</c:v>
                </c:pt>
                <c:pt idx="1">
                  <c:v>42.528747854077253</c:v>
                </c:pt>
                <c:pt idx="2">
                  <c:v>40.494748927038628</c:v>
                </c:pt>
                <c:pt idx="3">
                  <c:v>39.999069742489269</c:v>
                </c:pt>
                <c:pt idx="4">
                  <c:v>35.904984978540774</c:v>
                </c:pt>
                <c:pt idx="5">
                  <c:v>36.03101824034335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3-4C0E-8179-391E81A4F5CF}"/>
            </c:ext>
          </c:extLst>
        </c:ser>
        <c:ser>
          <c:idx val="2"/>
          <c:order val="2"/>
          <c:tx>
            <c:strRef>
              <c:f>'Flujo Consolidado por mes'!$Z$12</c:f>
              <c:strCache>
                <c:ptCount val="1"/>
                <c:pt idx="0">
                  <c:v> Gasto Administrativo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mes'!$AA$12:$AF$12</c:f>
              <c:numCache>
                <c:formatCode>#,##0</c:formatCode>
                <c:ptCount val="6"/>
                <c:pt idx="0">
                  <c:v>25.728622317596567</c:v>
                </c:pt>
                <c:pt idx="1">
                  <c:v>34.142619098712444</c:v>
                </c:pt>
                <c:pt idx="2">
                  <c:v>36.60831330472103</c:v>
                </c:pt>
                <c:pt idx="3">
                  <c:v>53.393673819742489</c:v>
                </c:pt>
                <c:pt idx="4">
                  <c:v>34.088224248927041</c:v>
                </c:pt>
                <c:pt idx="5">
                  <c:v>25.449772532188845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3-4C0E-8179-391E81A4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3"/>
          <c:order val="3"/>
          <c:tx>
            <c:strRef>
              <c:f>'Flujo Consolidado por mes'!$Z$13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'Flujo Consolidado por mes'!$AA$9:$AF$9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mes'!$AA$13:$AF$13</c:f>
              <c:numCache>
                <c:formatCode>#,##0</c:formatCode>
                <c:ptCount val="6"/>
                <c:pt idx="0">
                  <c:v>326.89984656652359</c:v>
                </c:pt>
                <c:pt idx="1">
                  <c:v>365.31922210300434</c:v>
                </c:pt>
                <c:pt idx="2">
                  <c:v>372.15960300429191</c:v>
                </c:pt>
                <c:pt idx="3">
                  <c:v>397.18770493562232</c:v>
                </c:pt>
                <c:pt idx="4">
                  <c:v>387.00162339055794</c:v>
                </c:pt>
                <c:pt idx="5">
                  <c:v>394.20578433476396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3-4C0E-8179-391E81A4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dateAx>
        <c:axId val="532052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Offset val="100"/>
        <c:baseTimeUnit val="months"/>
      </c:date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83-4551-A93D-4F15976223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83-4551-A93D-4F15976223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83-4551-A93D-4F1597622309}"/>
              </c:ext>
            </c:extLst>
          </c:dPt>
          <c:cat>
            <c:strRef>
              <c:f>'Flujo Consolidado por mes'!$Z$10:$Z$12</c:f>
              <c:strCache>
                <c:ptCount val="3"/>
                <c:pt idx="0">
                  <c:v>Sueldos</c:v>
                </c:pt>
                <c:pt idx="1">
                  <c:v>Sueldos administrativos</c:v>
                </c:pt>
                <c:pt idx="2">
                  <c:v> Gasto Administrativo </c:v>
                </c:pt>
              </c:strCache>
            </c:strRef>
          </c:cat>
          <c:val>
            <c:numRef>
              <c:f>'Flujo Consolidado por mes'!$AG$10:$AG$12</c:f>
              <c:numCache>
                <c:formatCode>#,##0</c:formatCode>
                <c:ptCount val="3"/>
                <c:pt idx="0">
                  <c:v>1795.2815118025751</c:v>
                </c:pt>
                <c:pt idx="1">
                  <c:v>238.0810472103004</c:v>
                </c:pt>
                <c:pt idx="2">
                  <c:v>209.41122532188842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C-4C77-A744-AC719550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mes'!$AK$10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mes'!$AL$10:$AO$10</c:f>
              <c:numCache>
                <c:formatCode>#,##0</c:formatCode>
                <c:ptCount val="4"/>
                <c:pt idx="0">
                  <c:v>1368.0813454935601</c:v>
                </c:pt>
                <c:pt idx="1">
                  <c:v>388.09800000000001</c:v>
                </c:pt>
                <c:pt idx="2">
                  <c:v>43.03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D-4327-96C5-FB9B6DF3E7E7}"/>
            </c:ext>
          </c:extLst>
        </c:ser>
        <c:ser>
          <c:idx val="1"/>
          <c:order val="1"/>
          <c:tx>
            <c:strRef>
              <c:f>'Flujo Consolidado por mes'!$AK$11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mes'!$AL$11:$AO$11</c:f>
              <c:numCache>
                <c:formatCode>#,##0</c:formatCode>
                <c:ptCount val="4"/>
                <c:pt idx="0">
                  <c:v>213.44621351931301</c:v>
                </c:pt>
                <c:pt idx="1">
                  <c:v>0</c:v>
                </c:pt>
                <c:pt idx="2">
                  <c:v>2.867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D-4327-96C5-FB9B6DF3E7E7}"/>
            </c:ext>
          </c:extLst>
        </c:ser>
        <c:ser>
          <c:idx val="2"/>
          <c:order val="2"/>
          <c:tx>
            <c:strRef>
              <c:f>'Flujo Consolidado por mes'!$AK$12</c:f>
              <c:strCache>
                <c:ptCount val="1"/>
                <c:pt idx="0">
                  <c:v>Gasto Administrativo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mes'!$AL$12:$AO$12</c:f>
              <c:numCache>
                <c:formatCode>#,##0</c:formatCode>
                <c:ptCount val="4"/>
                <c:pt idx="0">
                  <c:v>107.74553004291801</c:v>
                </c:pt>
                <c:pt idx="1">
                  <c:v>81.733999999999995</c:v>
                </c:pt>
                <c:pt idx="2">
                  <c:v>30.67</c:v>
                </c:pt>
                <c:pt idx="3">
                  <c:v>8.5510000000000002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D-4327-96C5-FB9B6DF3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3"/>
          <c:order val="3"/>
          <c:tx>
            <c:strRef>
              <c:f>'Flujo Consolidado por mes'!$AK$13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mes'!$AL$13:$AO$13</c:f>
              <c:numCache>
                <c:formatCode>#,##0</c:formatCode>
                <c:ptCount val="4"/>
                <c:pt idx="0">
                  <c:v>1689.2730890557912</c:v>
                </c:pt>
                <c:pt idx="1">
                  <c:v>469.83199999999999</c:v>
                </c:pt>
                <c:pt idx="2">
                  <c:v>76.567000000000007</c:v>
                </c:pt>
                <c:pt idx="3">
                  <c:v>8.5510000000000002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D-4327-96C5-FB9B6DF3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catAx>
        <c:axId val="5320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Algn val="ctr"/>
        <c:lblOffset val="100"/>
        <c:noMultiLvlLbl val="0"/>
      </c:cat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06-407C-91AC-BE6BF211E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06-407C-91AC-BE6BF211E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06-407C-91AC-BE6BF211E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06-407C-91AC-BE6BF211E47D}"/>
              </c:ext>
            </c:extLst>
          </c:dPt>
          <c:cat>
            <c:strRef>
              <c:f>'Flujo Consolidado por mes'!$AL$9:$AO$9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mes'!$AL$13:$AO$13</c:f>
              <c:numCache>
                <c:formatCode>#,##0</c:formatCode>
                <c:ptCount val="4"/>
                <c:pt idx="0">
                  <c:v>1689.2730890557912</c:v>
                </c:pt>
                <c:pt idx="1">
                  <c:v>469.83199999999999</c:v>
                </c:pt>
                <c:pt idx="2">
                  <c:v>76.567000000000007</c:v>
                </c:pt>
                <c:pt idx="3">
                  <c:v>8.5510000000000002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1-4F9E-AFA4-46E9D398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/>
              <a:t>Gasto Operacional 2025</a:t>
            </a:r>
            <a:r>
              <a:rPr lang="es-CL" baseline="0"/>
              <a:t> - kUS$ (depurado)</a:t>
            </a:r>
            <a:endParaRPr lang="es-CL"/>
          </a:p>
        </c:rich>
      </c:tx>
      <c:layout>
        <c:manualLayout>
          <c:xMode val="edge"/>
          <c:yMode val="edge"/>
          <c:x val="1.5621246217841339E-2"/>
          <c:y val="2.5127600063577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Operacional_Dic'!$A$18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Operacional_Dic'!$B$18:$M$18</c:f>
              <c:numCache>
                <c:formatCode>#,##0</c:formatCode>
                <c:ptCount val="12"/>
                <c:pt idx="0">
                  <c:v>378436.75870000006</c:v>
                </c:pt>
                <c:pt idx="1">
                  <c:v>398339.99660000007</c:v>
                </c:pt>
                <c:pt idx="2">
                  <c:v>357973.31719999993</c:v>
                </c:pt>
                <c:pt idx="3">
                  <c:v>335882.01399999997</c:v>
                </c:pt>
                <c:pt idx="4">
                  <c:v>324752.95940000017</c:v>
                </c:pt>
                <c:pt idx="5">
                  <c:v>375198.26399999991</c:v>
                </c:pt>
                <c:pt idx="6">
                  <c:v>351835.74239999999</c:v>
                </c:pt>
                <c:pt idx="7">
                  <c:v>410938.03859999997</c:v>
                </c:pt>
                <c:pt idx="8">
                  <c:v>431239.14569999988</c:v>
                </c:pt>
                <c:pt idx="9">
                  <c:v>442721.53119999997</c:v>
                </c:pt>
                <c:pt idx="10">
                  <c:v>361293.55290000018</c:v>
                </c:pt>
                <c:pt idx="11">
                  <c:v>478326.17170000012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6-4C3C-ACF6-90CEE2EAC21B}"/>
            </c:ext>
          </c:extLst>
        </c:ser>
        <c:ser>
          <c:idx val="1"/>
          <c:order val="1"/>
          <c:tx>
            <c:strRef>
              <c:f>'Gasto Operacional_Dic'!$A$19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Operacional_Dic'!$B$19:$M$19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167995</c:v>
                </c:pt>
                <c:pt idx="6">
                  <c:v>199355</c:v>
                </c:pt>
                <c:pt idx="7">
                  <c:v>225572</c:v>
                </c:pt>
                <c:pt idx="8">
                  <c:v>127097</c:v>
                </c:pt>
                <c:pt idx="9">
                  <c:v>108174</c:v>
                </c:pt>
                <c:pt idx="10">
                  <c:v>139137.64000000001</c:v>
                </c:pt>
                <c:pt idx="11">
                  <c:v>234121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6-4C3C-ACF6-90CEE2EAC21B}"/>
            </c:ext>
          </c:extLst>
        </c:ser>
        <c:ser>
          <c:idx val="2"/>
          <c:order val="2"/>
          <c:tx>
            <c:strRef>
              <c:f>'Gasto Operacional_Dic'!$A$20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Operacional_Dic'!$B$20:$M$20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116188</c:v>
                </c:pt>
                <c:pt idx="11">
                  <c:v>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86-4C3C-ACF6-90CEE2EAC21B}"/>
            </c:ext>
          </c:extLst>
        </c:ser>
        <c:ser>
          <c:idx val="3"/>
          <c:order val="3"/>
          <c:tx>
            <c:strRef>
              <c:f>'Gasto Operacional_Dic'!$A$21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Operacional_Dic'!$B$21:$M$21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10017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86-4C3C-ACF6-90CEE2EAC21B}"/>
            </c:ext>
          </c:extLst>
        </c:ser>
        <c:ser>
          <c:idx val="4"/>
          <c:order val="4"/>
          <c:tx>
            <c:strRef>
              <c:f>'Gasto Operacional_Dic'!$A$22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Operacional_Dic'!$B$22:$M$22</c:f>
              <c:numCache>
                <c:formatCode>#,##0</c:formatCode>
                <c:ptCount val="12"/>
                <c:pt idx="0">
                  <c:v>14044</c:v>
                </c:pt>
                <c:pt idx="1">
                  <c:v>0</c:v>
                </c:pt>
                <c:pt idx="2">
                  <c:v>0</c:v>
                </c:pt>
                <c:pt idx="3">
                  <c:v>14380</c:v>
                </c:pt>
                <c:pt idx="4">
                  <c:v>16000</c:v>
                </c:pt>
                <c:pt idx="5">
                  <c:v>15094</c:v>
                </c:pt>
                <c:pt idx="6">
                  <c:v>5684.8</c:v>
                </c:pt>
                <c:pt idx="7">
                  <c:v>5684.8</c:v>
                </c:pt>
                <c:pt idx="8">
                  <c:v>5684.8</c:v>
                </c:pt>
                <c:pt idx="9">
                  <c:v>5684.8</c:v>
                </c:pt>
                <c:pt idx="10">
                  <c:v>5684.8</c:v>
                </c:pt>
                <c:pt idx="11">
                  <c:v>5684.8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86-4C3C-ACF6-90CEE2EA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1554783"/>
        <c:axId val="111548063"/>
      </c:barChart>
      <c:lineChart>
        <c:grouping val="standard"/>
        <c:varyColors val="0"/>
        <c:ser>
          <c:idx val="5"/>
          <c:order val="5"/>
          <c:tx>
            <c:strRef>
              <c:f>'Gasto Operacional_Dic'!$A$23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val>
            <c:numRef>
              <c:f>'Gasto Operacional_Dic'!$B$23:$M$23</c:f>
              <c:numCache>
                <c:formatCode>#,##0</c:formatCode>
                <c:ptCount val="12"/>
                <c:pt idx="0">
                  <c:v>502981.6087000001</c:v>
                </c:pt>
                <c:pt idx="1">
                  <c:v>509773.99660000007</c:v>
                </c:pt>
                <c:pt idx="2">
                  <c:v>535881.31719999993</c:v>
                </c:pt>
                <c:pt idx="3">
                  <c:v>549836.71399999992</c:v>
                </c:pt>
                <c:pt idx="4">
                  <c:v>550671.95940000017</c:v>
                </c:pt>
                <c:pt idx="5">
                  <c:v>638751.26399999997</c:v>
                </c:pt>
                <c:pt idx="6">
                  <c:v>597911.54240000003</c:v>
                </c:pt>
                <c:pt idx="7">
                  <c:v>664684.83860000002</c:v>
                </c:pt>
                <c:pt idx="8">
                  <c:v>642343.94569999992</c:v>
                </c:pt>
                <c:pt idx="9">
                  <c:v>659040.33120000002</c:v>
                </c:pt>
                <c:pt idx="10">
                  <c:v>623303.99290000019</c:v>
                </c:pt>
                <c:pt idx="11">
                  <c:v>959542.97170000011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86-4C3C-ACF6-90CEE2EA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54783"/>
        <c:axId val="111548063"/>
      </c:lineChart>
      <c:dateAx>
        <c:axId val="111554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48063"/>
        <c:crosses val="autoZero"/>
        <c:auto val="1"/>
        <c:lblOffset val="100"/>
        <c:baseTimeUnit val="months"/>
      </c:dateAx>
      <c:valAx>
        <c:axId val="111548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5478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 b="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/>
              <a:t>Margen de Operación 2025</a:t>
            </a:r>
            <a:r>
              <a:rPr lang="es-CL" baseline="0"/>
              <a:t> - kUS$</a:t>
            </a:r>
            <a:endParaRPr lang="es-CL"/>
          </a:p>
        </c:rich>
      </c:tx>
      <c:layout>
        <c:manualLayout>
          <c:xMode val="edge"/>
          <c:yMode val="edge"/>
          <c:x val="1.5621246217841339E-2"/>
          <c:y val="2.5127600063577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Operacional_Dic'!$A$29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Operacional_Dic'!$B$29:$M$29</c:f>
              <c:numCache>
                <c:formatCode>#,##0</c:formatCode>
                <c:ptCount val="12"/>
                <c:pt idx="0">
                  <c:v>-16074.024794420635</c:v>
                </c:pt>
                <c:pt idx="1">
                  <c:v>148970.62249871239</c:v>
                </c:pt>
                <c:pt idx="2">
                  <c:v>31754.139881545154</c:v>
                </c:pt>
                <c:pt idx="3">
                  <c:v>-98447.529021459195</c:v>
                </c:pt>
                <c:pt idx="4">
                  <c:v>-52121.874636051652</c:v>
                </c:pt>
                <c:pt idx="5">
                  <c:v>-97779.191038626537</c:v>
                </c:pt>
                <c:pt idx="6">
                  <c:v>123735.00652703864</c:v>
                </c:pt>
                <c:pt idx="7">
                  <c:v>-259455.30147553646</c:v>
                </c:pt>
                <c:pt idx="8">
                  <c:v>-133314.09527081531</c:v>
                </c:pt>
                <c:pt idx="9">
                  <c:v>-284455.07089957083</c:v>
                </c:pt>
                <c:pt idx="10">
                  <c:v>-112504.62693433496</c:v>
                </c:pt>
                <c:pt idx="11">
                  <c:v>-305118.62127081561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2-4FBE-AE62-0A1701BF574B}"/>
            </c:ext>
          </c:extLst>
        </c:ser>
        <c:ser>
          <c:idx val="1"/>
          <c:order val="1"/>
          <c:tx>
            <c:strRef>
              <c:f>'Gasto Operacional_Dic'!$A$30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Operacional_Dic'!$B$30:$M$30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61593</c:v>
                </c:pt>
                <c:pt idx="6">
                  <c:v>52347</c:v>
                </c:pt>
                <c:pt idx="7">
                  <c:v>416001</c:v>
                </c:pt>
                <c:pt idx="8">
                  <c:v>-7964</c:v>
                </c:pt>
                <c:pt idx="9">
                  <c:v>157275</c:v>
                </c:pt>
                <c:pt idx="10">
                  <c:v>-43027.640000000014</c:v>
                </c:pt>
                <c:pt idx="11">
                  <c:v>35311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2-4FBE-AE62-0A1701BF574B}"/>
            </c:ext>
          </c:extLst>
        </c:ser>
        <c:ser>
          <c:idx val="2"/>
          <c:order val="2"/>
          <c:tx>
            <c:strRef>
              <c:f>'Gasto Operacional_Dic'!$A$31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Operacional_Dic'!$B$31:$M$31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123415</c:v>
                </c:pt>
                <c:pt idx="11">
                  <c:v>201115.50999999998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2-4FBE-AE62-0A1701BF574B}"/>
            </c:ext>
          </c:extLst>
        </c:ser>
        <c:ser>
          <c:idx val="3"/>
          <c:order val="3"/>
          <c:tx>
            <c:strRef>
              <c:f>'Gasto Operacional_Dic'!$A$32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Operacional_Dic'!$B$32:$M$32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62-4FBE-AE62-0A1701BF574B}"/>
            </c:ext>
          </c:extLst>
        </c:ser>
        <c:ser>
          <c:idx val="4"/>
          <c:order val="4"/>
          <c:tx>
            <c:strRef>
              <c:f>'Gasto Operacional_Dic'!$A$33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Operacional_Dic'!$B$33:$M$33</c:f>
              <c:numCache>
                <c:formatCode>#,##0</c:formatCode>
                <c:ptCount val="12"/>
                <c:pt idx="0">
                  <c:v>-14044</c:v>
                </c:pt>
                <c:pt idx="1">
                  <c:v>21682</c:v>
                </c:pt>
                <c:pt idx="2">
                  <c:v>45478</c:v>
                </c:pt>
                <c:pt idx="3">
                  <c:v>-14380</c:v>
                </c:pt>
                <c:pt idx="4">
                  <c:v>-16000</c:v>
                </c:pt>
                <c:pt idx="5">
                  <c:v>156951</c:v>
                </c:pt>
                <c:pt idx="6">
                  <c:v>-5684.8</c:v>
                </c:pt>
                <c:pt idx="7">
                  <c:v>93839.2</c:v>
                </c:pt>
                <c:pt idx="8">
                  <c:v>-5684.8</c:v>
                </c:pt>
                <c:pt idx="9">
                  <c:v>-5684.8</c:v>
                </c:pt>
                <c:pt idx="10">
                  <c:v>-5684.8</c:v>
                </c:pt>
                <c:pt idx="11">
                  <c:v>-5684.8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62-4FBE-AE62-0A1701BF5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1554783"/>
        <c:axId val="111548063"/>
      </c:barChart>
      <c:lineChart>
        <c:grouping val="standard"/>
        <c:varyColors val="0"/>
        <c:ser>
          <c:idx val="5"/>
          <c:order val="5"/>
          <c:tx>
            <c:strRef>
              <c:f>'Gasto Operacional_Dic'!$A$34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'Gasto Operacional_Dic'!$B$17:$M$17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'Gasto Operacional_Dic'!$B$34:$M$34</c:f>
              <c:numCache>
                <c:formatCode>#,##0</c:formatCode>
                <c:ptCount val="12"/>
                <c:pt idx="0">
                  <c:v>214184.12520557936</c:v>
                </c:pt>
                <c:pt idx="1">
                  <c:v>424820.83249871235</c:v>
                </c:pt>
                <c:pt idx="2">
                  <c:v>242549.13988154515</c:v>
                </c:pt>
                <c:pt idx="3">
                  <c:v>64084.470978540805</c:v>
                </c:pt>
                <c:pt idx="4">
                  <c:v>96733.125363948348</c:v>
                </c:pt>
                <c:pt idx="5">
                  <c:v>168659.80896137346</c:v>
                </c:pt>
                <c:pt idx="6">
                  <c:v>177078.20652703865</c:v>
                </c:pt>
                <c:pt idx="7">
                  <c:v>367546.89852446358</c:v>
                </c:pt>
                <c:pt idx="8">
                  <c:v>-21697.895270815305</c:v>
                </c:pt>
                <c:pt idx="9">
                  <c:v>134737.12910042919</c:v>
                </c:pt>
                <c:pt idx="10">
                  <c:v>-38802.066934334973</c:v>
                </c:pt>
                <c:pt idx="11">
                  <c:v>-114001.91127081563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2-4FBE-AE62-0A1701BF5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54783"/>
        <c:axId val="111548063"/>
      </c:lineChart>
      <c:dateAx>
        <c:axId val="111554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48063"/>
        <c:crosses val="autoZero"/>
        <c:auto val="1"/>
        <c:lblOffset val="100"/>
        <c:baseTimeUnit val="months"/>
      </c:dateAx>
      <c:valAx>
        <c:axId val="111548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155478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 b="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n-US"/>
              <a:t>Margen Operacional</a:t>
            </a:r>
            <a:r>
              <a:rPr lang="en-US" baseline="0"/>
              <a:t> 2025</a:t>
            </a:r>
            <a:endParaRPr lang="en-US"/>
          </a:p>
        </c:rich>
      </c:tx>
      <c:layout>
        <c:manualLayout>
          <c:xMode val="edge"/>
          <c:yMode val="edge"/>
          <c:x val="2.127777777777776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'Gasto Operacional_Dic'!$N$38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5FA-4BDD-87E0-259555D3B59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5FA-4BDD-87E0-259555D3B59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5FA-4BDD-87E0-259555D3B59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5FA-4BDD-87E0-259555D3B59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5FA-4BDD-87E0-259555D3B5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Operacional_Dic'!$M$39:$M$43</c:f>
              <c:strCache>
                <c:ptCount val="5"/>
                <c:pt idx="0">
                  <c:v>Chile</c:v>
                </c:pt>
                <c:pt idx="1">
                  <c:v>Otros</c:v>
                </c:pt>
                <c:pt idx="2">
                  <c:v>USA</c:v>
                </c:pt>
                <c:pt idx="3">
                  <c:v>Perú</c:v>
                </c:pt>
                <c:pt idx="4">
                  <c:v>Brasil</c:v>
                </c:pt>
              </c:strCache>
            </c:strRef>
          </c:cat>
          <c:val>
            <c:numRef>
              <c:f>'Gasto Operacional_Dic'!$N$39:$N$43</c:f>
              <c:numCache>
                <c:formatCode>#,##0</c:formatCode>
                <c:ptCount val="5"/>
                <c:pt idx="0">
                  <c:v>-746597.6015635191</c:v>
                </c:pt>
                <c:pt idx="1">
                  <c:v>245102.20000000007</c:v>
                </c:pt>
                <c:pt idx="2">
                  <c:v>824515.21</c:v>
                </c:pt>
                <c:pt idx="3">
                  <c:v>1006671.4999622641</c:v>
                </c:pt>
                <c:pt idx="4">
                  <c:v>1070905.6333333333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0-49A4-BA18-32DDA9C6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 b="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Variación de gasto operacional acumulado a diciembre 2025 (kUS$) </cx:v>
        </cx:txData>
      </cx:tx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rgbClr val="1F497D"/>
              </a:solidFill>
              <a:latin typeface="Raleway" pitchFamily="2" charset="0"/>
              <a:ea typeface="Raleway" pitchFamily="2" charset="0"/>
              <a:cs typeface="Raleway" pitchFamily="2" charset="0"/>
            </a:defRPr>
          </a:pPr>
          <a:r>
            <a:rPr lang="es-CL" sz="800" b="0">
              <a:latin typeface="Raleway" pitchFamily="2" charset="0"/>
            </a:rPr>
            <a:t>Variación de gasto operacional acumulado a diciembre 2025 (kUS$) </a:t>
          </a:r>
        </a:p>
      </cx:txPr>
    </cx:title>
    <cx:plotArea>
      <cx:plotAreaRegion>
        <cx:series layoutId="waterfall" uniqueId="{DF554842-E4DC-4F9F-B21A-93402CF88A5A}">
          <cx:dataPt idx="0">
            <cx:spPr>
              <a:solidFill>
                <a:srgbClr val="002060"/>
              </a:solidFill>
            </cx:spPr>
          </cx:dataPt>
          <cx:dataPt idx="6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9">
            <cx:spPr>
              <a:solidFill>
                <a:srgbClr val="FFC000"/>
              </a:solidFill>
            </cx:spPr>
          </cx:dataPt>
          <cx:dataPt idx="10">
            <cx:spPr>
              <a:solidFill>
                <a:srgbClr val="C0504D"/>
              </a:solidFill>
            </cx:spPr>
          </cx:dataPt>
          <cx:dataPt idx="11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Labels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rgbClr val="1F497D"/>
                      </a:solidFill>
                      <a:latin typeface="Calibri"/>
                    </a:rPr>
                    <a:t>6.709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00B05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00B050"/>
                      </a:solidFill>
                      <a:latin typeface="Calibri"/>
                    </a:rPr>
                    <a:t>-56</a:t>
                  </a:r>
                </a:p>
              </cx:txPr>
            </cx:dataLabel>
            <cx:dataLabel idx="2">
              <cx:spPr>
                <a:ln>
                  <a:noFill/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9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91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259</a:t>
                  </a:r>
                </a:p>
              </cx:txPr>
            </cx:dataLabel>
            <cx:dataLabel idx="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900" b="0" i="0" u="none" strike="noStrike" baseline="0">
                      <a:solidFill>
                        <a:srgbClr val="FF0000"/>
                      </a:solidFill>
                      <a:latin typeface="Calibri"/>
                    </a:rPr>
                    <a:t>423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rgbClr val="1F497D"/>
                      </a:solidFill>
                      <a:latin typeface="Calibri"/>
                    </a:rPr>
                    <a:t>7.435</a:t>
                  </a:r>
                </a:p>
              </cx:txPr>
            </cx:dataLabel>
          </cx:dataLabels>
          <cx:dataId val="0"/>
          <cx:layoutPr>
            <cx:visibility connectorLines="0"/>
            <cx:subtotals>
              <cx:idx val="6"/>
              <cx:idx val="9"/>
              <cx:idx val="11"/>
            </cx:subtotals>
          </cx:layoutPr>
        </cx:series>
      </cx:plotAreaRegion>
      <cx:axis id="0">
        <cx:catScaling gapWidth="0.200000003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1F497D"/>
                </a:solidFill>
                <a:latin typeface="Raleway" pitchFamily="2" charset="0"/>
                <a:ea typeface="Raleway" pitchFamily="2" charset="0"/>
                <a:cs typeface="Raleway" pitchFamily="2" charset="0"/>
              </a:defRPr>
            </a:pPr>
            <a:endParaRPr lang="es-CL" sz="600">
              <a:latin typeface="Raleway" pitchFamily="2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700" b="0" i="0">
                <a:solidFill>
                  <a:srgbClr val="1F497D"/>
                </a:solidFill>
                <a:latin typeface="Raleway" pitchFamily="2" charset="0"/>
                <a:ea typeface="Raleway" pitchFamily="2" charset="0"/>
                <a:cs typeface="Raleway" pitchFamily="2" charset="0"/>
              </a:defRPr>
            </a:pPr>
            <a:endParaRPr lang="es-CL" sz="700">
              <a:latin typeface="Raleway" pitchFamily="2" charset="0"/>
            </a:endParaRPr>
          </a:p>
        </cx:txPr>
      </cx:axis>
    </cx:plotArea>
  </cx:chart>
  <cx:fmtOvrs>
    <cx:fmtOvr idx="1">
      <cx:spPr>
        <a:solidFill>
          <a:srgbClr val="00B050"/>
        </a:solidFill>
      </cx:spPr>
    </cx:fmtOvr>
    <cx:fmtOvr idx="0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636C.A6D6BBB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4/relationships/chartEx" Target="../charts/chartEx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B9AA4.DB566D30" TargetMode="External"/><Relationship Id="rId1" Type="http://schemas.openxmlformats.org/officeDocument/2006/relationships/image" Target="../media/image5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607391</xdr:colOff>
      <xdr:row>37</xdr:row>
      <xdr:rowOff>27609</xdr:rowOff>
    </xdr:from>
    <xdr:to>
      <xdr:col>3</xdr:col>
      <xdr:colOff>813110</xdr:colOff>
      <xdr:row>39</xdr:row>
      <xdr:rowOff>34847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AE2E17F7-9DEB-41AC-A11B-D2DFD4D44D85}"/>
            </a:ext>
          </a:extLst>
        </xdr:cNvPr>
        <xdr:cNvSpPr/>
      </xdr:nvSpPr>
      <xdr:spPr>
        <a:xfrm>
          <a:off x="8866263" y="7612761"/>
          <a:ext cx="205719" cy="3905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607391</xdr:colOff>
      <xdr:row>37</xdr:row>
      <xdr:rowOff>27609</xdr:rowOff>
    </xdr:from>
    <xdr:to>
      <xdr:col>4</xdr:col>
      <xdr:colOff>813110</xdr:colOff>
      <xdr:row>39</xdr:row>
      <xdr:rowOff>34847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EBA1CE45-3704-42F4-A567-B320E23CDB75}"/>
            </a:ext>
          </a:extLst>
        </xdr:cNvPr>
        <xdr:cNvSpPr/>
      </xdr:nvSpPr>
      <xdr:spPr>
        <a:xfrm>
          <a:off x="7576903" y="7810231"/>
          <a:ext cx="205719" cy="39056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695325</xdr:colOff>
      <xdr:row>16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44F543-DA5E-F187-023D-6DA734B7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83932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86</xdr:row>
      <xdr:rowOff>161925</xdr:rowOff>
    </xdr:from>
    <xdr:to>
      <xdr:col>12</xdr:col>
      <xdr:colOff>123059</xdr:colOff>
      <xdr:row>93</xdr:row>
      <xdr:rowOff>68751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ED65BF-CFEA-4204-BFFE-BCDFDB590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0" y="15722600"/>
          <a:ext cx="1411156" cy="1167936"/>
        </a:xfrm>
        <a:prstGeom prst="rect">
          <a:avLst/>
        </a:prstGeom>
      </xdr:spPr>
    </xdr:pic>
    <xdr:clientData/>
  </xdr:twoCellAnchor>
  <xdr:twoCellAnchor>
    <xdr:from>
      <xdr:col>6</xdr:col>
      <xdr:colOff>65880</xdr:colOff>
      <xdr:row>116</xdr:row>
      <xdr:rowOff>96838</xdr:rowOff>
    </xdr:from>
    <xdr:to>
      <xdr:col>21</xdr:col>
      <xdr:colOff>122238</xdr:colOff>
      <xdr:row>137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0646AB4-4305-45DF-8C4C-3D24B32083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1480" y="22220238"/>
              <a:ext cx="10063958" cy="4005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373380</xdr:colOff>
      <xdr:row>117</xdr:row>
      <xdr:rowOff>102235</xdr:rowOff>
    </xdr:from>
    <xdr:to>
      <xdr:col>28</xdr:col>
      <xdr:colOff>515621</xdr:colOff>
      <xdr:row>127</xdr:row>
      <xdr:rowOff>27306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CAD040-D7E3-5A54-2DAF-E9AA8CE9F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99105" y="21295360"/>
          <a:ext cx="3514091" cy="1734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12301</xdr:colOff>
      <xdr:row>9</xdr:row>
      <xdr:rowOff>218678</xdr:rowOff>
    </xdr:from>
    <xdr:to>
      <xdr:col>26</xdr:col>
      <xdr:colOff>11906</xdr:colOff>
      <xdr:row>24</xdr:row>
      <xdr:rowOff>17066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02D5A9-EEB9-4B75-927D-4233E28A2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797719</xdr:colOff>
      <xdr:row>24</xdr:row>
      <xdr:rowOff>119062</xdr:rowOff>
    </xdr:from>
    <xdr:to>
      <xdr:col>25</xdr:col>
      <xdr:colOff>800499</xdr:colOff>
      <xdr:row>38</xdr:row>
      <xdr:rowOff>149224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047F5D-56AA-40ED-B889-1FAC6AAB6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40</xdr:row>
      <xdr:rowOff>0</xdr:rowOff>
    </xdr:from>
    <xdr:to>
      <xdr:col>26</xdr:col>
      <xdr:colOff>2780</xdr:colOff>
      <xdr:row>56</xdr:row>
      <xdr:rowOff>214313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83337-7A90-4E32-8C52-2438AEBF5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431402</xdr:colOff>
      <xdr:row>58</xdr:row>
      <xdr:rowOff>12303</xdr:rowOff>
    </xdr:from>
    <xdr:to>
      <xdr:col>25</xdr:col>
      <xdr:colOff>145652</xdr:colOff>
      <xdr:row>74</xdr:row>
      <xdr:rowOff>23415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957EFDA-B4D6-4D96-AA6C-0CB0AF10C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12301</xdr:colOff>
      <xdr:row>9</xdr:row>
      <xdr:rowOff>218678</xdr:rowOff>
    </xdr:from>
    <xdr:to>
      <xdr:col>26</xdr:col>
      <xdr:colOff>11906</xdr:colOff>
      <xdr:row>24</xdr:row>
      <xdr:rowOff>17066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8E5113-A891-3015-081C-D695E8C41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797719</xdr:colOff>
      <xdr:row>24</xdr:row>
      <xdr:rowOff>119062</xdr:rowOff>
    </xdr:from>
    <xdr:to>
      <xdr:col>25</xdr:col>
      <xdr:colOff>800499</xdr:colOff>
      <xdr:row>38</xdr:row>
      <xdr:rowOff>149224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3C695D-3129-4DD0-B6E2-BAD448EA0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40</xdr:row>
      <xdr:rowOff>0</xdr:rowOff>
    </xdr:from>
    <xdr:to>
      <xdr:col>26</xdr:col>
      <xdr:colOff>2780</xdr:colOff>
      <xdr:row>55</xdr:row>
      <xdr:rowOff>214313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357B56-9F15-4AD2-947C-8820CADCE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431402</xdr:colOff>
      <xdr:row>57</xdr:row>
      <xdr:rowOff>12303</xdr:rowOff>
    </xdr:from>
    <xdr:to>
      <xdr:col>25</xdr:col>
      <xdr:colOff>145652</xdr:colOff>
      <xdr:row>73</xdr:row>
      <xdr:rowOff>23415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0F25E1-0B6F-3C9B-D8B6-2E25E53F1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9524</xdr:colOff>
      <xdr:row>17</xdr:row>
      <xdr:rowOff>14287</xdr:rowOff>
    </xdr:from>
    <xdr:to>
      <xdr:col>21</xdr:col>
      <xdr:colOff>733425</xdr:colOff>
      <xdr:row>29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99E6F-8710-B4F2-4188-EF1C5DA01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30</xdr:row>
      <xdr:rowOff>14287</xdr:rowOff>
    </xdr:from>
    <xdr:to>
      <xdr:col>19</xdr:col>
      <xdr:colOff>361950</xdr:colOff>
      <xdr:row>47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17484E-61F8-AF2C-C98D-1D78B0F18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32</xdr:col>
      <xdr:colOff>723901</xdr:colOff>
      <xdr:row>29</xdr:row>
      <xdr:rowOff>90488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D3A159-6891-42C0-8EF7-20A6FF7A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38100</xdr:colOff>
      <xdr:row>30</xdr:row>
      <xdr:rowOff>14287</xdr:rowOff>
    </xdr:from>
    <xdr:to>
      <xdr:col>30</xdr:col>
      <xdr:colOff>400050</xdr:colOff>
      <xdr:row>47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03F3768-3716-AE6C-3F3F-6ED7B80E9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17</xdr:row>
      <xdr:rowOff>0</xdr:rowOff>
    </xdr:from>
    <xdr:to>
      <xdr:col>42</xdr:col>
      <xdr:colOff>723901</xdr:colOff>
      <xdr:row>29</xdr:row>
      <xdr:rowOff>90488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B36182D-DF51-4F7F-B503-CBFBD0509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114300</xdr:colOff>
      <xdr:row>30</xdr:row>
      <xdr:rowOff>33337</xdr:rowOff>
    </xdr:from>
    <xdr:to>
      <xdr:col>40</xdr:col>
      <xdr:colOff>476250</xdr:colOff>
      <xdr:row>47</xdr:row>
      <xdr:rowOff>23812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0D6CC3F-7A22-97A7-F2B7-B3AFF1450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107156</xdr:colOff>
      <xdr:row>10</xdr:row>
      <xdr:rowOff>182165</xdr:rowOff>
    </xdr:from>
    <xdr:to>
      <xdr:col>28</xdr:col>
      <xdr:colOff>178593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71972-AD45-8810-9A85-1CEAA23A8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107156</xdr:colOff>
      <xdr:row>30</xdr:row>
      <xdr:rowOff>23813</xdr:rowOff>
    </xdr:from>
    <xdr:to>
      <xdr:col>28</xdr:col>
      <xdr:colOff>178593</xdr:colOff>
      <xdr:row>48</xdr:row>
      <xdr:rowOff>32148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38392C-A9A8-47EA-94C5-3D5D45995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101202</xdr:colOff>
      <xdr:row>49</xdr:row>
      <xdr:rowOff>75009</xdr:rowOff>
    </xdr:from>
    <xdr:to>
      <xdr:col>21</xdr:col>
      <xdr:colOff>101202</xdr:colOff>
      <xdr:row>65</xdr:row>
      <xdr:rowOff>151209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58B766-6F2D-6904-6E41-880D3CD36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123825</xdr:rowOff>
    </xdr:from>
    <xdr:to>
      <xdr:col>4</xdr:col>
      <xdr:colOff>626833</xdr:colOff>
      <xdr:row>75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2D92C-6D13-DF9B-E255-20DD9846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7100"/>
          <a:ext cx="6208483" cy="19621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0</xdr:rowOff>
    </xdr:from>
    <xdr:to>
      <xdr:col>10</xdr:col>
      <xdr:colOff>28574</xdr:colOff>
      <xdr:row>0</xdr:row>
      <xdr:rowOff>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BD310D06-E6C7-1B68-1817-8880DD2E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3876675"/>
          <a:ext cx="10734675" cy="83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27</xdr:row>
      <xdr:rowOff>171450</xdr:rowOff>
    </xdr:from>
    <xdr:to>
      <xdr:col>2</xdr:col>
      <xdr:colOff>248368</xdr:colOff>
      <xdr:row>35</xdr:row>
      <xdr:rowOff>92464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D71BB9-193E-923F-BE24-54C38201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057775"/>
          <a:ext cx="5140408" cy="12784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EstratgicaREDCO/Shared%20Documents/General/Foro%20Control%20Gesti&#243;n/Reuniones/202511_Preliminar/202511_FLUJO%20REDCO%202025%20-%20Cierre%20octubre%20v1.xlsx" TargetMode="External"/><Relationship Id="rId1" Type="http://schemas.openxmlformats.org/officeDocument/2006/relationships/externalLinkPath" Target="https://redcoglobalcl.sharepoint.com/sites/GestinEstratgicaREDCO/Shared%20Documents/General/Gesti&#243;n%20Estrat&#233;gica%202026/202512_Reuni&#243;n%2012%20(Diciembre%202025)/202511_FLUJO%20REDCO%202025%20-%20Cierre%20octubr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jo Redco 2025 v1"/>
      <sheetName val="Bono Anual 2024"/>
      <sheetName val="Resumen Flujo consolidado "/>
      <sheetName val="Ppto vs Real"/>
      <sheetName val="Tabla datos unidades"/>
      <sheetName val="Flujo Anual por unidad 2025"/>
      <sheetName val="Flujo Consolidado por mes"/>
      <sheetName val="Flujo por empresa acum."/>
      <sheetName val="Tabla Análisis"/>
      <sheetName val="Tabla Análisis (2)"/>
      <sheetName val="Flujo Redco Chile"/>
      <sheetName val="Gastos 2025"/>
      <sheetName val="Flujo Redco Perú"/>
      <sheetName val="Flujo Redco Brasil"/>
      <sheetName val="Flujo Redco USA"/>
      <sheetName val="Flujo Redco BVI"/>
      <sheetName val="Facturas e Ingresos 2025"/>
      <sheetName val="Ingresos febrero"/>
      <sheetName val="Ingresos marzo"/>
      <sheetName val="Préstamo BVI"/>
      <sheetName val="FFMM"/>
      <sheetName val="ANGLO AMERICAN"/>
      <sheetName val="CMP Ret. 5%"/>
      <sheetName val="Facts. e Ingresos Perú"/>
      <sheetName val="Facts. e Ingresos Brasil"/>
      <sheetName val="Facts. e Ingresos USA"/>
      <sheetName val="Saldos ctas. ctes."/>
      <sheetName val="Pagos sept."/>
      <sheetName val="Pagos octubre"/>
      <sheetName val="Gastos Alvaro Soto"/>
      <sheetName val="AURORA"/>
      <sheetName val="Hoja1"/>
      <sheetName val="EERR sept.2025"/>
      <sheetName val="Pagos agosto"/>
      <sheetName val="Nómina de pago mayo 2025"/>
      <sheetName val="Nómina pagos abril 2025"/>
      <sheetName val="Nómina de pago junio"/>
      <sheetName val="Facturas e Ingresos 2024"/>
      <sheetName val="Boletas Gtía."/>
      <sheetName val="Btas. de garantía"/>
      <sheetName val="INGRESOS 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0">
          <cell r="I60">
            <v>31896.490343347628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INGENIERÍA REDCO LTDA.</v>
          </cell>
        </row>
      </sheetData>
      <sheetData sheetId="11" refreshError="1"/>
      <sheetData sheetId="12">
        <row r="1">
          <cell r="B1" t="str">
            <v>INGENIERIA REDCO GLOBAL PERU SAC</v>
          </cell>
        </row>
      </sheetData>
      <sheetData sheetId="13">
        <row r="1">
          <cell r="B1" t="str">
            <v>INGENIERIA REDCO BRASIL</v>
          </cell>
        </row>
        <row r="3">
          <cell r="B3">
            <v>2025</v>
          </cell>
        </row>
        <row r="6">
          <cell r="B6" t="str">
            <v>FLUJO OPERACIONAL MENSUAL 2025</v>
          </cell>
          <cell r="L6" t="str">
            <v>REAL</v>
          </cell>
        </row>
        <row r="8">
          <cell r="B8" t="str">
            <v>RESUMEN</v>
          </cell>
          <cell r="L8">
            <v>45931</v>
          </cell>
        </row>
        <row r="9">
          <cell r="B9" t="str">
            <v>SALDO CTA. CTE. INICIAL 01-01-2025</v>
          </cell>
          <cell r="L9">
            <v>172320.63</v>
          </cell>
        </row>
        <row r="10">
          <cell r="B10" t="str">
            <v>DIFERENCIA CAMBIO</v>
          </cell>
        </row>
        <row r="12">
          <cell r="B12" t="str">
            <v>TOTAL INGRESOS OPERACIONALES PEND. 2024</v>
          </cell>
        </row>
        <row r="13">
          <cell r="B13" t="str">
            <v>TOTAL INGRESOS OPERACIONALES 2025</v>
          </cell>
          <cell r="L13">
            <v>325062</v>
          </cell>
        </row>
        <row r="14">
          <cell r="B14" t="str">
            <v xml:space="preserve">TOTAL INGRESOS </v>
          </cell>
          <cell r="L14">
            <v>325062</v>
          </cell>
        </row>
        <row r="16">
          <cell r="B16" t="str">
            <v>COSTOS OPERACIONALES</v>
          </cell>
        </row>
        <row r="17">
          <cell r="B17" t="str">
            <v>SUELDOS OPERACIONALES</v>
          </cell>
          <cell r="L17">
            <v>942</v>
          </cell>
        </row>
        <row r="18">
          <cell r="B18" t="str">
            <v>HONORARIOS OPERACIONALES</v>
          </cell>
          <cell r="L18">
            <v>4518</v>
          </cell>
        </row>
        <row r="19">
          <cell r="B19" t="str">
            <v>GASTOS OPERACIONALES</v>
          </cell>
          <cell r="L19">
            <v>4377</v>
          </cell>
        </row>
        <row r="20">
          <cell r="B20" t="str">
            <v>TOTAL COSTOS OPERACIONALES</v>
          </cell>
          <cell r="L20">
            <v>9837</v>
          </cell>
        </row>
        <row r="22">
          <cell r="B22" t="str">
            <v>COSTOS ADMINISTRATIVOS</v>
          </cell>
        </row>
        <row r="23">
          <cell r="B23" t="str">
            <v>SUELDOS ADMINISTRACION</v>
          </cell>
          <cell r="L23">
            <v>2251</v>
          </cell>
        </row>
        <row r="24">
          <cell r="B24" t="str">
            <v>GASTOS DE  ADMINISTRACION</v>
          </cell>
          <cell r="L24">
            <v>1961</v>
          </cell>
        </row>
        <row r="25">
          <cell r="B25" t="str">
            <v>TOTAL COSTOS ADMINISTRATIVOS</v>
          </cell>
          <cell r="L25">
            <v>4212</v>
          </cell>
        </row>
        <row r="27">
          <cell r="B27" t="str">
            <v>ACTIVO: EQUIPOS-ACTIVO REDTEC</v>
          </cell>
        </row>
        <row r="29">
          <cell r="B29" t="str">
            <v>RESULTADO OPERACIONALES</v>
          </cell>
          <cell r="L29">
            <v>311013</v>
          </cell>
        </row>
        <row r="31">
          <cell r="B31" t="str">
            <v>OTROS INGRESOS NO OPERACIONALES</v>
          </cell>
        </row>
        <row r="32">
          <cell r="B32" t="str">
            <v xml:space="preserve">OTROS INGRESO </v>
          </cell>
          <cell r="L32">
            <v>1803</v>
          </cell>
        </row>
        <row r="33">
          <cell r="B33" t="str">
            <v>INGRESO RECUP. GASTOS</v>
          </cell>
        </row>
        <row r="34">
          <cell r="B34" t="str">
            <v>OTROS INGRESOS NO OPERACIONALES</v>
          </cell>
          <cell r="L34">
            <v>1803</v>
          </cell>
        </row>
        <row r="36">
          <cell r="B36" t="str">
            <v>OTROS EGRESOS NO OPERACIONALES</v>
          </cell>
        </row>
        <row r="37">
          <cell r="B37" t="str">
            <v>IMPUESTOS PPM-IVA-IMPTO.ADICIONAL</v>
          </cell>
          <cell r="L37">
            <v>67960</v>
          </cell>
        </row>
        <row r="38">
          <cell r="B38" t="str">
            <v>TOTAL EGRESOS NO OPERACIONALES</v>
          </cell>
          <cell r="L38">
            <v>67960</v>
          </cell>
        </row>
        <row r="40">
          <cell r="B40" t="str">
            <v xml:space="preserve">OTROS EGRESOS CTA.CTE. EERR </v>
          </cell>
        </row>
        <row r="41">
          <cell r="B41" t="str">
            <v>CTA. CTE. BVI -SERVICIOS BACKOFFICE-CONSULTORIAS</v>
          </cell>
        </row>
        <row r="42">
          <cell r="B42" t="str">
            <v>CTA. CTE. REDTEC - DEV. FACTURACION POR REDCO</v>
          </cell>
        </row>
        <row r="43">
          <cell r="B43" t="str">
            <v>TOTAL PAGOS CTA.CTE. EERR</v>
          </cell>
          <cell r="L43">
            <v>0</v>
          </cell>
        </row>
        <row r="45">
          <cell r="B45" t="str">
            <v>SALDO FLUJO REDCO MENSUAL</v>
          </cell>
          <cell r="L45">
            <v>244856</v>
          </cell>
        </row>
        <row r="47">
          <cell r="B47" t="str">
            <v xml:space="preserve">SALDO FLUJO REDCO  + SALDO INCIAL </v>
          </cell>
          <cell r="L47">
            <v>417176.63</v>
          </cell>
        </row>
        <row r="48">
          <cell r="L48">
            <v>417177</v>
          </cell>
        </row>
        <row r="54">
          <cell r="L54" t="str">
            <v>T/C</v>
          </cell>
        </row>
        <row r="56">
          <cell r="L56">
            <v>45931</v>
          </cell>
        </row>
        <row r="57">
          <cell r="L57">
            <v>21432.630000000005</v>
          </cell>
        </row>
        <row r="59">
          <cell r="L59">
            <v>45931</v>
          </cell>
        </row>
        <row r="60">
          <cell r="B60" t="str">
            <v>CLIENTES - BM</v>
          </cell>
          <cell r="L60" t="str">
            <v>MONTO US$</v>
          </cell>
        </row>
        <row r="61">
          <cell r="B61" t="str">
            <v>LPCTV_REDCO_SP002_M01_SERV - CTV-BM01-CTV</v>
          </cell>
        </row>
        <row r="62">
          <cell r="B62" t="str">
            <v>MOSAIC - LPCAJ_REDCO_SP003_M01_SERV-BM01-CAJ</v>
          </cell>
        </row>
        <row r="63">
          <cell r="B63" t="str">
            <v>Mineração Corumbaense-BM06</v>
          </cell>
        </row>
        <row r="64">
          <cell r="B64" t="str">
            <v>LPCTV_REDCO_SP002_M01_SERV - CTV-BM01-CTV</v>
          </cell>
        </row>
        <row r="65">
          <cell r="B65" t="str">
            <v>MOSAIC - LPCAJ_REDCO_SP003_M01_SERV-BM01-CAJ</v>
          </cell>
        </row>
        <row r="66">
          <cell r="B66" t="str">
            <v>Hotel Mercure - Devolução</v>
          </cell>
        </row>
        <row r="67">
          <cell r="B67" t="str">
            <v>Ero Cooper - NF 73 - BM01</v>
          </cell>
        </row>
        <row r="68">
          <cell r="B68" t="str">
            <v>Ero Cooper - NF 78 - BM01</v>
          </cell>
        </row>
        <row r="69">
          <cell r="B69" t="str">
            <v>Mineração Taboc</v>
          </cell>
        </row>
        <row r="70">
          <cell r="B70" t="str">
            <v>Estorno de Débito Bancário</v>
          </cell>
        </row>
        <row r="71">
          <cell r="B71" t="str">
            <v>BCG Business Case Taboca</v>
          </cell>
        </row>
        <row r="72">
          <cell r="B72" t="str">
            <v>Mosaic CTV 5Y Plan + Fase II</v>
          </cell>
        </row>
        <row r="73">
          <cell r="B73" t="str">
            <v>Aura Minerals</v>
          </cell>
        </row>
        <row r="74">
          <cell r="B74" t="str">
            <v xml:space="preserve">05/09 16:32 08213823000107 AURA ALMAS </v>
          </cell>
        </row>
        <row r="75">
          <cell r="B75" t="str">
            <v>745 0001 33931486001455 MOSAIC FERTILI</v>
          </cell>
        </row>
        <row r="76">
          <cell r="B76" t="str">
            <v>745 0001 31009644000174 MOSAIC POTASSI</v>
          </cell>
        </row>
        <row r="77">
          <cell r="B77" t="str">
            <v>341 1007 49237856000255 ERO BRASIL PAR</v>
          </cell>
        </row>
        <row r="78">
          <cell r="B78" t="str">
            <v xml:space="preserve">Rest. Tributos Rec. Fed. </v>
          </cell>
        </row>
        <row r="79">
          <cell r="B79" t="str">
            <v xml:space="preserve">Rest. Tributos Rec. Fed. </v>
          </cell>
        </row>
        <row r="80">
          <cell r="B80" t="str">
            <v>MINERACAO TABOCA - BM02 - NF90</v>
          </cell>
          <cell r="L80">
            <v>101471</v>
          </cell>
        </row>
        <row r="81">
          <cell r="B81" t="str">
            <v>MOSAIC POTASSIO - BM07 - NF74</v>
          </cell>
          <cell r="L81">
            <v>32562</v>
          </cell>
        </row>
        <row r="82">
          <cell r="B82" t="str">
            <v>MOSAIC FERTILIZANTES - BM-24 - NF75</v>
          </cell>
          <cell r="L82">
            <v>36943</v>
          </cell>
        </row>
        <row r="83">
          <cell r="B83" t="str">
            <v>LHG MINING  - BM01 - NF88</v>
          </cell>
          <cell r="L83">
            <v>33471</v>
          </cell>
        </row>
        <row r="84">
          <cell r="B84" t="str">
            <v>ERO BRASIL PAR - BM04 - NF85</v>
          </cell>
          <cell r="L84">
            <v>58240</v>
          </cell>
        </row>
        <row r="85">
          <cell r="B85" t="str">
            <v>MOSAIC POTASSIO - BM08 - NF79</v>
          </cell>
          <cell r="L85">
            <v>20836</v>
          </cell>
        </row>
        <row r="86">
          <cell r="B86" t="str">
            <v>MOSAIC FERTILIZANTES - BM25 - NF80</v>
          </cell>
          <cell r="L86">
            <v>22525</v>
          </cell>
        </row>
        <row r="87">
          <cell r="B87" t="str">
            <v>AURA ALMAS  - BM08 - NF91</v>
          </cell>
          <cell r="L87">
            <v>19014</v>
          </cell>
        </row>
        <row r="88">
          <cell r="B88" t="str">
            <v>MENOS IMPUETSOS</v>
          </cell>
        </row>
        <row r="89">
          <cell r="B89" t="str">
            <v>20/05</v>
          </cell>
        </row>
        <row r="90">
          <cell r="B90" t="str">
            <v>14/05</v>
          </cell>
        </row>
        <row r="91">
          <cell r="L91">
            <v>325062</v>
          </cell>
        </row>
        <row r="94">
          <cell r="B94" t="str">
            <v>INGRESOS EXTRAORDINARIOS</v>
          </cell>
          <cell r="L94">
            <v>45931</v>
          </cell>
        </row>
        <row r="95">
          <cell r="B95" t="str">
            <v>CLIENTE</v>
          </cell>
          <cell r="L95" t="str">
            <v>MONTO US$</v>
          </cell>
        </row>
        <row r="96">
          <cell r="B96" t="str">
            <v>Restituição Impuestos</v>
          </cell>
        </row>
        <row r="97">
          <cell r="B97" t="str">
            <v>Transf. entre contas  Itaú</v>
          </cell>
        </row>
        <row r="98">
          <cell r="B98" t="str">
            <v>Rendimiento Aplicación</v>
          </cell>
          <cell r="L98">
            <v>1803</v>
          </cell>
        </row>
        <row r="99">
          <cell r="B99" t="str">
            <v>SUMAS</v>
          </cell>
          <cell r="L99">
            <v>1803</v>
          </cell>
        </row>
        <row r="101">
          <cell r="B101" t="str">
            <v>PERIODO 2025</v>
          </cell>
          <cell r="L101">
            <v>45931</v>
          </cell>
        </row>
        <row r="102">
          <cell r="L102" t="str">
            <v>MONTO US$</v>
          </cell>
        </row>
        <row r="103">
          <cell r="B103" t="str">
            <v>TOTAL INGRESOS</v>
          </cell>
          <cell r="L103">
            <v>326865</v>
          </cell>
        </row>
        <row r="105">
          <cell r="B105" t="str">
            <v xml:space="preserve">REMUNERACIONES </v>
          </cell>
          <cell r="L105">
            <v>45931</v>
          </cell>
        </row>
        <row r="106">
          <cell r="B106" t="str">
            <v xml:space="preserve">DETALLE </v>
          </cell>
          <cell r="L106" t="str">
            <v>MONTO US$</v>
          </cell>
        </row>
        <row r="107">
          <cell r="B107" t="str">
            <v>Nicélio José dos Santos - SM</v>
          </cell>
        </row>
        <row r="108">
          <cell r="B108" t="str">
            <v>Maria Célia P. Fonseca - SM</v>
          </cell>
          <cell r="L108">
            <v>2251</v>
          </cell>
        </row>
        <row r="109">
          <cell r="B109" t="str">
            <v>Maria Célia P. Fonseca - FERIAS (15d)</v>
          </cell>
        </row>
        <row r="110">
          <cell r="B110" t="str">
            <v>Nicélio José dos Santos - RESCISSÃO</v>
          </cell>
        </row>
        <row r="111">
          <cell r="B111" t="str">
            <v>Izabela Alves Camisassa</v>
          </cell>
        </row>
        <row r="112">
          <cell r="B112" t="str">
            <v>Ronald Leal</v>
          </cell>
        </row>
        <row r="113">
          <cell r="B113" t="str">
            <v xml:space="preserve">SUELDOS                       </v>
          </cell>
          <cell r="L113">
            <v>2251</v>
          </cell>
        </row>
        <row r="114">
          <cell r="B114" t="str">
            <v>BENEFICIOS SOCIALES</v>
          </cell>
          <cell r="L114">
            <v>942</v>
          </cell>
        </row>
        <row r="116">
          <cell r="B116" t="str">
            <v>Subtotal</v>
          </cell>
          <cell r="L116">
            <v>3193</v>
          </cell>
        </row>
        <row r="117">
          <cell r="B117" t="str">
            <v>Cotizaciones Previsionales</v>
          </cell>
        </row>
        <row r="118">
          <cell r="B118" t="str">
            <v>SUMAS</v>
          </cell>
          <cell r="L118">
            <v>3193</v>
          </cell>
        </row>
        <row r="120">
          <cell r="B120" t="str">
            <v xml:space="preserve">HONORARIOS </v>
          </cell>
          <cell r="L120">
            <v>45931</v>
          </cell>
        </row>
        <row r="121">
          <cell r="B121" t="str">
            <v xml:space="preserve">DETALLE </v>
          </cell>
          <cell r="L121" t="str">
            <v>MONTO US$</v>
          </cell>
        </row>
        <row r="122">
          <cell r="B122" t="str">
            <v>Antônio Alberto Fróes Schettino (obrigatoriedade legal)</v>
          </cell>
          <cell r="L122">
            <v>250</v>
          </cell>
        </row>
        <row r="123">
          <cell r="B123" t="str">
            <v>Antônio Alberto Fróes Schettino (Comissão)</v>
          </cell>
        </row>
        <row r="125">
          <cell r="B125" t="str">
            <v xml:space="preserve">HONORARIOS PROFESIONALES      </v>
          </cell>
          <cell r="L125">
            <v>250</v>
          </cell>
        </row>
        <row r="126">
          <cell r="B126" t="str">
            <v xml:space="preserve">SERVICIO DE ASESORIA LEGAL    </v>
          </cell>
          <cell r="L126">
            <v>930</v>
          </cell>
        </row>
        <row r="127">
          <cell r="B127" t="str">
            <v>JAGEO CONSULTORIA - JEANDRO</v>
          </cell>
        </row>
        <row r="128">
          <cell r="B128" t="str">
            <v>VGR ENG - ANTONIO SCHETTINO - SERV. REF. 01/24</v>
          </cell>
          <cell r="L128">
            <v>2776</v>
          </cell>
        </row>
        <row r="129">
          <cell r="B129" t="str">
            <v>CONTABILIDAD</v>
          </cell>
          <cell r="L129">
            <v>562</v>
          </cell>
        </row>
        <row r="130">
          <cell r="B130" t="str">
            <v>ANDRÉ FERREIRA - LUIS NAVARRO GEOL. SERVIÇOS</v>
          </cell>
        </row>
        <row r="131">
          <cell r="B131" t="str">
            <v>CHRISTIANO SANTOS GOUVEIA (AURA)</v>
          </cell>
        </row>
        <row r="132">
          <cell r="B132" t="str">
            <v>RESULTER - MARLOS MACHADO</v>
          </cell>
        </row>
        <row r="133">
          <cell r="B133" t="str">
            <v>GABRIEL ALMEIDA D. F.</v>
          </cell>
        </row>
        <row r="134">
          <cell r="B134" t="str">
            <v>BARROSO ADV. CIDADNIA ALEX</v>
          </cell>
        </row>
        <row r="135">
          <cell r="B135" t="str">
            <v>CONSULTORIAS</v>
          </cell>
        </row>
        <row r="136">
          <cell r="B136" t="str">
            <v>ADS ADILSON - VAUATION REDCO</v>
          </cell>
        </row>
        <row r="137">
          <cell r="B137" t="str">
            <v>DIALETO TRADUCIÓN</v>
          </cell>
        </row>
        <row r="138">
          <cell r="B138" t="str">
            <v>ASTHURMINE CONSULTORIA</v>
          </cell>
        </row>
        <row r="139">
          <cell r="B139" t="str">
            <v>GASTOS EJECUCION DE PROYECTOS</v>
          </cell>
        </row>
        <row r="140">
          <cell r="B140" t="str">
            <v>Withholding Taxes Costo Proyecto</v>
          </cell>
        </row>
        <row r="141">
          <cell r="B141" t="str">
            <v>SUMAS</v>
          </cell>
          <cell r="L141">
            <v>4518</v>
          </cell>
        </row>
        <row r="143">
          <cell r="B143" t="str">
            <v>GASTOS OPERACIONALES</v>
          </cell>
          <cell r="L143">
            <v>45931</v>
          </cell>
        </row>
        <row r="144">
          <cell r="B144" t="str">
            <v>PASAJES AEREOS</v>
          </cell>
          <cell r="L144">
            <v>4377</v>
          </cell>
        </row>
        <row r="145">
          <cell r="B145" t="str">
            <v>Viagem Chile - Izabela</v>
          </cell>
        </row>
        <row r="146">
          <cell r="B146" t="str">
            <v>Viagem à Brasil - Matias, Alex, Claudio</v>
          </cell>
        </row>
        <row r="147">
          <cell r="B147" t="str">
            <v>Viagem Chile - Enrique R.</v>
          </cell>
        </row>
        <row r="148">
          <cell r="B148" t="str">
            <v>Viagem Chile - Izabela - Ronald</v>
          </cell>
        </row>
        <row r="149">
          <cell r="B149" t="str">
            <v>Viaje Cajati</v>
          </cell>
        </row>
        <row r="150">
          <cell r="B150" t="str">
            <v>Viagem Perú - Claudio H.</v>
          </cell>
        </row>
        <row r="151">
          <cell r="B151" t="str">
            <v>Work Shop - Vale - Ricardo Miranda, Pedro A., Claudio, Eduardo</v>
          </cell>
        </row>
        <row r="152">
          <cell r="B152" t="str">
            <v>GERAL - PA</v>
          </cell>
        </row>
        <row r="153">
          <cell r="B153" t="str">
            <v>Viaje Brasil -  Alex, em cia Enrique</v>
          </cell>
        </row>
        <row r="154">
          <cell r="B154" t="str">
            <v>Viaje Ero Cooper</v>
          </cell>
        </row>
        <row r="155">
          <cell r="B155" t="str">
            <v>Viaje Taboca</v>
          </cell>
        </row>
        <row r="156">
          <cell r="B156" t="str">
            <v>Alex Y Familia</v>
          </cell>
          <cell r="L156">
            <v>4377</v>
          </cell>
        </row>
        <row r="157">
          <cell r="B157" t="str">
            <v>HOTELES</v>
          </cell>
          <cell r="L157">
            <v>0</v>
          </cell>
        </row>
        <row r="158">
          <cell r="B158" t="str">
            <v>MOSAIC - CTV</v>
          </cell>
        </row>
        <row r="159">
          <cell r="B159" t="str">
            <v>CORUMBAENSE</v>
          </cell>
        </row>
        <row r="160">
          <cell r="B160" t="str">
            <v>VISITA CHILE</v>
          </cell>
        </row>
        <row r="161">
          <cell r="B161" t="str">
            <v xml:space="preserve">Visita Araxá </v>
          </cell>
        </row>
        <row r="162">
          <cell r="B162" t="str">
            <v>Work Shop - UFMG</v>
          </cell>
        </row>
        <row r="163">
          <cell r="B163" t="str">
            <v>Viagem Chile - Izabela - Ronald</v>
          </cell>
        </row>
        <row r="164">
          <cell r="B164" t="str">
            <v>Viagem Perú - Claudio H.</v>
          </cell>
        </row>
        <row r="165">
          <cell r="B165" t="str">
            <v>Reunião Ero</v>
          </cell>
        </row>
        <row r="166">
          <cell r="B166" t="str">
            <v>Viaje Brasil -  Alex, em cia Enrique</v>
          </cell>
        </row>
        <row r="167">
          <cell r="B167" t="str">
            <v>Viaje Ero Cooper</v>
          </cell>
        </row>
        <row r="168">
          <cell r="B168" t="str">
            <v>Viaje Taboca</v>
          </cell>
        </row>
        <row r="169">
          <cell r="B169" t="str">
            <v>Alex Y Familia</v>
          </cell>
        </row>
        <row r="170">
          <cell r="B170" t="str">
            <v>Reunião Técnica - Taboca</v>
          </cell>
        </row>
        <row r="171">
          <cell r="B171" t="str">
            <v>Mosaic - Araxa</v>
          </cell>
        </row>
        <row r="172">
          <cell r="B172" t="str">
            <v>Mirante Hotel - Seminario OP - Izabela</v>
          </cell>
        </row>
        <row r="173">
          <cell r="B173" t="str">
            <v>ALIMENTACION</v>
          </cell>
        </row>
        <row r="174">
          <cell r="B174" t="str">
            <v>MOSAIC - CTV - cc</v>
          </cell>
        </row>
        <row r="175">
          <cell r="B175" t="str">
            <v>Aura Minerals -cc</v>
          </cell>
        </row>
        <row r="176">
          <cell r="B176" t="str">
            <v>Corumbaense - cc</v>
          </cell>
        </row>
        <row r="177">
          <cell r="B177" t="str">
            <v>Viaje Chle</v>
          </cell>
        </row>
        <row r="178">
          <cell r="B178" t="str">
            <v>Visita a Araxá</v>
          </cell>
        </row>
        <row r="179">
          <cell r="B179" t="str">
            <v>Almoço Institucional - UFMG - Mosaic - Redco</v>
          </cell>
        </row>
        <row r="180">
          <cell r="B180" t="str">
            <v>Viagem Chile - Izabela - Ronald</v>
          </cell>
        </row>
        <row r="181">
          <cell r="B181" t="str">
            <v>Viagem Cajati</v>
          </cell>
        </row>
        <row r="182">
          <cell r="B182" t="str">
            <v>Viaje a Brasil - Enrique</v>
          </cell>
        </row>
        <row r="183">
          <cell r="B183" t="str">
            <v>Workshop Vale - Almoço Osteria</v>
          </cell>
        </row>
        <row r="184">
          <cell r="B184" t="str">
            <v>Viaje Taboca</v>
          </cell>
        </row>
        <row r="185">
          <cell r="B185" t="str">
            <v>Mosaic Araxá</v>
          </cell>
        </row>
        <row r="186">
          <cell r="B186" t="str">
            <v>Transfer aeroporto Aelx e Claudio, Izabela - Ouro Preto, Aeroporto</v>
          </cell>
        </row>
        <row r="187">
          <cell r="B187" t="str">
            <v>DESPLAZAMIENTO TERRESTRE</v>
          </cell>
        </row>
        <row r="188">
          <cell r="B188" t="str">
            <v>Aura Minerals</v>
          </cell>
        </row>
        <row r="189">
          <cell r="B189" t="str">
            <v>Corumbanse</v>
          </cell>
        </row>
        <row r="190">
          <cell r="B190" t="str">
            <v>Viaje Chle</v>
          </cell>
        </row>
        <row r="191">
          <cell r="B191" t="str">
            <v>Viagem à Brasil - Matias, Alex, Claudio</v>
          </cell>
        </row>
        <row r="192">
          <cell r="B192" t="str">
            <v>Viagem a Araxa - Mosaic, CBMM, Eurochem</v>
          </cell>
        </row>
        <row r="193">
          <cell r="B193" t="str">
            <v>Viajgem Cajati</v>
          </cell>
        </row>
        <row r="194">
          <cell r="B194" t="str">
            <v>Viaje a Brasil - Enrique, Alex</v>
          </cell>
        </row>
        <row r="195">
          <cell r="B195" t="str">
            <v>Work Shop - Vale</v>
          </cell>
        </row>
        <row r="196">
          <cell r="B196" t="str">
            <v>Taboca</v>
          </cell>
        </row>
        <row r="197">
          <cell r="B197" t="str">
            <v>Traslados Claudiney - Junho</v>
          </cell>
        </row>
        <row r="198">
          <cell r="B198" t="str">
            <v>Viagem a Mosaic - Araxa</v>
          </cell>
        </row>
        <row r="199">
          <cell r="B199" t="str">
            <v>Transfer aeroporto Aelx e Claudio, Izabela - Ouro Preto, Aeroporto</v>
          </cell>
        </row>
        <row r="200">
          <cell r="B200" t="str">
            <v xml:space="preserve">GERAL </v>
          </cell>
        </row>
        <row r="201">
          <cell r="B201" t="str">
            <v>FACTORING</v>
          </cell>
        </row>
        <row r="202">
          <cell r="B202" t="str">
            <v>APERTURA BOLETA DE GARANTIA</v>
          </cell>
        </row>
        <row r="203">
          <cell r="B203" t="str">
            <v>CUENTA GARANTIA FACTORING</v>
          </cell>
        </row>
        <row r="204">
          <cell r="B204" t="str">
            <v>CAPACITACION PERSONAL</v>
          </cell>
        </row>
        <row r="205">
          <cell r="B205" t="str">
            <v>GASTOS BOLETA GARANTIA</v>
          </cell>
        </row>
        <row r="206">
          <cell r="B206" t="str">
            <v>SUMAS</v>
          </cell>
          <cell r="L206">
            <v>4377</v>
          </cell>
        </row>
        <row r="208">
          <cell r="B208" t="str">
            <v>GASTOS ADMINISTRACION</v>
          </cell>
          <cell r="L208">
            <v>45931</v>
          </cell>
        </row>
        <row r="209">
          <cell r="B209" t="str">
            <v>TARJETA DE CREDITO EMPRESARIAL</v>
          </cell>
        </row>
        <row r="210">
          <cell r="B210" t="str">
            <v>GASTOS BANCARIOS</v>
          </cell>
          <cell r="L210">
            <v>51</v>
          </cell>
        </row>
        <row r="211">
          <cell r="B211" t="str">
            <v>ALQUILER OFICINA</v>
          </cell>
          <cell r="L211">
            <v>1130</v>
          </cell>
        </row>
        <row r="212">
          <cell r="B212" t="str">
            <v>TRANSFERENCIAS CUENTA BCO ITAU</v>
          </cell>
        </row>
        <row r="213">
          <cell r="B213" t="str">
            <v>OTROS GASTOS</v>
          </cell>
          <cell r="L213">
            <v>780</v>
          </cell>
        </row>
        <row r="214">
          <cell r="B214" t="str">
            <v>SUMAS</v>
          </cell>
          <cell r="L214">
            <v>1961</v>
          </cell>
        </row>
        <row r="216">
          <cell r="B216" t="str">
            <v>ACTIVOS</v>
          </cell>
          <cell r="L216">
            <v>45931</v>
          </cell>
        </row>
        <row r="217">
          <cell r="B217" t="str">
            <v>COMPRA EQUIPOS DE COMPUTO - IZABELA</v>
          </cell>
        </row>
        <row r="218">
          <cell r="B218" t="str">
            <v>COMPRA DE SOFTWARE</v>
          </cell>
        </row>
        <row r="219">
          <cell r="B219" t="str">
            <v>SUMAS</v>
          </cell>
          <cell r="L219" t="str">
            <v xml:space="preserve"> -   </v>
          </cell>
        </row>
        <row r="221">
          <cell r="B221" t="str">
            <v>PAGO IMPUESTO MENSUAL</v>
          </cell>
          <cell r="L221">
            <v>45931</v>
          </cell>
        </row>
        <row r="222">
          <cell r="B222" t="str">
            <v xml:space="preserve">DETALLE </v>
          </cell>
          <cell r="L222" t="str">
            <v>MONTO US$</v>
          </cell>
        </row>
        <row r="223">
          <cell r="B223" t="str">
            <v>IMPOSTO TRABALHISTAS - FGTS</v>
          </cell>
          <cell r="L223">
            <v>4924</v>
          </cell>
        </row>
        <row r="224">
          <cell r="B224" t="str">
            <v>IMPOSTOS TRABALHISTAS - CONT. SOCIAL</v>
          </cell>
          <cell r="L224">
            <v>35828</v>
          </cell>
        </row>
        <row r="225">
          <cell r="B225" t="str">
            <v>ISS -PREFEITURA MUNICIPAL DE NOVA LIMA</v>
          </cell>
          <cell r="L225">
            <v>6595</v>
          </cell>
        </row>
        <row r="226">
          <cell r="B226" t="str">
            <v>OTROS IMPUESTOS FEDERAIS - CSRF, CSLL.</v>
          </cell>
          <cell r="L226">
            <v>189</v>
          </cell>
        </row>
        <row r="227">
          <cell r="B227" t="str">
            <v>IMPOSTOS</v>
          </cell>
        </row>
        <row r="228">
          <cell r="B228" t="str">
            <v>IOF</v>
          </cell>
        </row>
        <row r="229">
          <cell r="B229" t="str">
            <v>DARF        - 49.198.154/0001-29 -2372</v>
          </cell>
          <cell r="L229">
            <v>15755</v>
          </cell>
        </row>
        <row r="230">
          <cell r="B230" t="str">
            <v>SECRETARIA DA FAZENDA</v>
          </cell>
        </row>
        <row r="231">
          <cell r="B231" t="str">
            <v>que es??</v>
          </cell>
          <cell r="L231">
            <v>4669</v>
          </cell>
        </row>
        <row r="232">
          <cell r="B232" t="str">
            <v>SUMAS</v>
          </cell>
          <cell r="L232">
            <v>67960</v>
          </cell>
        </row>
        <row r="235">
          <cell r="B235" t="str">
            <v>CUENTA CORRIENTE EE.RR</v>
          </cell>
          <cell r="L235">
            <v>45931</v>
          </cell>
        </row>
        <row r="236">
          <cell r="B236" t="str">
            <v xml:space="preserve">DETALLE </v>
          </cell>
          <cell r="L236" t="str">
            <v>MONTO US$</v>
          </cell>
        </row>
        <row r="237">
          <cell r="B237" t="str">
            <v>REDCO Cuenta Corriente EERR</v>
          </cell>
        </row>
        <row r="238">
          <cell r="B238" t="str">
            <v>REDCO Consultants (BVI)</v>
          </cell>
        </row>
        <row r="239">
          <cell r="B239" t="str">
            <v>REDCROSS Servicios BackOffice</v>
          </cell>
        </row>
        <row r="240">
          <cell r="B240" t="str">
            <v>SUMAS</v>
          </cell>
          <cell r="L240">
            <v>0</v>
          </cell>
        </row>
        <row r="243">
          <cell r="B243" t="str">
            <v>COMPRA DE MONEDA EXTRANJERA</v>
          </cell>
          <cell r="L243">
            <v>45931</v>
          </cell>
        </row>
        <row r="244">
          <cell r="B244" t="str">
            <v>TRANSFERENCIA A CUENTA</v>
          </cell>
        </row>
        <row r="245">
          <cell r="B245" t="str">
            <v>SUMAS</v>
          </cell>
          <cell r="L245" t="str">
            <v xml:space="preserve"> -   </v>
          </cell>
        </row>
        <row r="247">
          <cell r="B247" t="str">
            <v>COSTO REMUNERACIONES</v>
          </cell>
          <cell r="L247">
            <v>3193</v>
          </cell>
        </row>
        <row r="248">
          <cell r="B248" t="str">
            <v>COSTO HONORARIOS</v>
          </cell>
          <cell r="L248">
            <v>4518</v>
          </cell>
        </row>
        <row r="249">
          <cell r="B249" t="str">
            <v>GASTOS OPERACIONALES</v>
          </cell>
          <cell r="L249">
            <v>4377</v>
          </cell>
        </row>
        <row r="250">
          <cell r="B250" t="str">
            <v>GASTOS ADMINISTRACION</v>
          </cell>
          <cell r="L250">
            <v>1961</v>
          </cell>
        </row>
        <row r="251">
          <cell r="B251" t="str">
            <v>ACTIVOS</v>
          </cell>
          <cell r="L251" t="str">
            <v xml:space="preserve"> -     </v>
          </cell>
        </row>
        <row r="252">
          <cell r="B252" t="str">
            <v>IMPUESTOS</v>
          </cell>
          <cell r="L252">
            <v>67960</v>
          </cell>
        </row>
        <row r="253">
          <cell r="B253" t="str">
            <v>SUMA GASTOS FIJOS  MES</v>
          </cell>
          <cell r="L253">
            <v>82009</v>
          </cell>
        </row>
        <row r="254">
          <cell r="B254" t="str">
            <v>CUENTA CORRIENTE EE.RR</v>
          </cell>
          <cell r="L254">
            <v>0</v>
          </cell>
        </row>
        <row r="255">
          <cell r="B255" t="str">
            <v>COMPRA DE MONEDA EXTRANJERA</v>
          </cell>
          <cell r="L255">
            <v>0</v>
          </cell>
        </row>
        <row r="256">
          <cell r="B256" t="str">
            <v>TOTAL GASTO MENSUAL</v>
          </cell>
          <cell r="L256">
            <v>82009</v>
          </cell>
        </row>
        <row r="258">
          <cell r="B258" t="str">
            <v>SALDO NETO</v>
          </cell>
          <cell r="L258">
            <v>244856</v>
          </cell>
        </row>
        <row r="260">
          <cell r="B260" t="str">
            <v>SALDO FINAL EN CUENTA</v>
          </cell>
          <cell r="L260">
            <v>417177</v>
          </cell>
        </row>
        <row r="261">
          <cell r="L261">
            <v>426860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CB4A5DE3-137B-4D5C-8CD9-5AD48AE07F21}" userId="S::ecuevas@redcoglobal.com::1895eeda-fe30-4958-a15c-75961a407ef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945.658942708331" backgroundQuery="1" createdVersion="8" refreshedVersion="8" minRefreshableVersion="3" recordCount="588" xr:uid="{141CECEB-621A-4B28-A233-1845190B2CAA}">
  <cacheSource type="external" connectionId="6"/>
  <cacheFields count="6">
    <cacheField name="Item" numFmtId="0">
      <sharedItems count="6">
        <s v="Sueldo"/>
        <s v="Externo"/>
        <s v="Operacional"/>
        <s v="Administración"/>
        <s v="REDCROSS/REDTEC"/>
        <s v="Item 3" u="1"/>
      </sharedItems>
    </cacheField>
    <cacheField name="Descripción" numFmtId="0">
      <sharedItems/>
    </cacheField>
    <cacheField name="Fecha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5"/>
    </cacheField>
    <cacheField name="Monto" numFmtId="0">
      <sharedItems containsSemiMixedTypes="0" containsString="0" containsNumber="1" minValue="0" maxValue="316.80790000000002"/>
    </cacheField>
    <cacheField name="Días (Fecha)" numFmtId="0" databaseField="0">
      <fieldGroup base="2">
        <rangePr groupBy="days" startDate="2025-01-01T00:00:00" endDate="2025-12-02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5"/>
        </groupItems>
      </fieldGroup>
    </cacheField>
    <cacheField name="Meses (Fecha)" numFmtId="0" databaseField="0">
      <fieldGroup base="2">
        <rangePr groupBy="months" startDate="2025-01-01T00:00:00" endDate="2025-12-02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6041.388542245368" backgroundQuery="1" createdVersion="8" refreshedVersion="8" minRefreshableVersion="3" recordCount="5712" xr:uid="{C1BF25C9-45EE-45D1-98CC-F15566FD7514}">
  <cacheSource type="external" connectionId="3"/>
  <cacheFields count="7">
    <cacheField name="Categoría" numFmtId="0">
      <sharedItems count="13">
        <s v="Sueldo"/>
        <s v="Externo"/>
        <s v="Adicional"/>
        <s v="Inversión"/>
        <s v="Operacional"/>
        <s v="Administración"/>
        <s v="REDCROSS"/>
        <s v="EERR"/>
        <s v="Impuesto"/>
        <s v="Crédito"/>
        <s v="REDTEC"/>
        <s v="R+" u="1"/>
        <s v="Oficina" u="1"/>
      </sharedItems>
    </cacheField>
    <cacheField name="Detalle" numFmtId="0">
      <sharedItems count="451">
        <s v="Alex Figueroa"/>
        <s v="Alex Pacheco C."/>
        <s v="Benjamin Baeza"/>
        <s v="BRANCO IGNACIO CAMPOS"/>
        <s v="Bastian Astudillo Quilaqueo"/>
        <s v="Carolina Arcos"/>
        <s v="Cristian Cavieres"/>
        <s v="Claudio Hernandez"/>
        <s v="Claudio Delgado Soto"/>
        <s v="Cristián  Alarcón"/>
        <s v="Cristóbal Poblete"/>
        <s v="Cristobal Concha Yutronic"/>
        <s v="Cristóbal Ventura"/>
        <s v="Daniela Oyarzo E."/>
        <s v="Darwin Varas"/>
        <s v="Diego Muñoz"/>
        <s v="Diego Muñoz Bono premio"/>
        <s v="Eduardo Cuevas"/>
        <s v="Eduardo Morales"/>
        <s v="Emilio Sánchez"/>
        <s v="Erick Sanhueza Correa"/>
        <s v="Felipe Rojas Z."/>
        <s v="Evelyn Quezada"/>
        <s v="Felipe Lira A."/>
        <s v="Fernando Rodriguez"/>
        <s v="Freddy Díaz"/>
        <s v="Freddy Díaz reintegro impuesto único dic"/>
        <s v="Germán Soto"/>
        <s v="Gerson Alfaro"/>
        <s v="Gerson Alfaro Bono premio"/>
        <s v="Isidora Figueroa"/>
        <s v="Ignacio Navarrete"/>
        <s v="Javier  Salazar"/>
        <s v="Joél Pérez "/>
        <s v="Jonathan Galvez"/>
        <s v="José Pizarro"/>
        <s v="Marcelo Mendoza"/>
        <s v="Martín Figueroa"/>
        <s v="Matías Cid Uslar"/>
        <s v="Matías Fuentes B."/>
        <s v="Mauricio Melendez"/>
        <s v="Nicolás Ayarza D."/>
        <s v="Nicolás Sanzana"/>
        <s v="Olesya Dashavskaya"/>
        <s v="Pablo Quiero"/>
        <s v="Pedro Aguiluz P."/>
        <s v="Ricardo Miranda D."/>
        <s v="Rodrigo Báez"/>
        <s v="Rodrigo Valdes"/>
        <s v="Roxana Avilés"/>
        <s v="Victor Mohana Tapia"/>
        <s v="Victor Mohana Tapia Bono premio"/>
        <s v="Rodrigo Andrade"/>
        <s v="Carol Andrea Valdenegro"/>
        <s v="Eduardo Cepeda"/>
        <s v="Gabriel Ojeda"/>
        <s v="MATIAS NICOLAS GUERRERO"/>
        <s v="MAURICIO TOMAS PERALTA"/>
        <s v="VICENTE ALBERTO JIMENEZ"/>
        <s v="Fabián Parra"/>
        <s v="Nicole Díaz Santana"/>
        <s v="Valentina Ramos Olivera"/>
        <s v="Martín Vicencio Montealegre"/>
        <s v="Alvaro Cuevas Pradenas"/>
        <s v="Matías Gallardo  Zapata"/>
        <s v="Tiffany Perez"/>
        <s v="Nelson Rumino acuerdo finiquito"/>
        <s v="Alex Remolcoy Guenteo"/>
        <s v="Alvaro Soto Galaz"/>
        <s v="Andrés Pardo Paredes"/>
        <s v="Enzo Ruíz Romo"/>
        <s v="Ignacia Alvarez"/>
        <s v="Juan Luis Pizarro"/>
        <s v="Renán Argandoña"/>
        <s v="Gersson Rivera"/>
        <s v="Anais Ramirez Bustos"/>
        <s v="Impuesto Unico Trabajadores"/>
        <s v="Bonos Anuales 2024"/>
        <s v="Ret. Judicial"/>
        <s v="Aguinaldos"/>
        <s v="Cotizaciones Previsionales"/>
        <s v="Patricio Vegara (EEUU)"/>
        <s v="Cristián Villarroel"/>
        <s v="Dagoberto Cabañas"/>
        <s v="Cristian Caviedes"/>
        <s v="Luis Miranda Vasquéz asesoría prev. de riesgos"/>
        <s v="Leonel Robledo eval.escenarios estrategico  proyecto Los Bronces"/>
        <s v="Juan De Vera"/>
        <s v="BpM Consultants SpA (C.Castañeda)"/>
        <s v="Consultora y Aess. Plataforma Dinámica (Rodrigo Moya)"/>
        <s v="Luis Bernal"/>
        <s v="Carlos Puga"/>
        <s v="Cesar Orellana"/>
        <s v="Sinncronia Spa.( E.Molina)"/>
        <s v="Freddy Centeno (planos)"/>
        <s v="Eduardo Rojas (solicitud P.V)"/>
        <s v="Patricio Zuñiga"/>
        <s v="Alex Calderon"/>
        <s v="Fernando Contador Comercial"/>
        <s v="Fabián Aguirre"/>
        <s v="Juan Rivera"/>
        <s v="Dinamica -Rodrigo Moya"/>
        <s v="Grupo Cielo Negro"/>
        <s v="Leonel Alvarado"/>
        <s v="Daniel  Ordoñez"/>
        <s v="Claudio Fernández"/>
        <s v="Rocscience , Inc"/>
        <s v="Segundo Fuentes "/>
        <s v="Felipe León Consulting Chile SPA"/>
        <s v="Eugenio Santander"/>
        <s v="RU Innovación"/>
        <s v="Ramón Pávez"/>
        <s v="GMT Servicio Ingeneiría"/>
        <s v="Herrennecht Chile Limitada Fcat. 3890"/>
        <s v="Mauricio Mendez"/>
        <s v="Beacon Resourcing "/>
        <s v="Anais Ramiez"/>
        <s v="Diferencia de cambio Pagos Serv. ext. US$"/>
        <s v="Impto. 10% Retenidos Honorarios"/>
        <s v="Pago tarjeta de crédito a "/>
        <s v="Pasajes a Rusia Selidgar"/>
        <s v="Boletas de garantía CMP intereses"/>
        <s v="ATX Mexico (M365 Business Standard-simple-Oficce 365)"/>
        <s v="ROCSCIENCE Inc liencia software"/>
        <s v="SGS MINERALS S.A. 50%"/>
        <s v="Inv. y Asesorías Huerquehue SpA"/>
        <s v="Reemboslo Gtos. Viaje personal Redco"/>
        <s v="Reemboslo Gtos. Viaje Juan Rivera"/>
        <s v="Trompa Producciones Servicio Publicitario mensual/ Motopark "/>
        <s v="Sally Bendersky capacitación liderazgo gerente"/>
        <s v="Comisión Minera cuotas sociales R.Miranda-F.Rojas."/>
        <s v="Ana Prat tarjetas visita"/>
        <s v="Wujjuu Spa. boligrafos y portcredencialsuadernos, lapicez"/>
        <s v="Com Mauricio Pastenes ropa corporativa"/>
        <s v="Owlo SPA (Drakorian)  mantención mensual IA"/>
        <s v="Asesoría Biba expansor internet ofs"/>
        <s v="MiningMath Lic.vence 12-06-25"/>
        <s v="Anna Sultseva traductora ruso"/>
        <s v="RedNegocios (Codelco) "/>
        <s v="Achilles (Regic)"/>
        <s v="Quadrem (Sap ariba)"/>
        <s v="Chile Proveedores"/>
        <s v="ACHS Factura 519219 evaluaciones"/>
        <s v="CámaraChilena Canadiende "/>
        <s v="SICEP inscripción como proveedor "/>
        <s v="Pulso Salud examenes ingnieria viaje Perú"/>
        <s v="Rodrigo Valdes rend. gtos.viaje "/>
        <s v="GECAMIN auspicio + Minning Electric+ GEOMIN+ Hotel estadia visitas Brasil/Trompa producciones"/>
        <s v="Compras arts. PC-Pantallas - soportes, mousse"/>
        <s v="Compra pasajes a Rusia (2)"/>
        <s v="Inscripcion SIMIN V.Mohana y M.Gallardo"/>
        <s v="Rafael Palacios  (Prep. SICEP)"/>
        <s v="Act. Página WEB  A. Aguilera"/>
        <s v="Revista Chile B2B media Group/Oubkica. Eridekta"/>
        <s v="Colegio Geológos accseo FEXMIN"/>
        <s v="Hotel Patagonia Taller directores Redco"/>
        <s v="Aloprint SPA "/>
        <s v="Instituto  de Ingeneiros de Minas de Chile"/>
        <s v="The University Westerm Australia US$"/>
        <s v="Onward Display Limited US$"/>
        <s v="Thorns Group US$"/>
        <s v="Cámera Chileno Britanica de Comercio"/>
        <s v="Fraktools Studio Design SpA"/>
        <s v="MEJORAS PROP. AJENA:  REMODELACION OF. 1502"/>
        <s v="Gladys Myriam Muñoz "/>
        <s v="Isabel Marchant"/>
        <s v="Cinthia Moreno"/>
        <s v="Alberto Reinao (Procesos Defontana)"/>
        <s v="Cynthia Ordoñez (RRHH)"/>
        <s v="Magaly Esquivel"/>
        <s v="Felipe Hidalgo"/>
        <s v="Alejandro Cuadra"/>
        <s v="Reemplazo serv aseo of (vacaciones Gladys)"/>
        <s v="Victoria Franz Contabilidad"/>
        <s v="Max Leclerc  (Comercial Redtec)"/>
        <s v="2 Alumnos práctica porfesional"/>
        <s v="Back Office - REDCROSS"/>
        <s v="Enrique Rubio"/>
        <s v="Aguinaldo"/>
        <s v="Gastos Bancarios"/>
        <s v="Comunidad Edificio kennedy  "/>
        <s v="Caja Chica "/>
        <s v="ENEL "/>
        <s v="ENTEL PCS Moviles"/>
        <s v="ENTEL Red fija e internet"/>
        <s v="Transp. Nueva Apoquindo  Ltda."/>
        <s v="Salcedo &amp; Cia.  Limitada (Asesoria Tributaria)"/>
        <s v="Andes IP Abogados Ltda-Apelación Reg. Marca R+"/>
        <s v="Seguro CHUBB REDCO"/>
        <s v="Fundación Arturo López Pérez mayo"/>
        <s v="Prisa S.A. arts. Aseso y cocina"/>
        <s v="Gtos. personal Redco gtos vrs. (arriedo cancha)"/>
        <s v="Escudero Lobos y Paredes Abogados (laboral)"/>
        <s v="Software DEFONTANA (Implementacion + 3M servicio)"/>
        <s v="Nespresso  Chile S.A."/>
        <s v="Cintamatrix juego toner impresora"/>
        <s v="Accor Chile (Hotel Nova capacitación Redco)+ Dic. Hotel Double Tree almuerzo fin año"/>
        <s v="Compra Kardek RRHH"/>
        <s v="Patente Comercial "/>
        <s v="Contribuciones Bs. Rs"/>
        <s v="Adecco RRHH (contador RRHH)"/>
        <s v="Reembolso gastos regalos jardin E.R. / gastos viaje C.Moreno"/>
        <s v="Reembolso gastos regalos jardin E.R. "/>
        <s v="Exequiel Adonis rep.vrs. Of/mant. extractores y cambio tubos fluorescentes a LED"/>
        <s v="R + Ingineering Arriendo of. Dic + gtia. Of. 1502"/>
        <s v="Gastos Comunes oficina 1502 + Enel+aseo+Prisa"/>
        <s v="Inversiones SPB Limitada Comisión corretaje arr.of.1502"/>
        <s v="2 pizarras  para producción-seguimientos EdP-Impresiones "/>
        <s v="Seguro Camioneta/Tag  "/>
        <s v="Seguro de vida E.R. Colmena"/>
        <s v="GeoVictoria (reloj control)"/>
        <s v="Inmob. Reconquista estac.199 R.V."/>
        <s v="Livehome SPA aromatizaicón ofs."/>
        <s v="Big Box regalos día de la mujer/ Regalos personal Redco/1ro mayo"/>
        <s v="Covarrubias y Cia (Fda. Olmedo) gestión ENAPI"/>
        <s v="Formas Group actividad personal Redco, cierre 2025"/>
        <s v="Cristian Echeverria arquitecto"/>
        <s v="Fundación Choshuenco donación"/>
        <s v="Beneficio personal "/>
        <s v="DSIGNOS SpA  mueble of."/>
        <s v="Patente camioneta FORD 2024 y 2025"/>
        <s v="IVA DEBITO FISCAL"/>
        <s v="IMPTO.ADICIONAL 20%"/>
        <s v="Dividendo Hipotecario Of."/>
        <s v="Forgat Crédito Bco.Chile 18 cuotas Julio-24 a Dic.25"/>
        <s v="FORUM Crédito compra 2 camionetas (ER) ( RM) "/>
        <s v="Cta. Cte. BVI"/>
        <s v="Redtec refacturación a Redco + IVA"/>
        <s v="Redtec cta. cte. EEERR"/>
        <s v="Cta. Cte. EERR Redco USA"/>
        <s v="Cta. Cte. EERR R+"/>
        <s v="DIF CAMBIO"/>
        <s v="BARRERA VERGARA JORMAN IVAN"/>
        <s v="BARRERA VERGARA JORMAN IVAN (BONO)"/>
        <s v="CATALAN CORDOVA, CARLOS EDUARDO"/>
        <s v="CATALAN CORDOVA, CARLOS EDUARDO (BONO)"/>
        <s v="CORI CORDOVA RODRIGO ALVARO"/>
        <s v="CORI CORDOVA RODRIGO ALVARO (BONO)"/>
        <s v="ESPINOZA GUZMAN, GINO SEGUNDO"/>
        <s v="RIOS MORI, KEVIN PERCY"/>
        <s v="RIOS MORI, KEVIN PERCY (BONO)"/>
        <s v="TORRES CALLUPE, EDWARD CRISTIAN"/>
        <s v="TORRES CALLUPE, EDWARD CRISTIAN (BONO)"/>
        <s v="MANDUJANO LOPEZ, JHONATAN FREDY"/>
        <s v="PACHECO CENTENO JOHNNY"/>
        <s v="ARIAS CARLOS, VICTOR ALBERTO"/>
        <s v="TADEO FABIAN ARNOLD ISAIAS"/>
        <s v="TADEO FABIAN ARNOLD ISAIAS (BONO)"/>
        <s v="ORNA HUAMÁN JAROLD CHRIS"/>
        <s v="ORNA HUAMÁN JAROLD CHRIS (DELTA)"/>
        <s v="SANCHEZ TRUJILLO EDUARDO"/>
        <s v="HUAYNATE MEZA JHONATAN RICHARD"/>
        <s v="LAMA ESTRATI, EDUARDO"/>
        <s v="LAMA ESTRATI, EDUARDO Bono "/>
        <s v="CHUMPITAZ BARBOZA LUIS ALBERTO"/>
        <s v="VILLANUEVA PANOCA, MATEO ROLANDO"/>
        <s v="SORRENTINO CARBONI RUI CARLOS"/>
        <s v="RENZO MANUEL MISARI"/>
        <s v="LIVIA ESTRADA JOSEPH MIGUEL"/>
        <s v="PALOMINO AVALOS MANUEL ALEXANDER"/>
        <s v="LUPINTA MAMANI WALTER"/>
        <s v="LOZADA ORE MARCO ANTONIO"/>
        <s v="BENEFICIOS SOCIALES"/>
        <s v="MARIN CHUJANDAMA FELIPE"/>
        <s v="OFIR EDUARDO HUATUCO LOZANO"/>
        <s v="CARDENAS PORRAS VICTOR"/>
        <s v="JOSEPH LIVIA ESTRADA"/>
        <s v="PALOMINO AVAL MANUEL"/>
        <s v="MORANTE CARLOS"/>
        <s v="KENARY MELGAR MONTERO"/>
        <s v="HUAMAN MARTIN MARIA"/>
        <s v="ALEJANDRA MONTALVAN ARATIA"/>
        <s v="NIKOLAY QUISPE ESPINOZA"/>
        <s v="HEIDI KIARA LA ROSA"/>
        <s v="LUPINTA WALTER"/>
        <s v="CAMASCA ÑAUPARI LUIS FERNANDO"/>
        <s v="MARTIN  JESÚS ROBLES PEREZ"/>
        <s v="TAFUR BORJAS BETZABE YAJAIRA"/>
        <s v="ANGELO ALEJANDRO PATRI CARBAJAL"/>
        <s v="LUIS ALBERTO AYALA CARAZAS"/>
        <s v="MIRIAM ESTHER RODRIGUEZ CANDIA"/>
        <s v="NICOLAS ALFONSO DIAZ RAMOS"/>
        <s v="SERVICIOS SGS"/>
        <s v="SERVICIO HOMOLOGACION-CERTIFICACION"/>
        <s v="Instalación Software Risk pago a YURY ALMEYDA"/>
        <s v="ESTUDIO PELIGRO SISMICO UNIDAD MINERA CONSTANCIA"/>
        <s v="AUDITORES Y CONSULTORES EN SEGURIDAD"/>
        <s v="EMET ADVISORY PAGO 1 FASE 1"/>
        <s v="EMET ADVISORY PAGO 2/2 FASE 1"/>
        <s v="ZER GEOSYSTEM PERÚ"/>
        <s v="Pago a WALSH por Proyecto Cobriza 1/2 "/>
        <s v="CNN Mejoras operacionales - Fernando Sagastegui"/>
        <s v="Paiol UG Project - AQUIFER MANAGEMENT CONSULTING S.A.C"/>
        <s v="PAGO DE 40% - MODELO HIDROGEOLÓGICO"/>
        <s v="AQUIFER - EVALUACION HIDROGEOLOGICA A NIVEL SCOPING DEL PROYECTO LAS BAMBAS (FURNAS)"/>
        <s v="AQUIFER - EVALUACION HIDROGEOLOGICA PARA EL DISENO DEL PROYECTO MINERO MINSUR (SELIGDAR)"/>
        <s v="MINE PRECISION - PROYECTO MEJORAS OPERACIONALES DE CNN-CMP"/>
        <s v="WILLY SALDAÑA CORTEZ -  REVISIÓN DE MODELO HIDROGEOLÓGICO PARA EL PROYECTO EQUINOX GOLD"/>
        <s v="VIAJE EDUARDO LAMA RENSO MISARI - VIAJE A CHILE"/>
        <s v="WALTER LUPINTA - VIAJE Y ESTADIA"/>
        <s v="VIAJE A CHILE"/>
        <s v="COMPRA PASAJES CLAUDIO HERNANDEZ"/>
        <s v="Boleto Santiago Lima Santiago pax Freddy// Boleto Santiago Lima Santiago pax Fernando//Boleto Chiclayo Lima Chiclayo pax Eduardo C."/>
        <s v="Compra pasajes a Chile aniversario Redco"/>
        <s v="Rembolso compra pasajes PERUMIN"/>
        <s v="Compra Pjes. Edo. Lama y J. Barrera- PERUMIN"/>
        <s v="PASAJES EUGENIO SANTANDER"/>
        <s v="PASAJES CINTHIA MORENO"/>
        <s v="PASAJES: FELIPE ROJAS/ MANUEL PALOMINOS/KEVIN RIOS"/>
        <s v="PASJAE: MANUEL PALOMINO"/>
        <s v="JAROLD ORNA - VIATICOS A CHILE"/>
        <s v="EDUARDO LAMA - VIATICOS A CHILE"/>
        <s v="JORMAN BARRERA - VIATICOS A CANADA"/>
        <s v="EDWAR CALLUPE"/>
        <s v="TERRA HOTELES "/>
        <s v="JORMAN BARRERA - VIATICOS CHILE"/>
        <s v="JORMAN BARRERA - VIATICOS BRASIL"/>
        <s v="CLAUDIO HERNNADEZ PASAJE"/>
        <s v="ESTADÍA FREDDY DÍAZ"/>
        <s v="ESTADÍA FERNANDO RODRÍGUEZ"/>
        <s v="TERRA HOTELES PERU LH"/>
        <s v="RESERVA-A-3-AL-5-SET-JUAN FRANCISCO SAN MARTIN"/>
        <s v="2 noches de estadía  del equipo de ingenieros provenientes de Chile visita a la unidad minera Cerro Lindo"/>
        <s v="CANCELACION HOTEL PERUMIN"/>
        <s v="Reeembolso gastos viaje a Mina Pitinga- Kevin Rios"/>
        <s v="TRASLADOS AREQUIPA 2DO. PAGO"/>
        <s v="HOLIDAY INN EXPRESS- CINTHIA MORENO"/>
        <s v="CORPORACION HOTELERA PIURA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SERVICIO DE ASESORIA LEGAL    "/>
        <s v="SERVICIO CONTABLE             "/>
        <s v="COMPRA EQUIPOS DE COMPUTO"/>
        <s v="COMPRAS REDTEC GLOBAL"/>
        <s v="COMPRA DE SOFTWARE"/>
        <s v="IGV"/>
        <s v="IGV NO DOMICILIADO (CREDITO POSTERIOR)"/>
        <s v="RENTA"/>
        <s v="PLANILLA"/>
        <s v="REDCO Cuenta Corriente EERR"/>
        <s v="REDCO Consultants (BVI)"/>
        <s v="REDCROSS Servicios BackOffice"/>
        <s v="REDCO Serv. Ing. Ferrobambas"/>
        <s v="Nicélio José dos Santos - SM"/>
        <s v="Maria Célia P. Fonseca - SM"/>
        <s v="Maria Célia P. Fonseca - FERIAS (15d)"/>
        <s v="Nicélio José dos Santos - RESCISSÃO"/>
        <s v="Izabela Alves Camisassa"/>
        <s v="Ronald Leal"/>
        <s v="Antônio Alberto Fróes Schettino (obrigatoriedade legal)"/>
        <s v="Antônio Alberto Fróes Schettino (Comissão)"/>
        <s v="Antônio Alberto Fróes Schettino Bonus-Dividendos"/>
        <s v="JAGEO CONSULTORIA - JEANDRO"/>
        <s v="VGR ENG - ANTONIO SCHETTINO - SERV. REF. 01/24"/>
        <s v="CONTABILIDAD"/>
        <s v="ANDRÉ FERREIRA - LUIS NAVARRO GEOL. SERVIÇOS"/>
        <s v="CHRISTIANO SANTOS GOUVEIA (AURA)"/>
        <s v="RESULTER - MARLOS MACHADO"/>
        <s v="GABRIEL ALMEIDA D. F."/>
        <s v="BARROSO ADV. CIDADNIA ALEX"/>
        <s v="CONSULTORIAS"/>
        <s v="ADS ADILSON - VAUATION REDCO"/>
        <s v="DIALETO TRADUCIÓN"/>
        <s v="ASTHURMINE CONSULTORIA"/>
        <s v="Viagem Chile - Izabela"/>
        <s v="Viagem à Brasil - Matias, Alex, Claudio"/>
        <s v="Viagem Chile - Enrique R."/>
        <s v="Viagem Chile - Izabela - Ronald"/>
        <s v="Viaje Cajati"/>
        <s v="Viagem Perú - Claudio H."/>
        <s v="Work Shop - Vale - Ricardo Miranda, Pedro A., Claudio, Eduardo"/>
        <s v="GERAL - PA"/>
        <s v="Viaje Brasil -  Alex, em cia Enrique"/>
        <s v="Viaje Ero Cooper"/>
        <s v="Viaje Taboca"/>
        <s v="Alex Y Familia"/>
        <s v="MOSAIC - CTV"/>
        <s v="CORUMBAENSE"/>
        <s v="VISITA CHILE"/>
        <s v="Visita Araxá "/>
        <s v="Work Shop - UFMG"/>
        <s v="Reunião Ero"/>
        <s v="Reunião Técnica - Taboca"/>
        <s v="Mosaic - Araxa"/>
        <s v="Mirante Hotel - Seminario OP - Izabela"/>
        <s v="Exposibram e outros"/>
        <s v="MOSAIC - CTV - cc"/>
        <s v="Aura Minerals -cc"/>
        <s v="Corumbaense - cc"/>
        <s v="Viaje Chle"/>
        <s v="Visita a Araxá"/>
        <s v="Almoço Institucional - UFMG - Mosaic - Redco"/>
        <s v="Viagem Cajati"/>
        <s v="Viaje a Brasil - Enrique"/>
        <s v="Workshop Vale - Almoço Osteria"/>
        <s v="Mosaic Araxá"/>
        <s v="Transfer aeroporto Aelx e Claudio, Izabela - Ouro Preto, Aeroporto"/>
        <s v="Exposibram "/>
        <s v="Aura Minerals"/>
        <s v="Corumbanse"/>
        <s v="Viagem a Araxa - Mosaic, CBMM, Eurochem"/>
        <s v="Viajgem Cajati"/>
        <s v="Viaje a Brasil - Enrique, Alex"/>
        <s v="Work Shop - Vale"/>
        <s v="Taboca"/>
        <s v="Traslados Claudiney - Junho"/>
        <s v="Viagem a Mosaic - Araxa"/>
        <s v="Transfer Equinox, Nexa"/>
        <s v="APERTURA BOLETA DE GARANTIA"/>
        <s v="GASTOS BOLETA GARANTIA"/>
        <s v="TRANSFERENCIAS CUENTA BCO ITAU"/>
        <s v="COMPRA EQUIPOS DE COMPUTO - IZABELA"/>
        <s v="IMPOSTO TRABALHISTAS - FGTS"/>
        <s v="IMPOSTOS TRABALHISTAS - CONT. SOCIAL"/>
        <s v="ISS -PREFEITURA MUNICIPAL DE NOVA LIMA"/>
        <s v="OTROS IMPUESTOS FEDERAIS - CSRF, CSLL."/>
        <s v="IMPOSTOS"/>
        <s v="IOF"/>
        <s v="IMPOSTOS IRRF"/>
        <s v="DARF        - 49.198.154/0001-29 -2372"/>
        <s v="SECRETARIA DA FAZENDA"/>
        <s v="Rodmarc Ramirez  factura  enero "/>
        <s v="VP Mining factura enero y febrero "/>
        <s v="VP Mining factura marzo y abril"/>
        <s v="VP Mining factura mayo. Julio y agosto"/>
        <s v="VP Mining factura diciembre"/>
        <s v="John Barber Factura 25-017 "/>
        <s v="Sarah Bull "/>
        <s v="Ingenieria REDCO Ltda - invoice #3"/>
        <s v="IMPUESTO RENTA (2024)"/>
        <s v="Matias Palma"/>
        <s v="Gonzalo Diaz"/>
        <s v="Marilia Da Silva Santos"/>
        <s v="GERAL " u="1"/>
        <s v="Consultora y Aess. Plataforma Dinámica" u="1"/>
        <s v="GASTOS EJECUCION DE PROYECTOS" u="1"/>
        <s v="Withholding Taxes Costo Proyecto" u="1"/>
        <s v="PPM  1%" u="1"/>
        <s v="IMPTO.TIMBRE Y ESTAMPILLA" u="1"/>
        <s v="Isabel Marchant A." u="1"/>
        <s v="Beneficio personal UCH" u="1"/>
        <s v="TERRA HOTELES" u="1"/>
        <s v="Cta. Cte. EERR Redco Perú " u="1"/>
        <s v="Geral" u="1"/>
      </sharedItems>
    </cacheField>
    <cacheField name="Fecha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6"/>
    </cacheField>
    <cacheField name="Monto" numFmtId="0">
      <sharedItems containsString="0" containsBlank="1" containsNumber="1" minValue="-1047.5408" maxValue="444152"/>
    </cacheField>
    <cacheField name="País" numFmtId="0">
      <sharedItems count="5">
        <s v="Chile"/>
        <s v="Perú"/>
        <s v="Brasil"/>
        <s v="USA"/>
        <s v="BVI"/>
      </sharedItems>
    </cacheField>
    <cacheField name="Días (Fecha)" numFmtId="0" databaseField="0">
      <fieldGroup base="2">
        <rangePr groupBy="days" startDate="2025-01-01T00:00:00" endDate="2025-12-02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5"/>
        </groupItems>
      </fieldGroup>
    </cacheField>
    <cacheField name="Meses (Fecha)" numFmtId="0" databaseField="0">
      <fieldGroup base="2">
        <rangePr groupBy="months" startDate="2025-01-01T00:00:00" endDate="2025-12-02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x v="0"/>
    <s v="REDCO"/>
    <x v="0"/>
    <n v="231.5266"/>
  </r>
  <r>
    <x v="0"/>
    <s v="REDCO"/>
    <x v="1"/>
    <n v="238.5266"/>
  </r>
  <r>
    <x v="0"/>
    <s v="REDCO"/>
    <x v="2"/>
    <n v="245.0266"/>
  </r>
  <r>
    <x v="0"/>
    <s v="REDCO"/>
    <x v="3"/>
    <n v="245.0266"/>
  </r>
  <r>
    <x v="0"/>
    <s v="REDCO"/>
    <x v="4"/>
    <n v="278.82420000000002"/>
  </r>
  <r>
    <x v="0"/>
    <s v="REDCO"/>
    <x v="5"/>
    <n v="259.58659999999998"/>
  </r>
  <r>
    <x v="0"/>
    <s v="REDCO"/>
    <x v="6"/>
    <n v="316.80790000000002"/>
  </r>
  <r>
    <x v="0"/>
    <s v="REDCO"/>
    <x v="7"/>
    <n v="264.00659999999999"/>
  </r>
  <r>
    <x v="0"/>
    <s v="REDCO"/>
    <x v="8"/>
    <n v="264.00659999999999"/>
  </r>
  <r>
    <x v="0"/>
    <s v="REDCO"/>
    <x v="9"/>
    <n v="264.00659999999999"/>
  </r>
  <r>
    <x v="0"/>
    <s v="REDCO"/>
    <x v="10"/>
    <n v="290.40719999999999"/>
  </r>
  <r>
    <x v="0"/>
    <s v="REDCO"/>
    <x v="11"/>
    <n v="316.80790000000002"/>
  </r>
  <r>
    <x v="0"/>
    <s v="REDCROSS"/>
    <x v="0"/>
    <n v="22.138500000000001"/>
  </r>
  <r>
    <x v="0"/>
    <s v="REDCROSS"/>
    <x v="1"/>
    <n v="22.138500000000001"/>
  </r>
  <r>
    <x v="0"/>
    <s v="REDCROSS"/>
    <x v="2"/>
    <n v="22.138500000000001"/>
  </r>
  <r>
    <x v="0"/>
    <s v="REDCROSS"/>
    <x v="3"/>
    <n v="22.138500000000001"/>
  </r>
  <r>
    <x v="0"/>
    <s v="REDCROSS"/>
    <x v="4"/>
    <n v="22.138500000000001"/>
  </r>
  <r>
    <x v="0"/>
    <s v="REDCROSS"/>
    <x v="5"/>
    <n v="22.138500000000001"/>
  </r>
  <r>
    <x v="0"/>
    <s v="REDCROSS"/>
    <x v="6"/>
    <n v="22.138500000000001"/>
  </r>
  <r>
    <x v="0"/>
    <s v="REDCROSS"/>
    <x v="7"/>
    <n v="22.138500000000001"/>
  </r>
  <r>
    <x v="0"/>
    <s v="REDCROSS"/>
    <x v="8"/>
    <n v="22.138500000000001"/>
  </r>
  <r>
    <x v="0"/>
    <s v="REDCROSS"/>
    <x v="9"/>
    <n v="22.138500000000001"/>
  </r>
  <r>
    <x v="0"/>
    <s v="REDCROSS"/>
    <x v="10"/>
    <n v="22.138500000000001"/>
  </r>
  <r>
    <x v="0"/>
    <s v="REDCROSS"/>
    <x v="11"/>
    <n v="22.138500000000001"/>
  </r>
  <r>
    <x v="0"/>
    <s v="R+"/>
    <x v="0"/>
    <n v="68.529700000000005"/>
  </r>
  <r>
    <x v="0"/>
    <s v="R+"/>
    <x v="1"/>
    <n v="75.029700000000005"/>
  </r>
  <r>
    <x v="0"/>
    <s v="R+"/>
    <x v="2"/>
    <n v="75.029700000000005"/>
  </r>
  <r>
    <x v="0"/>
    <s v="R+"/>
    <x v="3"/>
    <n v="88.679699999999997"/>
  </r>
  <r>
    <x v="0"/>
    <s v="R+"/>
    <x v="4"/>
    <n v="88.679699999999997"/>
  </r>
  <r>
    <x v="0"/>
    <s v="R+"/>
    <x v="5"/>
    <n v="88.679699999999997"/>
  </r>
  <r>
    <x v="0"/>
    <s v="R+"/>
    <x v="6"/>
    <n v="88.679699999999997"/>
  </r>
  <r>
    <x v="0"/>
    <s v="R+"/>
    <x v="7"/>
    <n v="88.679699999999997"/>
  </r>
  <r>
    <x v="0"/>
    <s v="R+"/>
    <x v="8"/>
    <n v="88.679699999999997"/>
  </r>
  <r>
    <x v="0"/>
    <s v="R+"/>
    <x v="9"/>
    <n v="88.679699999999997"/>
  </r>
  <r>
    <x v="0"/>
    <s v="R+"/>
    <x v="10"/>
    <n v="88.679699999999997"/>
  </r>
  <r>
    <x v="0"/>
    <s v="R+"/>
    <x v="11"/>
    <n v="88.679699999999997"/>
  </r>
  <r>
    <x v="0"/>
    <s v="REDTEC"/>
    <x v="0"/>
    <n v="8.9640000000000004"/>
  </r>
  <r>
    <x v="0"/>
    <s v="REDTEC"/>
    <x v="1"/>
    <n v="8.9640000000000004"/>
  </r>
  <r>
    <x v="0"/>
    <s v="REDTEC"/>
    <x v="2"/>
    <n v="8.9640000000000004"/>
  </r>
  <r>
    <x v="0"/>
    <s v="REDTEC"/>
    <x v="3"/>
    <n v="8.9640000000000004"/>
  </r>
  <r>
    <x v="0"/>
    <s v="REDTEC"/>
    <x v="4"/>
    <n v="9.8604000000000003"/>
  </r>
  <r>
    <x v="0"/>
    <s v="REDTEC"/>
    <x v="5"/>
    <n v="8.9640000000000004"/>
  </r>
  <r>
    <x v="0"/>
    <s v="REDTEC"/>
    <x v="6"/>
    <n v="10.7568"/>
  </r>
  <r>
    <x v="0"/>
    <s v="REDTEC"/>
    <x v="7"/>
    <n v="8.9640000000000004"/>
  </r>
  <r>
    <x v="0"/>
    <s v="REDTEC"/>
    <x v="8"/>
    <n v="8.9640000000000004"/>
  </r>
  <r>
    <x v="0"/>
    <s v="REDTEC"/>
    <x v="9"/>
    <n v="8.9640000000000004"/>
  </r>
  <r>
    <x v="0"/>
    <s v="REDTEC"/>
    <x v="10"/>
    <n v="9.8604000000000003"/>
  </r>
  <r>
    <x v="0"/>
    <s v="REDTEC"/>
    <x v="11"/>
    <n v="10.7568"/>
  </r>
  <r>
    <x v="0"/>
    <s v="Bonos"/>
    <x v="0"/>
    <n v="200"/>
  </r>
  <r>
    <x v="0"/>
    <s v="Bonos"/>
    <x v="1"/>
    <n v="0"/>
  </r>
  <r>
    <x v="0"/>
    <s v="Bonos"/>
    <x v="2"/>
    <n v="0"/>
  </r>
  <r>
    <x v="0"/>
    <s v="Bonos"/>
    <x v="3"/>
    <n v="0"/>
  </r>
  <r>
    <x v="0"/>
    <s v="Bonos"/>
    <x v="4"/>
    <n v="0"/>
  </r>
  <r>
    <x v="0"/>
    <s v="Bonos"/>
    <x v="5"/>
    <n v="0"/>
  </r>
  <r>
    <x v="0"/>
    <s v="Bonos"/>
    <x v="6"/>
    <n v="0"/>
  </r>
  <r>
    <x v="0"/>
    <s v="Bonos"/>
    <x v="7"/>
    <n v="0"/>
  </r>
  <r>
    <x v="0"/>
    <s v="Bonos"/>
    <x v="8"/>
    <n v="0"/>
  </r>
  <r>
    <x v="0"/>
    <s v="Bonos"/>
    <x v="9"/>
    <n v="0"/>
  </r>
  <r>
    <x v="0"/>
    <s v="Bonos"/>
    <x v="10"/>
    <n v="0"/>
  </r>
  <r>
    <x v="0"/>
    <s v="Bonos"/>
    <x v="11"/>
    <n v="0"/>
  </r>
  <r>
    <x v="1"/>
    <s v="Servicios"/>
    <x v="0"/>
    <n v="52.9"/>
  </r>
  <r>
    <x v="1"/>
    <s v="Servicios"/>
    <x v="1"/>
    <n v="52.9"/>
  </r>
  <r>
    <x v="1"/>
    <s v="Servicios"/>
    <x v="2"/>
    <n v="52.9"/>
  </r>
  <r>
    <x v="1"/>
    <s v="Servicios"/>
    <x v="3"/>
    <n v="52.9"/>
  </r>
  <r>
    <x v="1"/>
    <s v="Servicios"/>
    <x v="4"/>
    <n v="52.9"/>
  </r>
  <r>
    <x v="1"/>
    <s v="Servicios"/>
    <x v="5"/>
    <n v="52.9"/>
  </r>
  <r>
    <x v="1"/>
    <s v="Servicios"/>
    <x v="6"/>
    <n v="52.9"/>
  </r>
  <r>
    <x v="1"/>
    <s v="Servicios"/>
    <x v="7"/>
    <n v="52.9"/>
  </r>
  <r>
    <x v="1"/>
    <s v="Servicios"/>
    <x v="8"/>
    <n v="52.9"/>
  </r>
  <r>
    <x v="1"/>
    <s v="Servicios"/>
    <x v="9"/>
    <n v="52.9"/>
  </r>
  <r>
    <x v="1"/>
    <s v="Servicios"/>
    <x v="10"/>
    <n v="52.9"/>
  </r>
  <r>
    <x v="1"/>
    <s v="Servicios"/>
    <x v="11"/>
    <n v="52.9"/>
  </r>
  <r>
    <x v="2"/>
    <s v="Cumplimiento Legal"/>
    <x v="0"/>
    <n v="0.21740000000000001"/>
  </r>
  <r>
    <x v="2"/>
    <s v="Cumplimiento Legal"/>
    <x v="1"/>
    <n v="0.21740000000000001"/>
  </r>
  <r>
    <x v="2"/>
    <s v="Cumplimiento Legal"/>
    <x v="2"/>
    <n v="0.21740000000000001"/>
  </r>
  <r>
    <x v="2"/>
    <s v="Cumplimiento Legal"/>
    <x v="3"/>
    <n v="0.21740000000000001"/>
  </r>
  <r>
    <x v="2"/>
    <s v="Cumplimiento Legal"/>
    <x v="4"/>
    <n v="0.21740000000000001"/>
  </r>
  <r>
    <x v="2"/>
    <s v="Cumplimiento Legal"/>
    <x v="5"/>
    <n v="0.21740000000000001"/>
  </r>
  <r>
    <x v="2"/>
    <s v="Cumplimiento Legal"/>
    <x v="6"/>
    <n v="0.21740000000000001"/>
  </r>
  <r>
    <x v="2"/>
    <s v="Cumplimiento Legal"/>
    <x v="7"/>
    <n v="0.21740000000000001"/>
  </r>
  <r>
    <x v="2"/>
    <s v="Cumplimiento Legal"/>
    <x v="8"/>
    <n v="0.21740000000000001"/>
  </r>
  <r>
    <x v="2"/>
    <s v="Cumplimiento Legal"/>
    <x v="9"/>
    <n v="0.21740000000000001"/>
  </r>
  <r>
    <x v="2"/>
    <s v="Cumplimiento Legal"/>
    <x v="10"/>
    <n v="0.21740000000000001"/>
  </r>
  <r>
    <x v="2"/>
    <s v="Cumplimiento Legal"/>
    <x v="11"/>
    <n v="0.21740000000000001"/>
  </r>
  <r>
    <x v="2"/>
    <s v="Servicios personal"/>
    <x v="0"/>
    <n v="5.4348000000000001"/>
  </r>
  <r>
    <x v="2"/>
    <s v="Servicios personal"/>
    <x v="1"/>
    <n v="0.21740000000000001"/>
  </r>
  <r>
    <x v="2"/>
    <s v="Servicios personal"/>
    <x v="2"/>
    <n v="0"/>
  </r>
  <r>
    <x v="2"/>
    <s v="Servicios personal"/>
    <x v="3"/>
    <n v="0"/>
  </r>
  <r>
    <x v="2"/>
    <s v="Servicios personal"/>
    <x v="4"/>
    <n v="0.21740000000000001"/>
  </r>
  <r>
    <x v="2"/>
    <s v="Servicios personal"/>
    <x v="5"/>
    <n v="0"/>
  </r>
  <r>
    <x v="2"/>
    <s v="Servicios personal"/>
    <x v="6"/>
    <n v="0"/>
  </r>
  <r>
    <x v="2"/>
    <s v="Servicios personal"/>
    <x v="7"/>
    <n v="0.21740000000000001"/>
  </r>
  <r>
    <x v="2"/>
    <s v="Servicios personal"/>
    <x v="8"/>
    <n v="0"/>
  </r>
  <r>
    <x v="2"/>
    <s v="Servicios personal"/>
    <x v="9"/>
    <n v="0"/>
  </r>
  <r>
    <x v="2"/>
    <s v="Servicios personal"/>
    <x v="10"/>
    <n v="5.6521999999999997"/>
  </r>
  <r>
    <x v="2"/>
    <s v="Servicios personal"/>
    <x v="11"/>
    <n v="0"/>
  </r>
  <r>
    <x v="2"/>
    <s v="Reclutamiento"/>
    <x v="0"/>
    <n v="5"/>
  </r>
  <r>
    <x v="2"/>
    <s v="Reclutamiento"/>
    <x v="1"/>
    <n v="0"/>
  </r>
  <r>
    <x v="2"/>
    <s v="Reclutamiento"/>
    <x v="2"/>
    <n v="0"/>
  </r>
  <r>
    <x v="2"/>
    <s v="Reclutamiento"/>
    <x v="3"/>
    <n v="0"/>
  </r>
  <r>
    <x v="2"/>
    <s v="Reclutamiento"/>
    <x v="4"/>
    <n v="0"/>
  </r>
  <r>
    <x v="2"/>
    <s v="Reclutamiento"/>
    <x v="5"/>
    <n v="0"/>
  </r>
  <r>
    <x v="2"/>
    <s v="Reclutamiento"/>
    <x v="6"/>
    <n v="0"/>
  </r>
  <r>
    <x v="2"/>
    <s v="Reclutamiento"/>
    <x v="7"/>
    <n v="0"/>
  </r>
  <r>
    <x v="2"/>
    <s v="Reclutamiento"/>
    <x v="8"/>
    <n v="0"/>
  </r>
  <r>
    <x v="2"/>
    <s v="Reclutamiento"/>
    <x v="9"/>
    <n v="0"/>
  </r>
  <r>
    <x v="2"/>
    <s v="Reclutamiento"/>
    <x v="10"/>
    <n v="0"/>
  </r>
  <r>
    <x v="2"/>
    <s v="Reclutamiento"/>
    <x v="11"/>
    <n v="0"/>
  </r>
  <r>
    <x v="2"/>
    <s v="Capacitación"/>
    <x v="0"/>
    <n v="0"/>
  </r>
  <r>
    <x v="2"/>
    <s v="Capacitación"/>
    <x v="1"/>
    <n v="15"/>
  </r>
  <r>
    <x v="2"/>
    <s v="Capacitación"/>
    <x v="2"/>
    <n v="15"/>
  </r>
  <r>
    <x v="2"/>
    <s v="Capacitación"/>
    <x v="3"/>
    <n v="0"/>
  </r>
  <r>
    <x v="2"/>
    <s v="Capacitación"/>
    <x v="4"/>
    <n v="0"/>
  </r>
  <r>
    <x v="2"/>
    <s v="Capacitación"/>
    <x v="5"/>
    <n v="15"/>
  </r>
  <r>
    <x v="2"/>
    <s v="Capacitación"/>
    <x v="6"/>
    <n v="0"/>
  </r>
  <r>
    <x v="2"/>
    <s v="Capacitación"/>
    <x v="7"/>
    <n v="0"/>
  </r>
  <r>
    <x v="2"/>
    <s v="Capacitación"/>
    <x v="8"/>
    <n v="0"/>
  </r>
  <r>
    <x v="2"/>
    <s v="Capacitación"/>
    <x v="9"/>
    <n v="15"/>
  </r>
  <r>
    <x v="2"/>
    <s v="Capacitación"/>
    <x v="10"/>
    <n v="0"/>
  </r>
  <r>
    <x v="2"/>
    <s v="Capacitación"/>
    <x v="11"/>
    <n v="0"/>
  </r>
  <r>
    <x v="2"/>
    <s v="Recompensas"/>
    <x v="0"/>
    <n v="0"/>
  </r>
  <r>
    <x v="2"/>
    <s v="Recompensas"/>
    <x v="1"/>
    <n v="0"/>
  </r>
  <r>
    <x v="2"/>
    <s v="Recompensas"/>
    <x v="2"/>
    <n v="5"/>
  </r>
  <r>
    <x v="2"/>
    <s v="Recompensas"/>
    <x v="3"/>
    <n v="0"/>
  </r>
  <r>
    <x v="2"/>
    <s v="Recompensas"/>
    <x v="4"/>
    <n v="0"/>
  </r>
  <r>
    <x v="2"/>
    <s v="Recompensas"/>
    <x v="5"/>
    <n v="5"/>
  </r>
  <r>
    <x v="2"/>
    <s v="Recompensas"/>
    <x v="6"/>
    <n v="0"/>
  </r>
  <r>
    <x v="2"/>
    <s v="Recompensas"/>
    <x v="7"/>
    <n v="0"/>
  </r>
  <r>
    <x v="2"/>
    <s v="Recompensas"/>
    <x v="8"/>
    <n v="5"/>
  </r>
  <r>
    <x v="2"/>
    <s v="Recompensas"/>
    <x v="9"/>
    <n v="0"/>
  </r>
  <r>
    <x v="2"/>
    <s v="Recompensas"/>
    <x v="10"/>
    <n v="0"/>
  </r>
  <r>
    <x v="2"/>
    <s v="Recompensas"/>
    <x v="11"/>
    <n v="5"/>
  </r>
  <r>
    <x v="2"/>
    <s v="Bienestar"/>
    <x v="0"/>
    <n v="4"/>
  </r>
  <r>
    <x v="2"/>
    <s v="Bienestar"/>
    <x v="1"/>
    <n v="0.28799999999999998"/>
  </r>
  <r>
    <x v="2"/>
    <s v="Bienestar"/>
    <x v="2"/>
    <n v="0.50539999999999996"/>
  </r>
  <r>
    <x v="2"/>
    <s v="Bienestar"/>
    <x v="3"/>
    <n v="0.7228"/>
  </r>
  <r>
    <x v="2"/>
    <s v="Bienestar"/>
    <x v="4"/>
    <n v="0.28799999999999998"/>
  </r>
  <r>
    <x v="2"/>
    <s v="Bienestar"/>
    <x v="5"/>
    <n v="0.28799999999999998"/>
  </r>
  <r>
    <x v="2"/>
    <s v="Bienestar"/>
    <x v="6"/>
    <n v="0.7228"/>
  </r>
  <r>
    <x v="2"/>
    <s v="Bienestar"/>
    <x v="7"/>
    <n v="10.614100000000001"/>
  </r>
  <r>
    <x v="2"/>
    <s v="Bienestar"/>
    <x v="8"/>
    <n v="0.28799999999999998"/>
  </r>
  <r>
    <x v="2"/>
    <s v="Bienestar"/>
    <x v="9"/>
    <n v="0.7228"/>
  </r>
  <r>
    <x v="2"/>
    <s v="Bienestar"/>
    <x v="10"/>
    <n v="0.28799999999999998"/>
  </r>
  <r>
    <x v="2"/>
    <s v="Bienestar"/>
    <x v="11"/>
    <n v="3.0053999999999998"/>
  </r>
  <r>
    <x v="2"/>
    <s v="Evaluación desempeño"/>
    <x v="0"/>
    <n v="0"/>
  </r>
  <r>
    <x v="2"/>
    <s v="Evaluación desempeño"/>
    <x v="1"/>
    <n v="0"/>
  </r>
  <r>
    <x v="2"/>
    <s v="Evaluación desempeño"/>
    <x v="2"/>
    <n v="0"/>
  </r>
  <r>
    <x v="2"/>
    <s v="Evaluación desempeño"/>
    <x v="3"/>
    <n v="0"/>
  </r>
  <r>
    <x v="2"/>
    <s v="Evaluación desempeño"/>
    <x v="4"/>
    <n v="0"/>
  </r>
  <r>
    <x v="2"/>
    <s v="Evaluación desempeño"/>
    <x v="5"/>
    <n v="0"/>
  </r>
  <r>
    <x v="2"/>
    <s v="Evaluación desempeño"/>
    <x v="6"/>
    <n v="0"/>
  </r>
  <r>
    <x v="2"/>
    <s v="Evaluación desempeño"/>
    <x v="7"/>
    <n v="0"/>
  </r>
  <r>
    <x v="2"/>
    <s v="Evaluación desempeño"/>
    <x v="8"/>
    <n v="0"/>
  </r>
  <r>
    <x v="2"/>
    <s v="Evaluación desempeño"/>
    <x v="9"/>
    <n v="0"/>
  </r>
  <r>
    <x v="2"/>
    <s v="Evaluación desempeño"/>
    <x v="10"/>
    <n v="0"/>
  </r>
  <r>
    <x v="2"/>
    <s v="Evaluación desempeño"/>
    <x v="11"/>
    <n v="0"/>
  </r>
  <r>
    <x v="2"/>
    <s v="Seguridad y salud"/>
    <x v="0"/>
    <n v="1.7391000000000001"/>
  </r>
  <r>
    <x v="2"/>
    <s v="Seguridad y salud"/>
    <x v="1"/>
    <n v="0"/>
  </r>
  <r>
    <x v="2"/>
    <s v="Seguridad y salud"/>
    <x v="2"/>
    <n v="0"/>
  </r>
  <r>
    <x v="2"/>
    <s v="Seguridad y salud"/>
    <x v="3"/>
    <n v="1.413"/>
  </r>
  <r>
    <x v="2"/>
    <s v="Seguridad y salud"/>
    <x v="4"/>
    <n v="0"/>
  </r>
  <r>
    <x v="2"/>
    <s v="Seguridad y salud"/>
    <x v="5"/>
    <n v="0"/>
  </r>
  <r>
    <x v="2"/>
    <s v="Seguridad y salud"/>
    <x v="6"/>
    <n v="1.087"/>
  </r>
  <r>
    <x v="2"/>
    <s v="Seguridad y salud"/>
    <x v="7"/>
    <n v="0"/>
  </r>
  <r>
    <x v="2"/>
    <s v="Seguridad y salud"/>
    <x v="8"/>
    <n v="0"/>
  </r>
  <r>
    <x v="2"/>
    <s v="Seguridad y salud"/>
    <x v="9"/>
    <n v="1.7391000000000001"/>
  </r>
  <r>
    <x v="2"/>
    <s v="Seguridad y salud"/>
    <x v="10"/>
    <n v="0"/>
  </r>
  <r>
    <x v="2"/>
    <s v="Seguridad y salud"/>
    <x v="11"/>
    <n v="0"/>
  </r>
  <r>
    <x v="2"/>
    <s v="Auditoría"/>
    <x v="0"/>
    <n v="0"/>
  </r>
  <r>
    <x v="2"/>
    <s v="Auditoría"/>
    <x v="1"/>
    <n v="0"/>
  </r>
  <r>
    <x v="2"/>
    <s v="Auditoría"/>
    <x v="2"/>
    <n v="0"/>
  </r>
  <r>
    <x v="2"/>
    <s v="Auditoría"/>
    <x v="3"/>
    <n v="0"/>
  </r>
  <r>
    <x v="2"/>
    <s v="Auditoría"/>
    <x v="4"/>
    <n v="0"/>
  </r>
  <r>
    <x v="2"/>
    <s v="Auditoría"/>
    <x v="5"/>
    <n v="0"/>
  </r>
  <r>
    <x v="2"/>
    <s v="Auditoría"/>
    <x v="6"/>
    <n v="2.1739000000000002"/>
  </r>
  <r>
    <x v="2"/>
    <s v="Auditoría"/>
    <x v="7"/>
    <n v="0"/>
  </r>
  <r>
    <x v="2"/>
    <s v="Auditoría"/>
    <x v="8"/>
    <n v="0"/>
  </r>
  <r>
    <x v="2"/>
    <s v="Auditoría"/>
    <x v="9"/>
    <n v="2.1739000000000002"/>
  </r>
  <r>
    <x v="2"/>
    <s v="Auditoría"/>
    <x v="10"/>
    <n v="0"/>
  </r>
  <r>
    <x v="2"/>
    <s v="Auditoría"/>
    <x v="11"/>
    <n v="0"/>
  </r>
  <r>
    <x v="2"/>
    <s v="Seguros"/>
    <x v="0"/>
    <n v="3.5"/>
  </r>
  <r>
    <x v="2"/>
    <s v="Seguros"/>
    <x v="1"/>
    <n v="3.5"/>
  </r>
  <r>
    <x v="2"/>
    <s v="Seguros"/>
    <x v="2"/>
    <n v="3.5"/>
  </r>
  <r>
    <x v="2"/>
    <s v="Seguros"/>
    <x v="3"/>
    <n v="3.5"/>
  </r>
  <r>
    <x v="2"/>
    <s v="Seguros"/>
    <x v="4"/>
    <n v="3.5"/>
  </r>
  <r>
    <x v="2"/>
    <s v="Seguros"/>
    <x v="5"/>
    <n v="3.5"/>
  </r>
  <r>
    <x v="2"/>
    <s v="Seguros"/>
    <x v="6"/>
    <n v="3.5"/>
  </r>
  <r>
    <x v="2"/>
    <s v="Seguros"/>
    <x v="7"/>
    <n v="3.5"/>
  </r>
  <r>
    <x v="2"/>
    <s v="Seguros"/>
    <x v="8"/>
    <n v="3.5"/>
  </r>
  <r>
    <x v="2"/>
    <s v="Seguros"/>
    <x v="9"/>
    <n v="3.5"/>
  </r>
  <r>
    <x v="2"/>
    <s v="Seguros"/>
    <x v="10"/>
    <n v="3.5"/>
  </r>
  <r>
    <x v="2"/>
    <s v="Seguros"/>
    <x v="11"/>
    <n v="3.5"/>
  </r>
  <r>
    <x v="2"/>
    <s v="Pasajes"/>
    <x v="0"/>
    <n v="6"/>
  </r>
  <r>
    <x v="2"/>
    <s v="Pasajes"/>
    <x v="1"/>
    <n v="6"/>
  </r>
  <r>
    <x v="2"/>
    <s v="Pasajes"/>
    <x v="2"/>
    <n v="6"/>
  </r>
  <r>
    <x v="2"/>
    <s v="Pasajes"/>
    <x v="3"/>
    <n v="6"/>
  </r>
  <r>
    <x v="2"/>
    <s v="Pasajes"/>
    <x v="4"/>
    <n v="6"/>
  </r>
  <r>
    <x v="2"/>
    <s v="Pasajes"/>
    <x v="5"/>
    <n v="6"/>
  </r>
  <r>
    <x v="2"/>
    <s v="Pasajes"/>
    <x v="6"/>
    <n v="6"/>
  </r>
  <r>
    <x v="2"/>
    <s v="Pasajes"/>
    <x v="7"/>
    <n v="6"/>
  </r>
  <r>
    <x v="2"/>
    <s v="Pasajes"/>
    <x v="8"/>
    <n v="6"/>
  </r>
  <r>
    <x v="2"/>
    <s v="Pasajes"/>
    <x v="9"/>
    <n v="6"/>
  </r>
  <r>
    <x v="2"/>
    <s v="Pasajes"/>
    <x v="10"/>
    <n v="6"/>
  </r>
  <r>
    <x v="2"/>
    <s v="Pasajes"/>
    <x v="11"/>
    <n v="6"/>
  </r>
  <r>
    <x v="2"/>
    <s v="Alojamiento"/>
    <x v="0"/>
    <n v="1.5"/>
  </r>
  <r>
    <x v="2"/>
    <s v="Alojamiento"/>
    <x v="1"/>
    <n v="1.5"/>
  </r>
  <r>
    <x v="2"/>
    <s v="Alojamiento"/>
    <x v="2"/>
    <n v="1.5"/>
  </r>
  <r>
    <x v="2"/>
    <s v="Alojamiento"/>
    <x v="3"/>
    <n v="1.5"/>
  </r>
  <r>
    <x v="2"/>
    <s v="Alojamiento"/>
    <x v="4"/>
    <n v="1.5"/>
  </r>
  <r>
    <x v="2"/>
    <s v="Alojamiento"/>
    <x v="5"/>
    <n v="1.5"/>
  </r>
  <r>
    <x v="2"/>
    <s v="Alojamiento"/>
    <x v="6"/>
    <n v="1.5"/>
  </r>
  <r>
    <x v="2"/>
    <s v="Alojamiento"/>
    <x v="7"/>
    <n v="1.5"/>
  </r>
  <r>
    <x v="2"/>
    <s v="Alojamiento"/>
    <x v="8"/>
    <n v="1.5"/>
  </r>
  <r>
    <x v="2"/>
    <s v="Alojamiento"/>
    <x v="9"/>
    <n v="1.5"/>
  </r>
  <r>
    <x v="2"/>
    <s v="Alojamiento"/>
    <x v="10"/>
    <n v="1.5"/>
  </r>
  <r>
    <x v="2"/>
    <s v="Alojamiento"/>
    <x v="11"/>
    <n v="1.5"/>
  </r>
  <r>
    <x v="2"/>
    <s v="Transporte"/>
    <x v="0"/>
    <n v="1"/>
  </r>
  <r>
    <x v="2"/>
    <s v="Transporte"/>
    <x v="1"/>
    <n v="1"/>
  </r>
  <r>
    <x v="2"/>
    <s v="Transporte"/>
    <x v="2"/>
    <n v="1"/>
  </r>
  <r>
    <x v="2"/>
    <s v="Transporte"/>
    <x v="3"/>
    <n v="1"/>
  </r>
  <r>
    <x v="2"/>
    <s v="Transporte"/>
    <x v="4"/>
    <n v="1"/>
  </r>
  <r>
    <x v="2"/>
    <s v="Transporte"/>
    <x v="5"/>
    <n v="1"/>
  </r>
  <r>
    <x v="2"/>
    <s v="Transporte"/>
    <x v="6"/>
    <n v="1"/>
  </r>
  <r>
    <x v="2"/>
    <s v="Transporte"/>
    <x v="7"/>
    <n v="1"/>
  </r>
  <r>
    <x v="2"/>
    <s v="Transporte"/>
    <x v="8"/>
    <n v="1"/>
  </r>
  <r>
    <x v="2"/>
    <s v="Transporte"/>
    <x v="9"/>
    <n v="1"/>
  </r>
  <r>
    <x v="2"/>
    <s v="Transporte"/>
    <x v="10"/>
    <n v="1"/>
  </r>
  <r>
    <x v="2"/>
    <s v="Transporte"/>
    <x v="11"/>
    <n v="1"/>
  </r>
  <r>
    <x v="2"/>
    <s v="Alimentación"/>
    <x v="0"/>
    <n v="0.3"/>
  </r>
  <r>
    <x v="2"/>
    <s v="Alimentación"/>
    <x v="1"/>
    <n v="0.3"/>
  </r>
  <r>
    <x v="2"/>
    <s v="Alimentación"/>
    <x v="2"/>
    <n v="0.3"/>
  </r>
  <r>
    <x v="2"/>
    <s v="Alimentación"/>
    <x v="3"/>
    <n v="0.3"/>
  </r>
  <r>
    <x v="2"/>
    <s v="Alimentación"/>
    <x v="4"/>
    <n v="0.3"/>
  </r>
  <r>
    <x v="2"/>
    <s v="Alimentación"/>
    <x v="5"/>
    <n v="0.3"/>
  </r>
  <r>
    <x v="2"/>
    <s v="Alimentación"/>
    <x v="6"/>
    <n v="0.3"/>
  </r>
  <r>
    <x v="2"/>
    <s v="Alimentación"/>
    <x v="7"/>
    <n v="0.3"/>
  </r>
  <r>
    <x v="2"/>
    <s v="Alimentación"/>
    <x v="8"/>
    <n v="0.3"/>
  </r>
  <r>
    <x v="2"/>
    <s v="Alimentación"/>
    <x v="9"/>
    <n v="0.3"/>
  </r>
  <r>
    <x v="2"/>
    <s v="Alimentación"/>
    <x v="10"/>
    <n v="0.3"/>
  </r>
  <r>
    <x v="2"/>
    <s v="Alimentación"/>
    <x v="11"/>
    <n v="0.3"/>
  </r>
  <r>
    <x v="2"/>
    <s v="Seguros viaje"/>
    <x v="0"/>
    <n v="0.1"/>
  </r>
  <r>
    <x v="2"/>
    <s v="Seguros viaje"/>
    <x v="1"/>
    <n v="0.1"/>
  </r>
  <r>
    <x v="2"/>
    <s v="Seguros viaje"/>
    <x v="2"/>
    <n v="0.1"/>
  </r>
  <r>
    <x v="2"/>
    <s v="Seguros viaje"/>
    <x v="3"/>
    <n v="0.1"/>
  </r>
  <r>
    <x v="2"/>
    <s v="Seguros viaje"/>
    <x v="4"/>
    <n v="0.1"/>
  </r>
  <r>
    <x v="2"/>
    <s v="Seguros viaje"/>
    <x v="5"/>
    <n v="0.1"/>
  </r>
  <r>
    <x v="2"/>
    <s v="Seguros viaje"/>
    <x v="6"/>
    <n v="0.1"/>
  </r>
  <r>
    <x v="2"/>
    <s v="Seguros viaje"/>
    <x v="7"/>
    <n v="0.1"/>
  </r>
  <r>
    <x v="2"/>
    <s v="Seguros viaje"/>
    <x v="8"/>
    <n v="0.1"/>
  </r>
  <r>
    <x v="2"/>
    <s v="Seguros viaje"/>
    <x v="9"/>
    <n v="0.1"/>
  </r>
  <r>
    <x v="2"/>
    <s v="Seguros viaje"/>
    <x v="10"/>
    <n v="0.1"/>
  </r>
  <r>
    <x v="2"/>
    <s v="Seguros viaje"/>
    <x v="11"/>
    <n v="0.1"/>
  </r>
  <r>
    <x v="2"/>
    <s v="Examenes"/>
    <x v="0"/>
    <n v="0.1"/>
  </r>
  <r>
    <x v="2"/>
    <s v="Examenes"/>
    <x v="1"/>
    <n v="0.1"/>
  </r>
  <r>
    <x v="2"/>
    <s v="Examenes"/>
    <x v="2"/>
    <n v="0.1"/>
  </r>
  <r>
    <x v="2"/>
    <s v="Examenes"/>
    <x v="3"/>
    <n v="0.1"/>
  </r>
  <r>
    <x v="2"/>
    <s v="Examenes"/>
    <x v="4"/>
    <n v="0.1"/>
  </r>
  <r>
    <x v="2"/>
    <s v="Examenes"/>
    <x v="5"/>
    <n v="0.1"/>
  </r>
  <r>
    <x v="2"/>
    <s v="Examenes"/>
    <x v="6"/>
    <n v="0.1"/>
  </r>
  <r>
    <x v="2"/>
    <s v="Examenes"/>
    <x v="7"/>
    <n v="0.1"/>
  </r>
  <r>
    <x v="2"/>
    <s v="Examenes"/>
    <x v="8"/>
    <n v="0.1"/>
  </r>
  <r>
    <x v="2"/>
    <s v="Examenes"/>
    <x v="9"/>
    <n v="0.1"/>
  </r>
  <r>
    <x v="2"/>
    <s v="Examenes"/>
    <x v="10"/>
    <n v="0.1"/>
  </r>
  <r>
    <x v="2"/>
    <s v="Examenes"/>
    <x v="11"/>
    <n v="0.1"/>
  </r>
  <r>
    <x v="2"/>
    <s v="Tarjeta"/>
    <x v="0"/>
    <n v="2"/>
  </r>
  <r>
    <x v="2"/>
    <s v="Tarjeta"/>
    <x v="1"/>
    <n v="2"/>
  </r>
  <r>
    <x v="2"/>
    <s v="Tarjeta"/>
    <x v="2"/>
    <n v="2"/>
  </r>
  <r>
    <x v="2"/>
    <s v="Tarjeta"/>
    <x v="3"/>
    <n v="2"/>
  </r>
  <r>
    <x v="2"/>
    <s v="Tarjeta"/>
    <x v="4"/>
    <n v="2"/>
  </r>
  <r>
    <x v="2"/>
    <s v="Tarjeta"/>
    <x v="5"/>
    <n v="2"/>
  </r>
  <r>
    <x v="2"/>
    <s v="Tarjeta"/>
    <x v="6"/>
    <n v="2"/>
  </r>
  <r>
    <x v="2"/>
    <s v="Tarjeta"/>
    <x v="7"/>
    <n v="2"/>
  </r>
  <r>
    <x v="2"/>
    <s v="Tarjeta"/>
    <x v="8"/>
    <n v="2"/>
  </r>
  <r>
    <x v="2"/>
    <s v="Tarjeta"/>
    <x v="9"/>
    <n v="2"/>
  </r>
  <r>
    <x v="2"/>
    <s v="Tarjeta"/>
    <x v="10"/>
    <n v="2"/>
  </r>
  <r>
    <x v="2"/>
    <s v="Tarjeta"/>
    <x v="11"/>
    <n v="2"/>
  </r>
  <r>
    <x v="2"/>
    <s v="Gastos Menores"/>
    <x v="0"/>
    <n v="1"/>
  </r>
  <r>
    <x v="2"/>
    <s v="Gastos Menores"/>
    <x v="1"/>
    <n v="1"/>
  </r>
  <r>
    <x v="2"/>
    <s v="Gastos Menores"/>
    <x v="2"/>
    <n v="1"/>
  </r>
  <r>
    <x v="2"/>
    <s v="Gastos Menores"/>
    <x v="3"/>
    <n v="1"/>
  </r>
  <r>
    <x v="2"/>
    <s v="Gastos Menores"/>
    <x v="4"/>
    <n v="1"/>
  </r>
  <r>
    <x v="2"/>
    <s v="Gastos Menores"/>
    <x v="5"/>
    <n v="1"/>
  </r>
  <r>
    <x v="2"/>
    <s v="Gastos Menores"/>
    <x v="6"/>
    <n v="1"/>
  </r>
  <r>
    <x v="2"/>
    <s v="Gastos Menores"/>
    <x v="7"/>
    <n v="1"/>
  </r>
  <r>
    <x v="2"/>
    <s v="Gastos Menores"/>
    <x v="8"/>
    <n v="1"/>
  </r>
  <r>
    <x v="2"/>
    <s v="Gastos Menores"/>
    <x v="9"/>
    <n v="1"/>
  </r>
  <r>
    <x v="2"/>
    <s v="Gastos Menores"/>
    <x v="10"/>
    <n v="1"/>
  </r>
  <r>
    <x v="2"/>
    <s v="Gastos Menores"/>
    <x v="11"/>
    <n v="1"/>
  </r>
  <r>
    <x v="2"/>
    <s v="Arriendo"/>
    <x v="0"/>
    <n v="8"/>
  </r>
  <r>
    <x v="2"/>
    <s v="Arriendo"/>
    <x v="1"/>
    <n v="8"/>
  </r>
  <r>
    <x v="2"/>
    <s v="Arriendo"/>
    <x v="2"/>
    <n v="8"/>
  </r>
  <r>
    <x v="2"/>
    <s v="Arriendo"/>
    <x v="3"/>
    <n v="8"/>
  </r>
  <r>
    <x v="2"/>
    <s v="Arriendo"/>
    <x v="4"/>
    <n v="8"/>
  </r>
  <r>
    <x v="2"/>
    <s v="Arriendo"/>
    <x v="5"/>
    <n v="8"/>
  </r>
  <r>
    <x v="2"/>
    <s v="Arriendo"/>
    <x v="6"/>
    <n v="8"/>
  </r>
  <r>
    <x v="2"/>
    <s v="Arriendo"/>
    <x v="7"/>
    <n v="8"/>
  </r>
  <r>
    <x v="2"/>
    <s v="Arriendo"/>
    <x v="8"/>
    <n v="8"/>
  </r>
  <r>
    <x v="2"/>
    <s v="Arriendo"/>
    <x v="9"/>
    <n v="8"/>
  </r>
  <r>
    <x v="2"/>
    <s v="Arriendo"/>
    <x v="10"/>
    <n v="8"/>
  </r>
  <r>
    <x v="2"/>
    <s v="Arriendo"/>
    <x v="11"/>
    <n v="8"/>
  </r>
  <r>
    <x v="3"/>
    <s v="Dividendo"/>
    <x v="0"/>
    <n v="7.5"/>
  </r>
  <r>
    <x v="3"/>
    <s v="Dividendo"/>
    <x v="1"/>
    <n v="7.5"/>
  </r>
  <r>
    <x v="3"/>
    <s v="Dividendo"/>
    <x v="2"/>
    <n v="7.5"/>
  </r>
  <r>
    <x v="3"/>
    <s v="Dividendo"/>
    <x v="3"/>
    <n v="7.5"/>
  </r>
  <r>
    <x v="3"/>
    <s v="Dividendo"/>
    <x v="4"/>
    <n v="7.5"/>
  </r>
  <r>
    <x v="3"/>
    <s v="Dividendo"/>
    <x v="5"/>
    <n v="7.5"/>
  </r>
  <r>
    <x v="3"/>
    <s v="Dividendo"/>
    <x v="6"/>
    <n v="7.5"/>
  </r>
  <r>
    <x v="3"/>
    <s v="Dividendo"/>
    <x v="7"/>
    <n v="7.5"/>
  </r>
  <r>
    <x v="3"/>
    <s v="Dividendo"/>
    <x v="8"/>
    <n v="7.5"/>
  </r>
  <r>
    <x v="3"/>
    <s v="Dividendo"/>
    <x v="9"/>
    <n v="7.5"/>
  </r>
  <r>
    <x v="3"/>
    <s v="Dividendo"/>
    <x v="10"/>
    <n v="7.5"/>
  </r>
  <r>
    <x v="3"/>
    <s v="Dividendo"/>
    <x v="11"/>
    <n v="7.5"/>
  </r>
  <r>
    <x v="2"/>
    <s v="Interés Crédito"/>
    <x v="0"/>
    <n v="3.16"/>
  </r>
  <r>
    <x v="2"/>
    <s v="Interés Crédito"/>
    <x v="1"/>
    <n v="3.16"/>
  </r>
  <r>
    <x v="2"/>
    <s v="Interés Crédito"/>
    <x v="2"/>
    <n v="3.16"/>
  </r>
  <r>
    <x v="2"/>
    <s v="Interés Crédito"/>
    <x v="3"/>
    <n v="3.16"/>
  </r>
  <r>
    <x v="2"/>
    <s v="Interés Crédito"/>
    <x v="4"/>
    <n v="3.16"/>
  </r>
  <r>
    <x v="2"/>
    <s v="Interés Crédito"/>
    <x v="5"/>
    <n v="3.16"/>
  </r>
  <r>
    <x v="2"/>
    <s v="Interés Crédito"/>
    <x v="6"/>
    <n v="3.16"/>
  </r>
  <r>
    <x v="2"/>
    <s v="Interés Crédito"/>
    <x v="7"/>
    <n v="3.16"/>
  </r>
  <r>
    <x v="2"/>
    <s v="Interés Crédito"/>
    <x v="8"/>
    <n v="3.16"/>
  </r>
  <r>
    <x v="2"/>
    <s v="Interés Crédito"/>
    <x v="9"/>
    <n v="3.16"/>
  </r>
  <r>
    <x v="2"/>
    <s v="Interés Crédito"/>
    <x v="10"/>
    <n v="3.16"/>
  </r>
  <r>
    <x v="2"/>
    <s v="Interés Crédito"/>
    <x v="11"/>
    <n v="3.16"/>
  </r>
  <r>
    <x v="2"/>
    <s v="Otros"/>
    <x v="0"/>
    <n v="5"/>
  </r>
  <r>
    <x v="2"/>
    <s v="Otros"/>
    <x v="1"/>
    <n v="5"/>
  </r>
  <r>
    <x v="2"/>
    <s v="Otros"/>
    <x v="2"/>
    <n v="5"/>
  </r>
  <r>
    <x v="2"/>
    <s v="Otros"/>
    <x v="3"/>
    <n v="5"/>
  </r>
  <r>
    <x v="2"/>
    <s v="Otros"/>
    <x v="4"/>
    <n v="5"/>
  </r>
  <r>
    <x v="2"/>
    <s v="Otros"/>
    <x v="5"/>
    <n v="5"/>
  </r>
  <r>
    <x v="2"/>
    <s v="Otros"/>
    <x v="6"/>
    <n v="5"/>
  </r>
  <r>
    <x v="2"/>
    <s v="Otros"/>
    <x v="7"/>
    <n v="5"/>
  </r>
  <r>
    <x v="2"/>
    <s v="Otros"/>
    <x v="8"/>
    <n v="5"/>
  </r>
  <r>
    <x v="2"/>
    <s v="Otros"/>
    <x v="9"/>
    <n v="5"/>
  </r>
  <r>
    <x v="2"/>
    <s v="Otros"/>
    <x v="10"/>
    <n v="5"/>
  </r>
  <r>
    <x v="2"/>
    <s v="Otros"/>
    <x v="11"/>
    <n v="5"/>
  </r>
  <r>
    <x v="3"/>
    <s v="Gastos comunes"/>
    <x v="0"/>
    <n v="1.8"/>
  </r>
  <r>
    <x v="3"/>
    <s v="Gastos comunes"/>
    <x v="1"/>
    <n v="1.8"/>
  </r>
  <r>
    <x v="3"/>
    <s v="Gastos comunes"/>
    <x v="2"/>
    <n v="1.8"/>
  </r>
  <r>
    <x v="3"/>
    <s v="Gastos comunes"/>
    <x v="3"/>
    <n v="1.8"/>
  </r>
  <r>
    <x v="3"/>
    <s v="Gastos comunes"/>
    <x v="4"/>
    <n v="1.8"/>
  </r>
  <r>
    <x v="3"/>
    <s v="Gastos comunes"/>
    <x v="5"/>
    <n v="1.8"/>
  </r>
  <r>
    <x v="3"/>
    <s v="Gastos comunes"/>
    <x v="6"/>
    <n v="1.8"/>
  </r>
  <r>
    <x v="3"/>
    <s v="Gastos comunes"/>
    <x v="7"/>
    <n v="1.8"/>
  </r>
  <r>
    <x v="3"/>
    <s v="Gastos comunes"/>
    <x v="8"/>
    <n v="1.8"/>
  </r>
  <r>
    <x v="3"/>
    <s v="Gastos comunes"/>
    <x v="9"/>
    <n v="1.8"/>
  </r>
  <r>
    <x v="3"/>
    <s v="Gastos comunes"/>
    <x v="10"/>
    <n v="1.8"/>
  </r>
  <r>
    <x v="3"/>
    <s v="Gastos comunes"/>
    <x v="11"/>
    <n v="1.8"/>
  </r>
  <r>
    <x v="2"/>
    <s v="Tarjeta credito"/>
    <x v="0"/>
    <n v="8.5"/>
  </r>
  <r>
    <x v="2"/>
    <s v="Tarjeta credito"/>
    <x v="1"/>
    <n v="8.5"/>
  </r>
  <r>
    <x v="2"/>
    <s v="Tarjeta credito"/>
    <x v="2"/>
    <n v="8.5"/>
  </r>
  <r>
    <x v="2"/>
    <s v="Tarjeta credito"/>
    <x v="3"/>
    <n v="8.5"/>
  </r>
  <r>
    <x v="2"/>
    <s v="Tarjeta credito"/>
    <x v="4"/>
    <n v="8.5"/>
  </r>
  <r>
    <x v="2"/>
    <s v="Tarjeta credito"/>
    <x v="5"/>
    <n v="8.5"/>
  </r>
  <r>
    <x v="2"/>
    <s v="Tarjeta credito"/>
    <x v="6"/>
    <n v="8.5"/>
  </r>
  <r>
    <x v="2"/>
    <s v="Tarjeta credito"/>
    <x v="7"/>
    <n v="8.5"/>
  </r>
  <r>
    <x v="2"/>
    <s v="Tarjeta credito"/>
    <x v="8"/>
    <n v="8.5"/>
  </r>
  <r>
    <x v="2"/>
    <s v="Tarjeta credito"/>
    <x v="9"/>
    <n v="8.5"/>
  </r>
  <r>
    <x v="2"/>
    <s v="Tarjeta credito"/>
    <x v="10"/>
    <n v="8.5"/>
  </r>
  <r>
    <x v="2"/>
    <s v="Tarjeta credito"/>
    <x v="11"/>
    <n v="8.5"/>
  </r>
  <r>
    <x v="3"/>
    <s v="Telefonia"/>
    <x v="0"/>
    <n v="0.5"/>
  </r>
  <r>
    <x v="3"/>
    <s v="Telefonia"/>
    <x v="1"/>
    <n v="0.5"/>
  </r>
  <r>
    <x v="3"/>
    <s v="Telefonia"/>
    <x v="2"/>
    <n v="0.5"/>
  </r>
  <r>
    <x v="3"/>
    <s v="Telefonia"/>
    <x v="3"/>
    <n v="0.5"/>
  </r>
  <r>
    <x v="3"/>
    <s v="Telefonia"/>
    <x v="4"/>
    <n v="0.5"/>
  </r>
  <r>
    <x v="3"/>
    <s v="Telefonia"/>
    <x v="5"/>
    <n v="0.5"/>
  </r>
  <r>
    <x v="3"/>
    <s v="Telefonia"/>
    <x v="6"/>
    <n v="0.5"/>
  </r>
  <r>
    <x v="3"/>
    <s v="Telefonia"/>
    <x v="7"/>
    <n v="0.5"/>
  </r>
  <r>
    <x v="3"/>
    <s v="Telefonia"/>
    <x v="8"/>
    <n v="0.5"/>
  </r>
  <r>
    <x v="3"/>
    <s v="Telefonia"/>
    <x v="9"/>
    <n v="0.5"/>
  </r>
  <r>
    <x v="3"/>
    <s v="Telefonia"/>
    <x v="10"/>
    <n v="0.5"/>
  </r>
  <r>
    <x v="3"/>
    <s v="Telefonia"/>
    <x v="11"/>
    <n v="0.5"/>
  </r>
  <r>
    <x v="3"/>
    <s v="Energía"/>
    <x v="0"/>
    <n v="0.5"/>
  </r>
  <r>
    <x v="3"/>
    <s v="Energía"/>
    <x v="1"/>
    <n v="0.5"/>
  </r>
  <r>
    <x v="3"/>
    <s v="Energía"/>
    <x v="2"/>
    <n v="0.5"/>
  </r>
  <r>
    <x v="3"/>
    <s v="Energía"/>
    <x v="3"/>
    <n v="0.5"/>
  </r>
  <r>
    <x v="3"/>
    <s v="Energía"/>
    <x v="4"/>
    <n v="0.5"/>
  </r>
  <r>
    <x v="3"/>
    <s v="Energía"/>
    <x v="5"/>
    <n v="0.5"/>
  </r>
  <r>
    <x v="3"/>
    <s v="Energía"/>
    <x v="6"/>
    <n v="0.5"/>
  </r>
  <r>
    <x v="3"/>
    <s v="Energía"/>
    <x v="7"/>
    <n v="0.5"/>
  </r>
  <r>
    <x v="3"/>
    <s v="Energía"/>
    <x v="8"/>
    <n v="0.5"/>
  </r>
  <r>
    <x v="3"/>
    <s v="Energía"/>
    <x v="9"/>
    <n v="0.5"/>
  </r>
  <r>
    <x v="3"/>
    <s v="Energía"/>
    <x v="10"/>
    <n v="0.5"/>
  </r>
  <r>
    <x v="3"/>
    <s v="Energía"/>
    <x v="11"/>
    <n v="0.5"/>
  </r>
  <r>
    <x v="3"/>
    <s v="Estacionamiento"/>
    <x v="0"/>
    <n v="0.5"/>
  </r>
  <r>
    <x v="3"/>
    <s v="Estacionamiento"/>
    <x v="1"/>
    <n v="0.5"/>
  </r>
  <r>
    <x v="3"/>
    <s v="Estacionamiento"/>
    <x v="2"/>
    <n v="0.5"/>
  </r>
  <r>
    <x v="3"/>
    <s v="Estacionamiento"/>
    <x v="3"/>
    <n v="0.5"/>
  </r>
  <r>
    <x v="3"/>
    <s v="Estacionamiento"/>
    <x v="4"/>
    <n v="0.5"/>
  </r>
  <r>
    <x v="3"/>
    <s v="Estacionamiento"/>
    <x v="5"/>
    <n v="0.5"/>
  </r>
  <r>
    <x v="3"/>
    <s v="Estacionamiento"/>
    <x v="6"/>
    <n v="0.5"/>
  </r>
  <r>
    <x v="3"/>
    <s v="Estacionamiento"/>
    <x v="7"/>
    <n v="0.5"/>
  </r>
  <r>
    <x v="3"/>
    <s v="Estacionamiento"/>
    <x v="8"/>
    <n v="0.5"/>
  </r>
  <r>
    <x v="3"/>
    <s v="Estacionamiento"/>
    <x v="9"/>
    <n v="0.5"/>
  </r>
  <r>
    <x v="3"/>
    <s v="Estacionamiento"/>
    <x v="10"/>
    <n v="0.5"/>
  </r>
  <r>
    <x v="3"/>
    <s v="Estacionamiento"/>
    <x v="11"/>
    <n v="0.5"/>
  </r>
  <r>
    <x v="3"/>
    <s v="Asesoria"/>
    <x v="0"/>
    <n v="0.1"/>
  </r>
  <r>
    <x v="3"/>
    <s v="Asesoria"/>
    <x v="1"/>
    <n v="0.1"/>
  </r>
  <r>
    <x v="3"/>
    <s v="Asesoria"/>
    <x v="2"/>
    <n v="0.1"/>
  </r>
  <r>
    <x v="3"/>
    <s v="Asesoria"/>
    <x v="3"/>
    <n v="0.1"/>
  </r>
  <r>
    <x v="3"/>
    <s v="Asesoria"/>
    <x v="4"/>
    <n v="0.1"/>
  </r>
  <r>
    <x v="3"/>
    <s v="Asesoria"/>
    <x v="5"/>
    <n v="0.1"/>
  </r>
  <r>
    <x v="3"/>
    <s v="Asesoria"/>
    <x v="6"/>
    <n v="0.1"/>
  </r>
  <r>
    <x v="3"/>
    <s v="Asesoria"/>
    <x v="7"/>
    <n v="0.1"/>
  </r>
  <r>
    <x v="3"/>
    <s v="Asesoria"/>
    <x v="8"/>
    <n v="0.1"/>
  </r>
  <r>
    <x v="3"/>
    <s v="Asesoria"/>
    <x v="9"/>
    <n v="0.1"/>
  </r>
  <r>
    <x v="3"/>
    <s v="Asesoria"/>
    <x v="10"/>
    <n v="0.1"/>
  </r>
  <r>
    <x v="3"/>
    <s v="Asesoria"/>
    <x v="11"/>
    <n v="0.1"/>
  </r>
  <r>
    <x v="3"/>
    <s v="Transporte"/>
    <x v="0"/>
    <n v="0.1"/>
  </r>
  <r>
    <x v="3"/>
    <s v="Transporte"/>
    <x v="1"/>
    <n v="0.1"/>
  </r>
  <r>
    <x v="3"/>
    <s v="Transporte"/>
    <x v="2"/>
    <n v="0.1"/>
  </r>
  <r>
    <x v="3"/>
    <s v="Transporte"/>
    <x v="3"/>
    <n v="0.1"/>
  </r>
  <r>
    <x v="3"/>
    <s v="Transporte"/>
    <x v="4"/>
    <n v="0.1"/>
  </r>
  <r>
    <x v="3"/>
    <s v="Transporte"/>
    <x v="5"/>
    <n v="0.1"/>
  </r>
  <r>
    <x v="3"/>
    <s v="Transporte"/>
    <x v="6"/>
    <n v="0.1"/>
  </r>
  <r>
    <x v="3"/>
    <s v="Transporte"/>
    <x v="7"/>
    <n v="0.1"/>
  </r>
  <r>
    <x v="3"/>
    <s v="Transporte"/>
    <x v="8"/>
    <n v="0.1"/>
  </r>
  <r>
    <x v="3"/>
    <s v="Transporte"/>
    <x v="9"/>
    <n v="0.1"/>
  </r>
  <r>
    <x v="3"/>
    <s v="Transporte"/>
    <x v="10"/>
    <n v="0.1"/>
  </r>
  <r>
    <x v="3"/>
    <s v="Transporte"/>
    <x v="11"/>
    <n v="0.1"/>
  </r>
  <r>
    <x v="3"/>
    <s v="Caja chica"/>
    <x v="0"/>
    <n v="0.5"/>
  </r>
  <r>
    <x v="3"/>
    <s v="Caja chica"/>
    <x v="1"/>
    <n v="0.5"/>
  </r>
  <r>
    <x v="3"/>
    <s v="Caja chica"/>
    <x v="2"/>
    <n v="0.5"/>
  </r>
  <r>
    <x v="3"/>
    <s v="Caja chica"/>
    <x v="3"/>
    <n v="0.5"/>
  </r>
  <r>
    <x v="3"/>
    <s v="Caja chica"/>
    <x v="4"/>
    <n v="0.5"/>
  </r>
  <r>
    <x v="3"/>
    <s v="Caja chica"/>
    <x v="5"/>
    <n v="0.5"/>
  </r>
  <r>
    <x v="3"/>
    <s v="Caja chica"/>
    <x v="6"/>
    <n v="0.5"/>
  </r>
  <r>
    <x v="3"/>
    <s v="Caja chica"/>
    <x v="7"/>
    <n v="0.5"/>
  </r>
  <r>
    <x v="3"/>
    <s v="Caja chica"/>
    <x v="8"/>
    <n v="0.5"/>
  </r>
  <r>
    <x v="3"/>
    <s v="Caja chica"/>
    <x v="9"/>
    <n v="0.5"/>
  </r>
  <r>
    <x v="3"/>
    <s v="Caja chica"/>
    <x v="10"/>
    <n v="0.5"/>
  </r>
  <r>
    <x v="3"/>
    <s v="Caja chica"/>
    <x v="11"/>
    <n v="0.5"/>
  </r>
  <r>
    <x v="2"/>
    <s v="Software"/>
    <x v="0"/>
    <n v="2"/>
  </r>
  <r>
    <x v="2"/>
    <s v="Software"/>
    <x v="1"/>
    <n v="2"/>
  </r>
  <r>
    <x v="2"/>
    <s v="Software"/>
    <x v="2"/>
    <n v="2"/>
  </r>
  <r>
    <x v="2"/>
    <s v="Software"/>
    <x v="3"/>
    <n v="2"/>
  </r>
  <r>
    <x v="2"/>
    <s v="Software"/>
    <x v="4"/>
    <n v="2"/>
  </r>
  <r>
    <x v="2"/>
    <s v="Software"/>
    <x v="5"/>
    <n v="2"/>
  </r>
  <r>
    <x v="2"/>
    <s v="Software"/>
    <x v="6"/>
    <n v="2"/>
  </r>
  <r>
    <x v="2"/>
    <s v="Software"/>
    <x v="7"/>
    <n v="2"/>
  </r>
  <r>
    <x v="2"/>
    <s v="Software"/>
    <x v="8"/>
    <n v="2"/>
  </r>
  <r>
    <x v="2"/>
    <s v="Software"/>
    <x v="9"/>
    <n v="2"/>
  </r>
  <r>
    <x v="2"/>
    <s v="Software"/>
    <x v="10"/>
    <n v="2"/>
  </r>
  <r>
    <x v="2"/>
    <s v="Software"/>
    <x v="11"/>
    <n v="2"/>
  </r>
  <r>
    <x v="2"/>
    <s v="Registro Proveedores"/>
    <x v="0"/>
    <n v="0.3"/>
  </r>
  <r>
    <x v="2"/>
    <s v="Registro Proveedores"/>
    <x v="1"/>
    <n v="0.3"/>
  </r>
  <r>
    <x v="2"/>
    <s v="Registro Proveedores"/>
    <x v="2"/>
    <n v="0.3"/>
  </r>
  <r>
    <x v="2"/>
    <s v="Registro Proveedores"/>
    <x v="3"/>
    <n v="0.3"/>
  </r>
  <r>
    <x v="2"/>
    <s v="Registro Proveedores"/>
    <x v="4"/>
    <n v="0.3"/>
  </r>
  <r>
    <x v="2"/>
    <s v="Registro Proveedores"/>
    <x v="5"/>
    <n v="0.3"/>
  </r>
  <r>
    <x v="2"/>
    <s v="Registro Proveedores"/>
    <x v="6"/>
    <n v="0.3"/>
  </r>
  <r>
    <x v="2"/>
    <s v="Registro Proveedores"/>
    <x v="7"/>
    <n v="0.3"/>
  </r>
  <r>
    <x v="2"/>
    <s v="Registro Proveedores"/>
    <x v="8"/>
    <n v="0.3"/>
  </r>
  <r>
    <x v="2"/>
    <s v="Registro Proveedores"/>
    <x v="9"/>
    <n v="0.3"/>
  </r>
  <r>
    <x v="2"/>
    <s v="Registro Proveedores"/>
    <x v="10"/>
    <n v="0.3"/>
  </r>
  <r>
    <x v="2"/>
    <s v="Registro Proveedores"/>
    <x v="11"/>
    <n v="0.3"/>
  </r>
  <r>
    <x v="3"/>
    <s v="Computación"/>
    <x v="0"/>
    <n v="0.5"/>
  </r>
  <r>
    <x v="3"/>
    <s v="Computación"/>
    <x v="1"/>
    <n v="0.5"/>
  </r>
  <r>
    <x v="3"/>
    <s v="Computación"/>
    <x v="2"/>
    <n v="0.5"/>
  </r>
  <r>
    <x v="3"/>
    <s v="Computación"/>
    <x v="3"/>
    <n v="0.5"/>
  </r>
  <r>
    <x v="3"/>
    <s v="Computación"/>
    <x v="4"/>
    <n v="0.5"/>
  </r>
  <r>
    <x v="3"/>
    <s v="Computación"/>
    <x v="5"/>
    <n v="0.5"/>
  </r>
  <r>
    <x v="3"/>
    <s v="Computación"/>
    <x v="6"/>
    <n v="0.5"/>
  </r>
  <r>
    <x v="3"/>
    <s v="Computación"/>
    <x v="7"/>
    <n v="0.5"/>
  </r>
  <r>
    <x v="3"/>
    <s v="Computación"/>
    <x v="8"/>
    <n v="0.5"/>
  </r>
  <r>
    <x v="3"/>
    <s v="Computación"/>
    <x v="9"/>
    <n v="0.5"/>
  </r>
  <r>
    <x v="3"/>
    <s v="Computación"/>
    <x v="10"/>
    <n v="0.5"/>
  </r>
  <r>
    <x v="3"/>
    <s v="Computación"/>
    <x v="11"/>
    <n v="0.5"/>
  </r>
  <r>
    <x v="3"/>
    <s v="Servicios"/>
    <x v="0"/>
    <n v="0.2"/>
  </r>
  <r>
    <x v="3"/>
    <s v="Servicios"/>
    <x v="1"/>
    <n v="0.2"/>
  </r>
  <r>
    <x v="3"/>
    <s v="Servicios"/>
    <x v="2"/>
    <n v="0.2"/>
  </r>
  <r>
    <x v="3"/>
    <s v="Servicios"/>
    <x v="3"/>
    <n v="0.2"/>
  </r>
  <r>
    <x v="3"/>
    <s v="Servicios"/>
    <x v="4"/>
    <n v="0.2"/>
  </r>
  <r>
    <x v="3"/>
    <s v="Servicios"/>
    <x v="5"/>
    <n v="0.2"/>
  </r>
  <r>
    <x v="3"/>
    <s v="Servicios"/>
    <x v="6"/>
    <n v="0.2"/>
  </r>
  <r>
    <x v="3"/>
    <s v="Servicios"/>
    <x v="7"/>
    <n v="0.2"/>
  </r>
  <r>
    <x v="3"/>
    <s v="Servicios"/>
    <x v="8"/>
    <n v="0.2"/>
  </r>
  <r>
    <x v="3"/>
    <s v="Servicios"/>
    <x v="9"/>
    <n v="0.2"/>
  </r>
  <r>
    <x v="3"/>
    <s v="Servicios"/>
    <x v="10"/>
    <n v="0.2"/>
  </r>
  <r>
    <x v="3"/>
    <s v="Servicios"/>
    <x v="11"/>
    <n v="0.2"/>
  </r>
  <r>
    <x v="3"/>
    <s v="Tintas"/>
    <x v="0"/>
    <n v="0.1"/>
  </r>
  <r>
    <x v="3"/>
    <s v="Tintas"/>
    <x v="1"/>
    <n v="0.1"/>
  </r>
  <r>
    <x v="3"/>
    <s v="Tintas"/>
    <x v="2"/>
    <n v="0.1"/>
  </r>
  <r>
    <x v="3"/>
    <s v="Tintas"/>
    <x v="3"/>
    <n v="0.1"/>
  </r>
  <r>
    <x v="3"/>
    <s v="Tintas"/>
    <x v="4"/>
    <n v="0.1"/>
  </r>
  <r>
    <x v="3"/>
    <s v="Tintas"/>
    <x v="5"/>
    <n v="0.1"/>
  </r>
  <r>
    <x v="3"/>
    <s v="Tintas"/>
    <x v="6"/>
    <n v="0.1"/>
  </r>
  <r>
    <x v="3"/>
    <s v="Tintas"/>
    <x v="7"/>
    <n v="0.1"/>
  </r>
  <r>
    <x v="3"/>
    <s v="Tintas"/>
    <x v="8"/>
    <n v="0.1"/>
  </r>
  <r>
    <x v="3"/>
    <s v="Tintas"/>
    <x v="9"/>
    <n v="0.1"/>
  </r>
  <r>
    <x v="3"/>
    <s v="Tintas"/>
    <x v="10"/>
    <n v="0.1"/>
  </r>
  <r>
    <x v="3"/>
    <s v="Tintas"/>
    <x v="11"/>
    <n v="0.1"/>
  </r>
  <r>
    <x v="3"/>
    <s v="Contribuciones"/>
    <x v="0"/>
    <n v="0.85"/>
  </r>
  <r>
    <x v="3"/>
    <s v="Contribuciones"/>
    <x v="1"/>
    <n v="0.85"/>
  </r>
  <r>
    <x v="3"/>
    <s v="Contribuciones"/>
    <x v="2"/>
    <n v="0.85"/>
  </r>
  <r>
    <x v="3"/>
    <s v="Contribuciones"/>
    <x v="3"/>
    <n v="0.85"/>
  </r>
  <r>
    <x v="3"/>
    <s v="Contribuciones"/>
    <x v="4"/>
    <n v="0.85"/>
  </r>
  <r>
    <x v="3"/>
    <s v="Contribuciones"/>
    <x v="5"/>
    <n v="0.85"/>
  </r>
  <r>
    <x v="3"/>
    <s v="Contribuciones"/>
    <x v="6"/>
    <n v="0.85"/>
  </r>
  <r>
    <x v="3"/>
    <s v="Contribuciones"/>
    <x v="7"/>
    <n v="0.85"/>
  </r>
  <r>
    <x v="3"/>
    <s v="Contribuciones"/>
    <x v="8"/>
    <n v="0.85"/>
  </r>
  <r>
    <x v="3"/>
    <s v="Contribuciones"/>
    <x v="9"/>
    <n v="0.85"/>
  </r>
  <r>
    <x v="3"/>
    <s v="Contribuciones"/>
    <x v="10"/>
    <n v="0.85"/>
  </r>
  <r>
    <x v="3"/>
    <s v="Contribuciones"/>
    <x v="11"/>
    <n v="0.85"/>
  </r>
  <r>
    <x v="2"/>
    <s v="Prestamo"/>
    <x v="0"/>
    <n v="7.5"/>
  </r>
  <r>
    <x v="2"/>
    <s v="Prestamo"/>
    <x v="1"/>
    <n v="7.5"/>
  </r>
  <r>
    <x v="2"/>
    <s v="Prestamo"/>
    <x v="2"/>
    <n v="7.5"/>
  </r>
  <r>
    <x v="2"/>
    <s v="Prestamo"/>
    <x v="3"/>
    <n v="7.5"/>
  </r>
  <r>
    <x v="2"/>
    <s v="Prestamo"/>
    <x v="4"/>
    <n v="7.5"/>
  </r>
  <r>
    <x v="2"/>
    <s v="Prestamo"/>
    <x v="5"/>
    <n v="7.5"/>
  </r>
  <r>
    <x v="2"/>
    <s v="Prestamo"/>
    <x v="6"/>
    <n v="7.5"/>
  </r>
  <r>
    <x v="2"/>
    <s v="Prestamo"/>
    <x v="7"/>
    <n v="7.5"/>
  </r>
  <r>
    <x v="2"/>
    <s v="Prestamo"/>
    <x v="8"/>
    <n v="7.5"/>
  </r>
  <r>
    <x v="2"/>
    <s v="Prestamo"/>
    <x v="9"/>
    <n v="7.5"/>
  </r>
  <r>
    <x v="2"/>
    <s v="Prestamo"/>
    <x v="10"/>
    <n v="7.5"/>
  </r>
  <r>
    <x v="2"/>
    <s v="Prestamo"/>
    <x v="11"/>
    <n v="7.5"/>
  </r>
  <r>
    <x v="2"/>
    <s v="Patente"/>
    <x v="0"/>
    <n v="0.5"/>
  </r>
  <r>
    <x v="2"/>
    <s v="Patente"/>
    <x v="1"/>
    <n v="0"/>
  </r>
  <r>
    <x v="2"/>
    <s v="Patente"/>
    <x v="2"/>
    <n v="0"/>
  </r>
  <r>
    <x v="2"/>
    <s v="Patente"/>
    <x v="3"/>
    <n v="0"/>
  </r>
  <r>
    <x v="2"/>
    <s v="Patente"/>
    <x v="4"/>
    <n v="0"/>
  </r>
  <r>
    <x v="2"/>
    <s v="Patente"/>
    <x v="5"/>
    <n v="0"/>
  </r>
  <r>
    <x v="2"/>
    <s v="Patente"/>
    <x v="6"/>
    <n v="0.5"/>
  </r>
  <r>
    <x v="2"/>
    <s v="Patente"/>
    <x v="7"/>
    <n v="0"/>
  </r>
  <r>
    <x v="2"/>
    <s v="Patente"/>
    <x v="8"/>
    <n v="0"/>
  </r>
  <r>
    <x v="2"/>
    <s v="Patente"/>
    <x v="9"/>
    <n v="0"/>
  </r>
  <r>
    <x v="2"/>
    <s v="Patente"/>
    <x v="10"/>
    <n v="0"/>
  </r>
  <r>
    <x v="2"/>
    <s v="Patente"/>
    <x v="11"/>
    <n v="0"/>
  </r>
  <r>
    <x v="2"/>
    <s v="EERR"/>
    <x v="0"/>
    <n v="3"/>
  </r>
  <r>
    <x v="2"/>
    <s v="EERR"/>
    <x v="1"/>
    <n v="3"/>
  </r>
  <r>
    <x v="2"/>
    <s v="EERR"/>
    <x v="2"/>
    <n v="3"/>
  </r>
  <r>
    <x v="2"/>
    <s v="EERR"/>
    <x v="3"/>
    <n v="3"/>
  </r>
  <r>
    <x v="2"/>
    <s v="EERR"/>
    <x v="4"/>
    <n v="3"/>
  </r>
  <r>
    <x v="2"/>
    <s v="EERR"/>
    <x v="5"/>
    <n v="3"/>
  </r>
  <r>
    <x v="2"/>
    <s v="EERR"/>
    <x v="6"/>
    <n v="3"/>
  </r>
  <r>
    <x v="2"/>
    <s v="EERR"/>
    <x v="7"/>
    <n v="3"/>
  </r>
  <r>
    <x v="2"/>
    <s v="EERR"/>
    <x v="8"/>
    <n v="3"/>
  </r>
  <r>
    <x v="2"/>
    <s v="EERR"/>
    <x v="9"/>
    <n v="3"/>
  </r>
  <r>
    <x v="2"/>
    <s v="EERR"/>
    <x v="10"/>
    <n v="3"/>
  </r>
  <r>
    <x v="2"/>
    <s v="EERR"/>
    <x v="11"/>
    <n v="3"/>
  </r>
  <r>
    <x v="3"/>
    <s v="Banco"/>
    <x v="0"/>
    <n v="1"/>
  </r>
  <r>
    <x v="3"/>
    <s v="Banco"/>
    <x v="1"/>
    <n v="1"/>
  </r>
  <r>
    <x v="3"/>
    <s v="Banco"/>
    <x v="2"/>
    <n v="1"/>
  </r>
  <r>
    <x v="3"/>
    <s v="Banco"/>
    <x v="3"/>
    <n v="1"/>
  </r>
  <r>
    <x v="3"/>
    <s v="Banco"/>
    <x v="4"/>
    <n v="1"/>
  </r>
  <r>
    <x v="3"/>
    <s v="Banco"/>
    <x v="5"/>
    <n v="1"/>
  </r>
  <r>
    <x v="3"/>
    <s v="Banco"/>
    <x v="6"/>
    <n v="1"/>
  </r>
  <r>
    <x v="3"/>
    <s v="Banco"/>
    <x v="7"/>
    <n v="1"/>
  </r>
  <r>
    <x v="3"/>
    <s v="Banco"/>
    <x v="8"/>
    <n v="1"/>
  </r>
  <r>
    <x v="3"/>
    <s v="Banco"/>
    <x v="9"/>
    <n v="1"/>
  </r>
  <r>
    <x v="3"/>
    <s v="Banco"/>
    <x v="10"/>
    <n v="1"/>
  </r>
  <r>
    <x v="3"/>
    <s v="Banco"/>
    <x v="11"/>
    <n v="1"/>
  </r>
  <r>
    <x v="4"/>
    <s v="Otros"/>
    <x v="0"/>
    <n v="19.422999999999998"/>
  </r>
  <r>
    <x v="4"/>
    <s v="Otros"/>
    <x v="1"/>
    <n v="19.422999999999998"/>
  </r>
  <r>
    <x v="4"/>
    <s v="Otros"/>
    <x v="2"/>
    <n v="19.422999999999998"/>
  </r>
  <r>
    <x v="4"/>
    <s v="Otros"/>
    <x v="3"/>
    <n v="19.422999999999998"/>
  </r>
  <r>
    <x v="4"/>
    <s v="Otros"/>
    <x v="4"/>
    <n v="19.422999999999998"/>
  </r>
  <r>
    <x v="4"/>
    <s v="Otros"/>
    <x v="5"/>
    <n v="19.422999999999998"/>
  </r>
  <r>
    <x v="4"/>
    <s v="Otros"/>
    <x v="6"/>
    <n v="19.422999999999998"/>
  </r>
  <r>
    <x v="4"/>
    <s v="Otros"/>
    <x v="7"/>
    <n v="19.422999999999998"/>
  </r>
  <r>
    <x v="4"/>
    <s v="Otros"/>
    <x v="8"/>
    <n v="19.422999999999998"/>
  </r>
  <r>
    <x v="4"/>
    <s v="Otros"/>
    <x v="9"/>
    <n v="19.422999999999998"/>
  </r>
  <r>
    <x v="4"/>
    <s v="Otros"/>
    <x v="10"/>
    <n v="19.422999999999998"/>
  </r>
  <r>
    <x v="4"/>
    <s v="Otros"/>
    <x v="11"/>
    <n v="19.422999999999998"/>
  </r>
  <r>
    <x v="2"/>
    <s v="Publicidad"/>
    <x v="0"/>
    <n v="2"/>
  </r>
  <r>
    <x v="2"/>
    <s v="Publicidad"/>
    <x v="1"/>
    <n v="2"/>
  </r>
  <r>
    <x v="2"/>
    <s v="Publicidad"/>
    <x v="2"/>
    <n v="2"/>
  </r>
  <r>
    <x v="2"/>
    <s v="Publicidad"/>
    <x v="3"/>
    <n v="2"/>
  </r>
  <r>
    <x v="2"/>
    <s v="Publicidad"/>
    <x v="4"/>
    <n v="2"/>
  </r>
  <r>
    <x v="2"/>
    <s v="Publicidad"/>
    <x v="5"/>
    <n v="2"/>
  </r>
  <r>
    <x v="2"/>
    <s v="Publicidad"/>
    <x v="6"/>
    <n v="2"/>
  </r>
  <r>
    <x v="2"/>
    <s v="Publicidad"/>
    <x v="7"/>
    <n v="2"/>
  </r>
  <r>
    <x v="2"/>
    <s v="Publicidad"/>
    <x v="8"/>
    <n v="2"/>
  </r>
  <r>
    <x v="2"/>
    <s v="Publicidad"/>
    <x v="9"/>
    <n v="2"/>
  </r>
  <r>
    <x v="2"/>
    <s v="Publicidad"/>
    <x v="10"/>
    <n v="2"/>
  </r>
  <r>
    <x v="2"/>
    <s v="Publicidad"/>
    <x v="11"/>
    <n v="2"/>
  </r>
  <r>
    <x v="2"/>
    <s v="Eventos"/>
    <x v="0"/>
    <n v="5.8"/>
  </r>
  <r>
    <x v="2"/>
    <s v="Eventos"/>
    <x v="1"/>
    <n v="5.8"/>
  </r>
  <r>
    <x v="2"/>
    <s v="Eventos"/>
    <x v="2"/>
    <n v="5.8"/>
  </r>
  <r>
    <x v="2"/>
    <s v="Eventos"/>
    <x v="3"/>
    <n v="5.8"/>
  </r>
  <r>
    <x v="2"/>
    <s v="Eventos"/>
    <x v="4"/>
    <n v="5.8"/>
  </r>
  <r>
    <x v="2"/>
    <s v="Eventos"/>
    <x v="5"/>
    <n v="5.8"/>
  </r>
  <r>
    <x v="2"/>
    <s v="Eventos"/>
    <x v="6"/>
    <n v="5.8"/>
  </r>
  <r>
    <x v="2"/>
    <s v="Eventos"/>
    <x v="7"/>
    <n v="5.8"/>
  </r>
  <r>
    <x v="2"/>
    <s v="Eventos"/>
    <x v="8"/>
    <n v="5.8"/>
  </r>
  <r>
    <x v="2"/>
    <s v="Eventos"/>
    <x v="9"/>
    <n v="5.8"/>
  </r>
  <r>
    <x v="2"/>
    <s v="Eventos"/>
    <x v="10"/>
    <n v="5.8"/>
  </r>
  <r>
    <x v="2"/>
    <s v="Eventos"/>
    <x v="11"/>
    <n v="5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12">
  <r>
    <x v="0"/>
    <x v="0"/>
    <x v="0"/>
    <n v="7005.3004000000001"/>
    <x v="0"/>
  </r>
  <r>
    <x v="0"/>
    <x v="0"/>
    <x v="1"/>
    <n v="7099.7381999999998"/>
    <x v="0"/>
  </r>
  <r>
    <x v="0"/>
    <x v="0"/>
    <x v="2"/>
    <n v="7109.6652000000004"/>
    <x v="0"/>
  </r>
  <r>
    <x v="0"/>
    <x v="0"/>
    <x v="3"/>
    <n v="7111.7650000000003"/>
    <x v="0"/>
  </r>
  <r>
    <x v="0"/>
    <x v="0"/>
    <x v="4"/>
    <n v="6926.4130999999998"/>
    <x v="0"/>
  </r>
  <r>
    <x v="0"/>
    <x v="0"/>
    <x v="5"/>
    <n v="6927.3272999999999"/>
    <x v="0"/>
  </r>
  <r>
    <x v="0"/>
    <x v="0"/>
    <x v="6"/>
    <n v="6966.8723"/>
    <x v="0"/>
  </r>
  <r>
    <x v="0"/>
    <x v="0"/>
    <x v="7"/>
    <n v="6927.5772999999999"/>
    <x v="0"/>
  </r>
  <r>
    <x v="0"/>
    <x v="0"/>
    <x v="8"/>
    <n v="6937.1309000000001"/>
    <x v="0"/>
  </r>
  <r>
    <x v="0"/>
    <x v="0"/>
    <x v="9"/>
    <n v="6934.6727000000001"/>
    <x v="0"/>
  </r>
  <r>
    <x v="0"/>
    <x v="0"/>
    <x v="10"/>
    <n v="6938.9570999999996"/>
    <x v="0"/>
  </r>
  <r>
    <x v="0"/>
    <x v="0"/>
    <x v="11"/>
    <n v="6937.1072999999997"/>
    <x v="0"/>
  </r>
  <r>
    <x v="0"/>
    <x v="1"/>
    <x v="0"/>
    <n v="2178.8766000000001"/>
    <x v="0"/>
  </r>
  <r>
    <x v="0"/>
    <x v="1"/>
    <x v="1"/>
    <n v="2180.9539"/>
    <x v="0"/>
  </r>
  <r>
    <x v="0"/>
    <x v="1"/>
    <x v="2"/>
    <n v="2181.0740000000001"/>
    <x v="0"/>
  </r>
  <r>
    <x v="0"/>
    <x v="1"/>
    <x v="3"/>
    <n v="2180.6523999999999"/>
    <x v="0"/>
  </r>
  <r>
    <x v="0"/>
    <x v="1"/>
    <x v="4"/>
    <n v="2180.6266000000001"/>
    <x v="0"/>
  </r>
  <r>
    <x v="0"/>
    <x v="1"/>
    <x v="5"/>
    <n v="2180.2908000000002"/>
    <x v="0"/>
  </r>
  <r>
    <x v="0"/>
    <x v="1"/>
    <x v="6"/>
    <n v="2229.4367000000002"/>
    <x v="0"/>
  </r>
  <r>
    <x v="0"/>
    <x v="1"/>
    <x v="7"/>
    <n v="2186.0675999999999"/>
    <x v="0"/>
  </r>
  <r>
    <x v="0"/>
    <x v="1"/>
    <x v="8"/>
    <n v="2182.8186999999998"/>
    <x v="0"/>
  </r>
  <r>
    <x v="0"/>
    <x v="1"/>
    <x v="9"/>
    <n v="2182.2091999999998"/>
    <x v="0"/>
  </r>
  <r>
    <x v="0"/>
    <x v="1"/>
    <x v="10"/>
    <n v="2182.1212"/>
    <x v="0"/>
  </r>
  <r>
    <x v="0"/>
    <x v="1"/>
    <x v="11"/>
    <n v="2181.6631000000002"/>
    <x v="0"/>
  </r>
  <r>
    <x v="0"/>
    <x v="2"/>
    <x v="0"/>
    <n v="819.51930000000004"/>
    <x v="0"/>
  </r>
  <r>
    <x v="0"/>
    <x v="2"/>
    <x v="1"/>
    <n v="1398.3487"/>
    <x v="0"/>
  </r>
  <r>
    <x v="0"/>
    <x v="2"/>
    <x v="2"/>
    <n v="1398.7779"/>
    <x v="0"/>
  </r>
  <r>
    <x v="0"/>
    <x v="2"/>
    <x v="3"/>
    <n v="1398.9356"/>
    <x v="0"/>
  </r>
  <r>
    <x v="0"/>
    <x v="2"/>
    <x v="4"/>
    <n v="1399.133"/>
    <x v="0"/>
  </r>
  <r>
    <x v="0"/>
    <x v="2"/>
    <x v="5"/>
    <n v="1399.2123999999999"/>
    <x v="0"/>
  </r>
  <r>
    <x v="0"/>
    <x v="2"/>
    <x v="6"/>
    <n v="1520.5138999999999"/>
    <x v="0"/>
  </r>
  <r>
    <x v="0"/>
    <x v="2"/>
    <x v="7"/>
    <n v="1501.9861000000001"/>
    <x v="0"/>
  </r>
  <r>
    <x v="0"/>
    <x v="2"/>
    <x v="8"/>
    <n v="1502.3444"/>
    <x v="0"/>
  </r>
  <r>
    <x v="0"/>
    <x v="2"/>
    <x v="9"/>
    <n v="1502.8679999999999"/>
    <x v="0"/>
  </r>
  <r>
    <x v="0"/>
    <x v="2"/>
    <x v="10"/>
    <n v="1503.029"/>
    <x v="0"/>
  </r>
  <r>
    <x v="0"/>
    <x v="2"/>
    <x v="11"/>
    <n v="1503.029"/>
    <x v="0"/>
  </r>
  <r>
    <x v="0"/>
    <x v="3"/>
    <x v="0"/>
    <n v="0"/>
    <x v="0"/>
  </r>
  <r>
    <x v="0"/>
    <x v="3"/>
    <x v="1"/>
    <n v="0"/>
    <x v="0"/>
  </r>
  <r>
    <x v="0"/>
    <x v="3"/>
    <x v="2"/>
    <n v="0"/>
    <x v="0"/>
  </r>
  <r>
    <x v="0"/>
    <x v="3"/>
    <x v="3"/>
    <n v="0"/>
    <x v="0"/>
  </r>
  <r>
    <x v="0"/>
    <x v="3"/>
    <x v="4"/>
    <n v="0"/>
    <x v="0"/>
  </r>
  <r>
    <x v="0"/>
    <x v="3"/>
    <x v="5"/>
    <n v="0"/>
    <x v="0"/>
  </r>
  <r>
    <x v="0"/>
    <x v="3"/>
    <x v="6"/>
    <n v="0"/>
    <x v="0"/>
  </r>
  <r>
    <x v="0"/>
    <x v="3"/>
    <x v="7"/>
    <n v="0"/>
    <x v="0"/>
  </r>
  <r>
    <x v="0"/>
    <x v="3"/>
    <x v="8"/>
    <n v="0"/>
    <x v="0"/>
  </r>
  <r>
    <x v="0"/>
    <x v="3"/>
    <x v="9"/>
    <n v="1536.2307000000001"/>
    <x v="0"/>
  </r>
  <r>
    <x v="0"/>
    <x v="3"/>
    <x v="10"/>
    <n v="2296.2318"/>
    <x v="0"/>
  </r>
  <r>
    <x v="0"/>
    <x v="3"/>
    <x v="11"/>
    <n v="2296.2318"/>
    <x v="0"/>
  </r>
  <r>
    <x v="0"/>
    <x v="4"/>
    <x v="0"/>
    <n v="2766.2350000000001"/>
    <x v="0"/>
  </r>
  <r>
    <x v="0"/>
    <x v="4"/>
    <x v="1"/>
    <n v="67.077299999999994"/>
    <x v="0"/>
  </r>
  <r>
    <x v="0"/>
    <x v="4"/>
    <x v="2"/>
    <n v="0"/>
    <x v="0"/>
  </r>
  <r>
    <x v="0"/>
    <x v="4"/>
    <x v="3"/>
    <n v="0"/>
    <x v="0"/>
  </r>
  <r>
    <x v="0"/>
    <x v="4"/>
    <x v="4"/>
    <n v="0"/>
    <x v="0"/>
  </r>
  <r>
    <x v="0"/>
    <x v="4"/>
    <x v="5"/>
    <n v="0"/>
    <x v="0"/>
  </r>
  <r>
    <x v="0"/>
    <x v="4"/>
    <x v="6"/>
    <n v="0"/>
    <x v="0"/>
  </r>
  <r>
    <x v="0"/>
    <x v="4"/>
    <x v="7"/>
    <n v="0"/>
    <x v="0"/>
  </r>
  <r>
    <x v="0"/>
    <x v="4"/>
    <x v="8"/>
    <n v="0"/>
    <x v="0"/>
  </r>
  <r>
    <x v="0"/>
    <x v="4"/>
    <x v="9"/>
    <n v="0"/>
    <x v="0"/>
  </r>
  <r>
    <x v="0"/>
    <x v="4"/>
    <x v="10"/>
    <n v="0"/>
    <x v="0"/>
  </r>
  <r>
    <x v="0"/>
    <x v="4"/>
    <x v="11"/>
    <n v="0"/>
    <x v="0"/>
  </r>
  <r>
    <x v="0"/>
    <x v="5"/>
    <x v="0"/>
    <n v="4206.3293999999996"/>
    <x v="0"/>
  </r>
  <r>
    <x v="0"/>
    <x v="5"/>
    <x v="1"/>
    <n v="6417.0504000000001"/>
    <x v="0"/>
  </r>
  <r>
    <x v="0"/>
    <x v="5"/>
    <x v="2"/>
    <n v="6428.0612000000001"/>
    <x v="0"/>
  </r>
  <r>
    <x v="0"/>
    <x v="5"/>
    <x v="3"/>
    <n v="6430.9582"/>
    <x v="0"/>
  </r>
  <r>
    <x v="0"/>
    <x v="5"/>
    <x v="4"/>
    <n v="6436.0429000000004"/>
    <x v="0"/>
  </r>
  <r>
    <x v="0"/>
    <x v="5"/>
    <x v="5"/>
    <n v="6437.6749"/>
    <x v="0"/>
  </r>
  <r>
    <x v="0"/>
    <x v="5"/>
    <x v="6"/>
    <n v="6482.5697"/>
    <x v="0"/>
  </r>
  <r>
    <x v="0"/>
    <x v="5"/>
    <x v="7"/>
    <n v="6438.9967999999999"/>
    <x v="0"/>
  </r>
  <r>
    <x v="0"/>
    <x v="5"/>
    <x v="8"/>
    <n v="7093.2746999999999"/>
    <x v="0"/>
  </r>
  <r>
    <x v="0"/>
    <x v="5"/>
    <x v="9"/>
    <n v="7091.8540999999996"/>
    <x v="0"/>
  </r>
  <r>
    <x v="0"/>
    <x v="5"/>
    <x v="10"/>
    <n v="7096.5622000000003"/>
    <x v="0"/>
  </r>
  <r>
    <x v="0"/>
    <x v="5"/>
    <x v="11"/>
    <n v="12258.839099999999"/>
    <x v="0"/>
  </r>
  <r>
    <x v="0"/>
    <x v="6"/>
    <x v="0"/>
    <n v="0"/>
    <x v="0"/>
  </r>
  <r>
    <x v="0"/>
    <x v="6"/>
    <x v="1"/>
    <n v="5973.5011000000004"/>
    <x v="0"/>
  </r>
  <r>
    <x v="0"/>
    <x v="6"/>
    <x v="2"/>
    <n v="13906.952799999999"/>
    <x v="0"/>
  </r>
  <r>
    <x v="0"/>
    <x v="6"/>
    <x v="3"/>
    <n v="13908.841200000001"/>
    <x v="0"/>
  </r>
  <r>
    <x v="0"/>
    <x v="6"/>
    <x v="4"/>
    <n v="13914.3069"/>
    <x v="0"/>
  </r>
  <r>
    <x v="0"/>
    <x v="6"/>
    <x v="5"/>
    <n v="13915.629800000001"/>
    <x v="0"/>
  </r>
  <r>
    <x v="0"/>
    <x v="6"/>
    <x v="6"/>
    <n v="13951.8873"/>
    <x v="0"/>
  </r>
  <r>
    <x v="0"/>
    <x v="6"/>
    <x v="7"/>
    <n v="13914.0998"/>
    <x v="0"/>
  </r>
  <r>
    <x v="0"/>
    <x v="6"/>
    <x v="8"/>
    <n v="13903.0558"/>
    <x v="0"/>
  </r>
  <r>
    <x v="0"/>
    <x v="6"/>
    <x v="9"/>
    <n v="17403.389500000001"/>
    <x v="0"/>
  </r>
  <r>
    <x v="0"/>
    <x v="6"/>
    <x v="10"/>
    <n v="0"/>
    <x v="0"/>
  </r>
  <r>
    <x v="0"/>
    <x v="6"/>
    <x v="11"/>
    <n v="0"/>
    <x v="0"/>
  </r>
  <r>
    <x v="0"/>
    <x v="7"/>
    <x v="0"/>
    <n v="7656.9592000000002"/>
    <x v="0"/>
  </r>
  <r>
    <x v="0"/>
    <x v="7"/>
    <x v="1"/>
    <n v="7652.5333000000001"/>
    <x v="0"/>
  </r>
  <r>
    <x v="0"/>
    <x v="7"/>
    <x v="2"/>
    <n v="7667.3433000000005"/>
    <x v="0"/>
  </r>
  <r>
    <x v="0"/>
    <x v="7"/>
    <x v="3"/>
    <n v="7671.4195"/>
    <x v="0"/>
  </r>
  <r>
    <x v="0"/>
    <x v="7"/>
    <x v="4"/>
    <n v="8583.6910000000007"/>
    <x v="0"/>
  </r>
  <r>
    <x v="0"/>
    <x v="7"/>
    <x v="5"/>
    <n v="8584.2327999999998"/>
    <x v="0"/>
  </r>
  <r>
    <x v="0"/>
    <x v="7"/>
    <x v="6"/>
    <n v="8627.4344999999994"/>
    <x v="0"/>
  </r>
  <r>
    <x v="0"/>
    <x v="7"/>
    <x v="7"/>
    <n v="8584.1029999999992"/>
    <x v="0"/>
  </r>
  <r>
    <x v="0"/>
    <x v="7"/>
    <x v="8"/>
    <n v="8598.0224999999991"/>
    <x v="0"/>
  </r>
  <r>
    <x v="0"/>
    <x v="7"/>
    <x v="9"/>
    <n v="8596.3358000000007"/>
    <x v="0"/>
  </r>
  <r>
    <x v="0"/>
    <x v="7"/>
    <x v="10"/>
    <n v="8602.5740000000005"/>
    <x v="0"/>
  </r>
  <r>
    <x v="0"/>
    <x v="7"/>
    <x v="11"/>
    <n v="8601.3047000000006"/>
    <x v="0"/>
  </r>
  <r>
    <x v="0"/>
    <x v="8"/>
    <x v="0"/>
    <n v="4498.1415999999999"/>
    <x v="0"/>
  </r>
  <r>
    <x v="0"/>
    <x v="8"/>
    <x v="1"/>
    <n v="5308.5965999999999"/>
    <x v="0"/>
  </r>
  <r>
    <x v="0"/>
    <x v="8"/>
    <x v="2"/>
    <n v="5313.6716999999999"/>
    <x v="0"/>
  </r>
  <r>
    <x v="0"/>
    <x v="8"/>
    <x v="3"/>
    <n v="5314.1469999999999"/>
    <x v="0"/>
  </r>
  <r>
    <x v="0"/>
    <x v="8"/>
    <x v="4"/>
    <n v="2464.2768000000001"/>
    <x v="0"/>
  </r>
  <r>
    <x v="0"/>
    <x v="8"/>
    <x v="5"/>
    <n v="0"/>
    <x v="0"/>
  </r>
  <r>
    <x v="0"/>
    <x v="8"/>
    <x v="6"/>
    <n v="0"/>
    <x v="0"/>
  </r>
  <r>
    <x v="0"/>
    <x v="8"/>
    <x v="7"/>
    <n v="0"/>
    <x v="0"/>
  </r>
  <r>
    <x v="0"/>
    <x v="8"/>
    <x v="8"/>
    <n v="0"/>
    <x v="0"/>
  </r>
  <r>
    <x v="0"/>
    <x v="8"/>
    <x v="9"/>
    <n v="0"/>
    <x v="0"/>
  </r>
  <r>
    <x v="0"/>
    <x v="8"/>
    <x v="10"/>
    <n v="0"/>
    <x v="0"/>
  </r>
  <r>
    <x v="0"/>
    <x v="8"/>
    <x v="11"/>
    <n v="0"/>
    <x v="0"/>
  </r>
  <r>
    <x v="0"/>
    <x v="9"/>
    <x v="0"/>
    <n v="1946.2028"/>
    <x v="0"/>
  </r>
  <r>
    <x v="0"/>
    <x v="9"/>
    <x v="1"/>
    <n v="1949.6727000000001"/>
    <x v="0"/>
  </r>
  <r>
    <x v="0"/>
    <x v="9"/>
    <x v="2"/>
    <n v="1253.9677999999999"/>
    <x v="0"/>
  </r>
  <r>
    <x v="0"/>
    <x v="9"/>
    <x v="3"/>
    <n v="902.22749999999996"/>
    <x v="0"/>
  </r>
  <r>
    <x v="0"/>
    <x v="9"/>
    <x v="4"/>
    <n v="1950.4571000000001"/>
    <x v="0"/>
  </r>
  <r>
    <x v="0"/>
    <x v="9"/>
    <x v="5"/>
    <n v="1950.5364999999999"/>
    <x v="0"/>
  </r>
  <r>
    <x v="0"/>
    <x v="9"/>
    <x v="6"/>
    <n v="1997.0482999999999"/>
    <x v="0"/>
  </r>
  <r>
    <x v="0"/>
    <x v="9"/>
    <x v="7"/>
    <n v="1956.5826"/>
    <x v="0"/>
  </r>
  <r>
    <x v="0"/>
    <x v="9"/>
    <x v="8"/>
    <n v="1956.9399000000001"/>
    <x v="0"/>
  </r>
  <r>
    <x v="0"/>
    <x v="9"/>
    <x v="9"/>
    <n v="2497.3604999999998"/>
    <x v="0"/>
  </r>
  <r>
    <x v="0"/>
    <x v="9"/>
    <x v="10"/>
    <n v="2497.8777"/>
    <x v="0"/>
  </r>
  <r>
    <x v="0"/>
    <x v="9"/>
    <x v="11"/>
    <n v="2497.8777"/>
    <x v="0"/>
  </r>
  <r>
    <x v="0"/>
    <x v="10"/>
    <x v="0"/>
    <n v="1396.1631"/>
    <x v="0"/>
  </r>
  <r>
    <x v="0"/>
    <x v="10"/>
    <x v="1"/>
    <n v="1398.0364999999999"/>
    <x v="0"/>
  </r>
  <r>
    <x v="0"/>
    <x v="10"/>
    <x v="2"/>
    <n v="1397.7371000000001"/>
    <x v="0"/>
  </r>
  <r>
    <x v="0"/>
    <x v="10"/>
    <x v="3"/>
    <n v="1397.3584000000001"/>
    <x v="0"/>
  </r>
  <r>
    <x v="0"/>
    <x v="10"/>
    <x v="4"/>
    <n v="1397.22"/>
    <x v="0"/>
  </r>
  <r>
    <x v="0"/>
    <x v="10"/>
    <x v="5"/>
    <n v="1397.0697"/>
    <x v="0"/>
  </r>
  <r>
    <x v="0"/>
    <x v="10"/>
    <x v="6"/>
    <n v="1447.4303"/>
    <x v="0"/>
  </r>
  <r>
    <x v="0"/>
    <x v="10"/>
    <x v="7"/>
    <n v="1826.3659"/>
    <x v="0"/>
  </r>
  <r>
    <x v="0"/>
    <x v="10"/>
    <x v="8"/>
    <n v="1826.7242000000001"/>
    <x v="0"/>
  </r>
  <r>
    <x v="0"/>
    <x v="10"/>
    <x v="9"/>
    <n v="1827.367"/>
    <x v="0"/>
  </r>
  <r>
    <x v="0"/>
    <x v="10"/>
    <x v="10"/>
    <n v="1827.5268000000001"/>
    <x v="0"/>
  </r>
  <r>
    <x v="0"/>
    <x v="10"/>
    <x v="11"/>
    <n v="1827.5268000000001"/>
    <x v="0"/>
  </r>
  <r>
    <x v="0"/>
    <x v="11"/>
    <x v="0"/>
    <n v="976.8777"/>
    <x v="0"/>
  </r>
  <r>
    <x v="0"/>
    <x v="11"/>
    <x v="1"/>
    <n v="1180.9033999999999"/>
    <x v="0"/>
  </r>
  <r>
    <x v="0"/>
    <x v="11"/>
    <x v="2"/>
    <n v="1179.6705999999999"/>
    <x v="0"/>
  </r>
  <r>
    <x v="0"/>
    <x v="11"/>
    <x v="3"/>
    <n v="1178.6061999999999"/>
    <x v="0"/>
  </r>
  <r>
    <x v="0"/>
    <x v="11"/>
    <x v="4"/>
    <n v="1178.0333000000001"/>
    <x v="0"/>
  </r>
  <r>
    <x v="0"/>
    <x v="11"/>
    <x v="5"/>
    <n v="1177.5890999999999"/>
    <x v="0"/>
  </r>
  <r>
    <x v="0"/>
    <x v="11"/>
    <x v="6"/>
    <n v="524.94740000000002"/>
    <x v="0"/>
  </r>
  <r>
    <x v="0"/>
    <x v="11"/>
    <x v="7"/>
    <n v="0"/>
    <x v="0"/>
  </r>
  <r>
    <x v="0"/>
    <x v="11"/>
    <x v="8"/>
    <n v="0"/>
    <x v="0"/>
  </r>
  <r>
    <x v="0"/>
    <x v="11"/>
    <x v="9"/>
    <n v="0"/>
    <x v="0"/>
  </r>
  <r>
    <x v="0"/>
    <x v="11"/>
    <x v="10"/>
    <n v="0"/>
    <x v="0"/>
  </r>
  <r>
    <x v="0"/>
    <x v="11"/>
    <x v="11"/>
    <n v="0"/>
    <x v="0"/>
  </r>
  <r>
    <x v="0"/>
    <x v="12"/>
    <x v="0"/>
    <n v="1173.6545000000001"/>
    <x v="0"/>
  </r>
  <r>
    <x v="0"/>
    <x v="12"/>
    <x v="1"/>
    <n v="1176.6867"/>
    <x v="0"/>
  </r>
  <r>
    <x v="0"/>
    <x v="12"/>
    <x v="2"/>
    <n v="1176.4205999999999"/>
    <x v="0"/>
  </r>
  <r>
    <x v="0"/>
    <x v="12"/>
    <x v="3"/>
    <n v="1176.0664999999999"/>
    <x v="0"/>
  </r>
  <r>
    <x v="0"/>
    <x v="12"/>
    <x v="4"/>
    <n v="1175.9421"/>
    <x v="0"/>
  </r>
  <r>
    <x v="0"/>
    <x v="12"/>
    <x v="5"/>
    <n v="1175.8026"/>
    <x v="0"/>
  </r>
  <r>
    <x v="0"/>
    <x v="12"/>
    <x v="6"/>
    <n v="1226.5869"/>
    <x v="0"/>
  </r>
  <r>
    <x v="0"/>
    <x v="12"/>
    <x v="7"/>
    <n v="1182.0515"/>
    <x v="0"/>
  </r>
  <r>
    <x v="0"/>
    <x v="12"/>
    <x v="8"/>
    <n v="1182.1202000000001"/>
    <x v="0"/>
  </r>
  <r>
    <x v="0"/>
    <x v="12"/>
    <x v="9"/>
    <n v="1182.2157"/>
    <x v="0"/>
  </r>
  <r>
    <x v="0"/>
    <x v="12"/>
    <x v="10"/>
    <n v="1182.2467999999999"/>
    <x v="0"/>
  </r>
  <r>
    <x v="0"/>
    <x v="12"/>
    <x v="11"/>
    <n v="1182.0085999999999"/>
    <x v="0"/>
  </r>
  <r>
    <x v="0"/>
    <x v="13"/>
    <x v="0"/>
    <n v="1946.2028"/>
    <x v="0"/>
  </r>
  <r>
    <x v="0"/>
    <x v="13"/>
    <x v="1"/>
    <n v="1890.6341"/>
    <x v="0"/>
  </r>
  <r>
    <x v="0"/>
    <x v="13"/>
    <x v="2"/>
    <n v="1497.5182"/>
    <x v="0"/>
  </r>
  <r>
    <x v="0"/>
    <x v="13"/>
    <x v="3"/>
    <n v="1891.22"/>
    <x v="0"/>
  </r>
  <r>
    <x v="0"/>
    <x v="13"/>
    <x v="4"/>
    <n v="1891.4185"/>
    <x v="0"/>
  </r>
  <r>
    <x v="0"/>
    <x v="13"/>
    <x v="5"/>
    <n v="1891.4979000000001"/>
    <x v="0"/>
  </r>
  <r>
    <x v="0"/>
    <x v="13"/>
    <x v="6"/>
    <n v="1930.3948"/>
    <x v="0"/>
  </r>
  <r>
    <x v="0"/>
    <x v="13"/>
    <x v="7"/>
    <n v="1897.3530000000001"/>
    <x v="0"/>
  </r>
  <r>
    <x v="0"/>
    <x v="13"/>
    <x v="8"/>
    <n v="2743.3647999999998"/>
    <x v="0"/>
  </r>
  <r>
    <x v="0"/>
    <x v="13"/>
    <x v="9"/>
    <n v="2743.3647999999998"/>
    <x v="0"/>
  </r>
  <r>
    <x v="0"/>
    <x v="13"/>
    <x v="10"/>
    <n v="2743.8820000000001"/>
    <x v="0"/>
  </r>
  <r>
    <x v="0"/>
    <x v="13"/>
    <x v="11"/>
    <n v="5845.3262000000004"/>
    <x v="0"/>
  </r>
  <r>
    <x v="0"/>
    <x v="14"/>
    <x v="0"/>
    <n v="1502.5794000000001"/>
    <x v="0"/>
  </r>
  <r>
    <x v="0"/>
    <x v="14"/>
    <x v="1"/>
    <n v="1506.0504000000001"/>
    <x v="0"/>
  </r>
  <r>
    <x v="0"/>
    <x v="14"/>
    <x v="2"/>
    <n v="1506.4795999999999"/>
    <x v="0"/>
  </r>
  <r>
    <x v="0"/>
    <x v="14"/>
    <x v="3"/>
    <n v="1506.6362999999999"/>
    <x v="0"/>
  </r>
  <r>
    <x v="0"/>
    <x v="14"/>
    <x v="4"/>
    <n v="1506.8348000000001"/>
    <x v="0"/>
  </r>
  <r>
    <x v="0"/>
    <x v="14"/>
    <x v="5"/>
    <n v="556.86699999999996"/>
    <x v="0"/>
  </r>
  <r>
    <x v="0"/>
    <x v="14"/>
    <x v="6"/>
    <n v="0"/>
    <x v="0"/>
  </r>
  <r>
    <x v="0"/>
    <x v="14"/>
    <x v="7"/>
    <n v="0"/>
    <x v="0"/>
  </r>
  <r>
    <x v="0"/>
    <x v="14"/>
    <x v="8"/>
    <n v="0"/>
    <x v="0"/>
  </r>
  <r>
    <x v="0"/>
    <x v="14"/>
    <x v="9"/>
    <n v="0"/>
    <x v="0"/>
  </r>
  <r>
    <x v="0"/>
    <x v="14"/>
    <x v="10"/>
    <n v="0"/>
    <x v="0"/>
  </r>
  <r>
    <x v="0"/>
    <x v="14"/>
    <x v="11"/>
    <n v="0"/>
    <x v="0"/>
  </r>
  <r>
    <x v="0"/>
    <x v="15"/>
    <x v="0"/>
    <n v="1731.5161000000001"/>
    <x v="0"/>
  </r>
  <r>
    <x v="0"/>
    <x v="15"/>
    <x v="1"/>
    <n v="1734.9603"/>
    <x v="0"/>
  </r>
  <r>
    <x v="0"/>
    <x v="15"/>
    <x v="2"/>
    <n v="1735.3895"/>
    <x v="0"/>
  </r>
  <r>
    <x v="0"/>
    <x v="15"/>
    <x v="3"/>
    <n v="1735.5461"/>
    <x v="0"/>
  </r>
  <r>
    <x v="0"/>
    <x v="15"/>
    <x v="4"/>
    <n v="1735.7446"/>
    <x v="0"/>
  </r>
  <r>
    <x v="0"/>
    <x v="15"/>
    <x v="5"/>
    <n v="2898.8948"/>
    <x v="0"/>
  </r>
  <r>
    <x v="0"/>
    <x v="15"/>
    <x v="6"/>
    <n v="2937.1705999999999"/>
    <x v="0"/>
  </r>
  <r>
    <x v="0"/>
    <x v="15"/>
    <x v="7"/>
    <n v="2904.4666999999999"/>
    <x v="0"/>
  </r>
  <r>
    <x v="0"/>
    <x v="15"/>
    <x v="8"/>
    <n v="2905.6201999999998"/>
    <x v="0"/>
  </r>
  <r>
    <x v="0"/>
    <x v="15"/>
    <x v="9"/>
    <n v="2905.6201999999998"/>
    <x v="0"/>
  </r>
  <r>
    <x v="0"/>
    <x v="15"/>
    <x v="10"/>
    <n v="2906.1372999999999"/>
    <x v="0"/>
  </r>
  <r>
    <x v="0"/>
    <x v="15"/>
    <x v="11"/>
    <n v="6430.5600999999997"/>
    <x v="0"/>
  </r>
  <r>
    <x v="0"/>
    <x v="16"/>
    <x v="0"/>
    <n v="1074.6438000000001"/>
    <x v="0"/>
  </r>
  <r>
    <x v="0"/>
    <x v="16"/>
    <x v="1"/>
    <n v="0"/>
    <x v="0"/>
  </r>
  <r>
    <x v="0"/>
    <x v="16"/>
    <x v="2"/>
    <n v="0"/>
    <x v="0"/>
  </r>
  <r>
    <x v="0"/>
    <x v="16"/>
    <x v="3"/>
    <n v="0"/>
    <x v="0"/>
  </r>
  <r>
    <x v="0"/>
    <x v="16"/>
    <x v="4"/>
    <n v="0"/>
    <x v="0"/>
  </r>
  <r>
    <x v="0"/>
    <x v="16"/>
    <x v="5"/>
    <n v="0"/>
    <x v="0"/>
  </r>
  <r>
    <x v="0"/>
    <x v="16"/>
    <x v="6"/>
    <n v="0"/>
    <x v="0"/>
  </r>
  <r>
    <x v="0"/>
    <x v="16"/>
    <x v="7"/>
    <n v="0"/>
    <x v="0"/>
  </r>
  <r>
    <x v="0"/>
    <x v="16"/>
    <x v="8"/>
    <n v="0"/>
    <x v="0"/>
  </r>
  <r>
    <x v="0"/>
    <x v="16"/>
    <x v="9"/>
    <n v="0"/>
    <x v="0"/>
  </r>
  <r>
    <x v="0"/>
    <x v="16"/>
    <x v="10"/>
    <n v="0"/>
    <x v="0"/>
  </r>
  <r>
    <x v="0"/>
    <x v="16"/>
    <x v="11"/>
    <n v="0"/>
    <x v="0"/>
  </r>
  <r>
    <x v="0"/>
    <x v="17"/>
    <x v="0"/>
    <n v="2692.3788"/>
    <x v="0"/>
  </r>
  <r>
    <x v="0"/>
    <x v="17"/>
    <x v="1"/>
    <n v="2695.4902999999999"/>
    <x v="0"/>
  </r>
  <r>
    <x v="0"/>
    <x v="17"/>
    <x v="2"/>
    <n v="2696.8712"/>
    <x v="0"/>
  </r>
  <r>
    <x v="0"/>
    <x v="17"/>
    <x v="3"/>
    <n v="2697.3798000000002"/>
    <x v="0"/>
  </r>
  <r>
    <x v="0"/>
    <x v="17"/>
    <x v="4"/>
    <n v="2698.0182"/>
    <x v="0"/>
  </r>
  <r>
    <x v="0"/>
    <x v="17"/>
    <x v="5"/>
    <n v="2698.2736"/>
    <x v="0"/>
  </r>
  <r>
    <x v="0"/>
    <x v="17"/>
    <x v="6"/>
    <n v="1671.8637000000001"/>
    <x v="0"/>
  </r>
  <r>
    <x v="0"/>
    <x v="17"/>
    <x v="7"/>
    <n v="2703.8262"/>
    <x v="0"/>
  </r>
  <r>
    <x v="0"/>
    <x v="17"/>
    <x v="8"/>
    <n v="2704.9796000000001"/>
    <x v="0"/>
  </r>
  <r>
    <x v="0"/>
    <x v="17"/>
    <x v="9"/>
    <n v="2704.9796000000001"/>
    <x v="0"/>
  </r>
  <r>
    <x v="0"/>
    <x v="17"/>
    <x v="10"/>
    <n v="2705.4967999999999"/>
    <x v="0"/>
  </r>
  <r>
    <x v="0"/>
    <x v="17"/>
    <x v="11"/>
    <n v="7673.4967999999999"/>
    <x v="0"/>
  </r>
  <r>
    <x v="0"/>
    <x v="18"/>
    <x v="0"/>
    <n v="6419.8444"/>
    <x v="0"/>
  </r>
  <r>
    <x v="0"/>
    <x v="18"/>
    <x v="1"/>
    <n v="6417.0504000000001"/>
    <x v="0"/>
  </r>
  <r>
    <x v="0"/>
    <x v="18"/>
    <x v="2"/>
    <n v="6428.0612000000001"/>
    <x v="0"/>
  </r>
  <r>
    <x v="0"/>
    <x v="18"/>
    <x v="3"/>
    <n v="6430.9582"/>
    <x v="0"/>
  </r>
  <r>
    <x v="0"/>
    <x v="18"/>
    <x v="4"/>
    <n v="6436.0429000000004"/>
    <x v="0"/>
  </r>
  <r>
    <x v="0"/>
    <x v="18"/>
    <x v="5"/>
    <n v="6437.6749"/>
    <x v="0"/>
  </r>
  <r>
    <x v="0"/>
    <x v="18"/>
    <x v="6"/>
    <n v="6482.5697"/>
    <x v="0"/>
  </r>
  <r>
    <x v="0"/>
    <x v="18"/>
    <x v="7"/>
    <n v="6438.9967999999999"/>
    <x v="0"/>
  </r>
  <r>
    <x v="0"/>
    <x v="18"/>
    <x v="8"/>
    <n v="6449.4988999999996"/>
    <x v="0"/>
  </r>
  <r>
    <x v="0"/>
    <x v="18"/>
    <x v="9"/>
    <n v="6448.0772999999999"/>
    <x v="0"/>
  </r>
  <r>
    <x v="0"/>
    <x v="18"/>
    <x v="10"/>
    <n v="6452.7853999999998"/>
    <x v="0"/>
  </r>
  <r>
    <x v="0"/>
    <x v="18"/>
    <x v="11"/>
    <n v="6451.7166999999999"/>
    <x v="0"/>
  </r>
  <r>
    <x v="0"/>
    <x v="19"/>
    <x v="0"/>
    <n v="4729.4269999999997"/>
    <x v="0"/>
  </r>
  <r>
    <x v="0"/>
    <x v="19"/>
    <x v="1"/>
    <n v="4727.2221"/>
    <x v="0"/>
  </r>
  <r>
    <x v="0"/>
    <x v="19"/>
    <x v="2"/>
    <n v="4732.2821999999996"/>
    <x v="0"/>
  </r>
  <r>
    <x v="0"/>
    <x v="19"/>
    <x v="3"/>
    <n v="4732.3841000000002"/>
    <x v="0"/>
  </r>
  <r>
    <x v="0"/>
    <x v="19"/>
    <x v="4"/>
    <n v="10096.8873"/>
    <x v="0"/>
  </r>
  <r>
    <x v="0"/>
    <x v="19"/>
    <x v="5"/>
    <n v="4731.4120000000003"/>
    <x v="0"/>
  </r>
  <r>
    <x v="0"/>
    <x v="19"/>
    <x v="6"/>
    <n v="6420.8090000000002"/>
    <x v="0"/>
  </r>
  <r>
    <x v="0"/>
    <x v="19"/>
    <x v="7"/>
    <n v="6376.9614000000001"/>
    <x v="0"/>
  </r>
  <r>
    <x v="0"/>
    <x v="19"/>
    <x v="8"/>
    <n v="6377.3690999999999"/>
    <x v="0"/>
  </r>
  <r>
    <x v="0"/>
    <x v="19"/>
    <x v="9"/>
    <n v="6375.7704000000003"/>
    <x v="0"/>
  </r>
  <r>
    <x v="0"/>
    <x v="19"/>
    <x v="10"/>
    <n v="6380.4044999999996"/>
    <x v="0"/>
  </r>
  <r>
    <x v="0"/>
    <x v="19"/>
    <x v="11"/>
    <n v="16204.1685"/>
    <x v="0"/>
  </r>
  <r>
    <x v="0"/>
    <x v="20"/>
    <x v="0"/>
    <n v="2878.5225"/>
    <x v="0"/>
  </r>
  <r>
    <x v="0"/>
    <x v="20"/>
    <x v="1"/>
    <n v="2881.6985"/>
    <x v="0"/>
  </r>
  <r>
    <x v="0"/>
    <x v="20"/>
    <x v="2"/>
    <n v="2883.0805"/>
    <x v="0"/>
  </r>
  <r>
    <x v="0"/>
    <x v="20"/>
    <x v="3"/>
    <n v="2883.5880000000002"/>
    <x v="0"/>
  </r>
  <r>
    <x v="0"/>
    <x v="20"/>
    <x v="4"/>
    <n v="2884.2264"/>
    <x v="0"/>
  </r>
  <r>
    <x v="0"/>
    <x v="20"/>
    <x v="5"/>
    <n v="2884.4828000000002"/>
    <x v="0"/>
  </r>
  <r>
    <x v="0"/>
    <x v="20"/>
    <x v="6"/>
    <n v="2929.6127000000001"/>
    <x v="0"/>
  </r>
  <r>
    <x v="0"/>
    <x v="20"/>
    <x v="7"/>
    <n v="2890.1459"/>
    <x v="0"/>
  </r>
  <r>
    <x v="0"/>
    <x v="20"/>
    <x v="8"/>
    <n v="2871.4485"/>
    <x v="0"/>
  </r>
  <r>
    <x v="0"/>
    <x v="20"/>
    <x v="9"/>
    <n v="2872.4398999999999"/>
    <x v="0"/>
  </r>
  <r>
    <x v="0"/>
    <x v="20"/>
    <x v="10"/>
    <n v="2913.4002"/>
    <x v="0"/>
  </r>
  <r>
    <x v="0"/>
    <x v="20"/>
    <x v="11"/>
    <n v="2913.4002"/>
    <x v="0"/>
  </r>
  <r>
    <x v="0"/>
    <x v="21"/>
    <x v="0"/>
    <n v="6394.2511000000004"/>
    <x v="0"/>
  </r>
  <r>
    <x v="0"/>
    <x v="21"/>
    <x v="1"/>
    <n v="6387.2016999999996"/>
    <x v="0"/>
  </r>
  <r>
    <x v="0"/>
    <x v="21"/>
    <x v="2"/>
    <n v="6394.2381999999998"/>
    <x v="0"/>
  </r>
  <r>
    <x v="0"/>
    <x v="21"/>
    <x v="3"/>
    <n v="6394.2070999999996"/>
    <x v="0"/>
  </r>
  <r>
    <x v="0"/>
    <x v="21"/>
    <x v="4"/>
    <n v="6397.4506000000001"/>
    <x v="0"/>
  </r>
  <r>
    <x v="0"/>
    <x v="21"/>
    <x v="5"/>
    <n v="6397.8305"/>
    <x v="0"/>
  </r>
  <r>
    <x v="0"/>
    <x v="21"/>
    <x v="6"/>
    <n v="6437.9827999999998"/>
    <x v="0"/>
  </r>
  <r>
    <x v="0"/>
    <x v="21"/>
    <x v="7"/>
    <n v="6397.2790000000005"/>
    <x v="0"/>
  </r>
  <r>
    <x v="0"/>
    <x v="21"/>
    <x v="8"/>
    <n v="6160.0172000000002"/>
    <x v="0"/>
  </r>
  <r>
    <x v="0"/>
    <x v="21"/>
    <x v="9"/>
    <n v="6156.0901000000003"/>
    <x v="0"/>
  </r>
  <r>
    <x v="0"/>
    <x v="21"/>
    <x v="10"/>
    <n v="6159.7692999999999"/>
    <x v="0"/>
  </r>
  <r>
    <x v="0"/>
    <x v="21"/>
    <x v="11"/>
    <n v="7859.0483000000004"/>
    <x v="0"/>
  </r>
  <r>
    <x v="0"/>
    <x v="22"/>
    <x v="0"/>
    <n v="0"/>
    <x v="0"/>
  </r>
  <r>
    <x v="0"/>
    <x v="22"/>
    <x v="1"/>
    <n v="292.20490000000001"/>
    <x v="0"/>
  </r>
  <r>
    <x v="0"/>
    <x v="22"/>
    <x v="2"/>
    <n v="0"/>
    <x v="0"/>
  </r>
  <r>
    <x v="0"/>
    <x v="22"/>
    <x v="3"/>
    <n v="0"/>
    <x v="0"/>
  </r>
  <r>
    <x v="0"/>
    <x v="22"/>
    <x v="4"/>
    <n v="0"/>
    <x v="0"/>
  </r>
  <r>
    <x v="0"/>
    <x v="22"/>
    <x v="5"/>
    <n v="0"/>
    <x v="0"/>
  </r>
  <r>
    <x v="0"/>
    <x v="22"/>
    <x v="6"/>
    <n v="0"/>
    <x v="0"/>
  </r>
  <r>
    <x v="0"/>
    <x v="22"/>
    <x v="7"/>
    <n v="0"/>
    <x v="0"/>
  </r>
  <r>
    <x v="0"/>
    <x v="22"/>
    <x v="8"/>
    <n v="0"/>
    <x v="0"/>
  </r>
  <r>
    <x v="0"/>
    <x v="22"/>
    <x v="9"/>
    <n v="0"/>
    <x v="0"/>
  </r>
  <r>
    <x v="0"/>
    <x v="22"/>
    <x v="10"/>
    <n v="0"/>
    <x v="0"/>
  </r>
  <r>
    <x v="0"/>
    <x v="22"/>
    <x v="11"/>
    <n v="0"/>
    <x v="0"/>
  </r>
  <r>
    <x v="0"/>
    <x v="23"/>
    <x v="0"/>
    <n v="3523.9913999999999"/>
    <x v="0"/>
  </r>
  <r>
    <x v="0"/>
    <x v="23"/>
    <x v="1"/>
    <n v="3523.2478999999998"/>
    <x v="0"/>
  </r>
  <r>
    <x v="0"/>
    <x v="23"/>
    <x v="2"/>
    <n v="3523.0976000000001"/>
    <x v="0"/>
  </r>
  <r>
    <x v="0"/>
    <x v="23"/>
    <x v="3"/>
    <n v="3521.6716999999999"/>
    <x v="0"/>
  </r>
  <r>
    <x v="0"/>
    <x v="23"/>
    <x v="4"/>
    <n v="3520.6599000000001"/>
    <x v="0"/>
  </r>
  <r>
    <x v="0"/>
    <x v="23"/>
    <x v="5"/>
    <n v="3519.6695"/>
    <x v="0"/>
  </r>
  <r>
    <x v="0"/>
    <x v="23"/>
    <x v="6"/>
    <n v="3567.7424999999998"/>
    <x v="0"/>
  </r>
  <r>
    <x v="0"/>
    <x v="23"/>
    <x v="7"/>
    <n v="3524.6835000000001"/>
    <x v="0"/>
  </r>
  <r>
    <x v="0"/>
    <x v="23"/>
    <x v="8"/>
    <n v="3516.9893000000002"/>
    <x v="0"/>
  </r>
  <r>
    <x v="0"/>
    <x v="23"/>
    <x v="9"/>
    <n v="3515.1716999999999"/>
    <x v="0"/>
  </r>
  <r>
    <x v="0"/>
    <x v="23"/>
    <x v="10"/>
    <n v="3514.9421000000002"/>
    <x v="0"/>
  </r>
  <r>
    <x v="0"/>
    <x v="23"/>
    <x v="11"/>
    <n v="3513.5740000000001"/>
    <x v="0"/>
  </r>
  <r>
    <x v="0"/>
    <x v="24"/>
    <x v="0"/>
    <n v="0"/>
    <x v="0"/>
  </r>
  <r>
    <x v="0"/>
    <x v="24"/>
    <x v="1"/>
    <n v="4584.0267999999996"/>
    <x v="0"/>
  </r>
  <r>
    <x v="0"/>
    <x v="24"/>
    <x v="2"/>
    <n v="4150.4108999999999"/>
    <x v="0"/>
  </r>
  <r>
    <x v="0"/>
    <x v="24"/>
    <x v="3"/>
    <n v="4149.0911999999998"/>
    <x v="0"/>
  </r>
  <r>
    <x v="0"/>
    <x v="24"/>
    <x v="4"/>
    <n v="1124.7039"/>
    <x v="0"/>
  </r>
  <r>
    <x v="0"/>
    <x v="24"/>
    <x v="5"/>
    <n v="5724.4453000000003"/>
    <x v="0"/>
  </r>
  <r>
    <x v="0"/>
    <x v="24"/>
    <x v="6"/>
    <n v="5937"/>
    <x v="0"/>
  </r>
  <r>
    <x v="0"/>
    <x v="24"/>
    <x v="7"/>
    <n v="5907.9925000000003"/>
    <x v="0"/>
  </r>
  <r>
    <x v="0"/>
    <x v="24"/>
    <x v="8"/>
    <n v="5914.0600999999997"/>
    <x v="0"/>
  </r>
  <r>
    <x v="0"/>
    <x v="24"/>
    <x v="9"/>
    <n v="2959.4913999999999"/>
    <x v="0"/>
  </r>
  <r>
    <x v="0"/>
    <x v="24"/>
    <x v="10"/>
    <n v="9031.7885999999999"/>
    <x v="0"/>
  </r>
  <r>
    <x v="0"/>
    <x v="24"/>
    <x v="11"/>
    <n v="0"/>
    <x v="0"/>
  </r>
  <r>
    <x v="0"/>
    <x v="25"/>
    <x v="0"/>
    <n v="4828.6202000000003"/>
    <x v="0"/>
  </r>
  <r>
    <x v="0"/>
    <x v="25"/>
    <x v="1"/>
    <n v="4670.6588000000002"/>
    <x v="0"/>
  </r>
  <r>
    <x v="0"/>
    <x v="25"/>
    <x v="2"/>
    <n v="4676.1791999999996"/>
    <x v="0"/>
  </r>
  <r>
    <x v="0"/>
    <x v="25"/>
    <x v="3"/>
    <n v="4676.9807000000001"/>
    <x v="0"/>
  </r>
  <r>
    <x v="0"/>
    <x v="25"/>
    <x v="4"/>
    <n v="5901.2875999999997"/>
    <x v="0"/>
  </r>
  <r>
    <x v="0"/>
    <x v="25"/>
    <x v="5"/>
    <n v="5901.8765999999996"/>
    <x v="0"/>
  </r>
  <r>
    <x v="0"/>
    <x v="25"/>
    <x v="6"/>
    <n v="5948.4582"/>
    <x v="0"/>
  </r>
  <r>
    <x v="0"/>
    <x v="25"/>
    <x v="7"/>
    <n v="5904.4313000000002"/>
    <x v="0"/>
  </r>
  <r>
    <x v="0"/>
    <x v="25"/>
    <x v="8"/>
    <n v="5905.6855999999998"/>
    <x v="0"/>
  </r>
  <r>
    <x v="0"/>
    <x v="25"/>
    <x v="9"/>
    <n v="5904.1598999999997"/>
    <x v="0"/>
  </r>
  <r>
    <x v="0"/>
    <x v="25"/>
    <x v="10"/>
    <n v="4577.4206000000004"/>
    <x v="0"/>
  </r>
  <r>
    <x v="0"/>
    <x v="25"/>
    <x v="11"/>
    <n v="6289.9162999999999"/>
    <x v="0"/>
  </r>
  <r>
    <x v="0"/>
    <x v="26"/>
    <x v="0"/>
    <n v="1673.8508999999999"/>
    <x v="0"/>
  </r>
  <r>
    <x v="0"/>
    <x v="26"/>
    <x v="1"/>
    <n v="0"/>
    <x v="0"/>
  </r>
  <r>
    <x v="0"/>
    <x v="26"/>
    <x v="2"/>
    <n v="0"/>
    <x v="0"/>
  </r>
  <r>
    <x v="0"/>
    <x v="26"/>
    <x v="3"/>
    <n v="0"/>
    <x v="0"/>
  </r>
  <r>
    <x v="0"/>
    <x v="26"/>
    <x v="4"/>
    <n v="0"/>
    <x v="0"/>
  </r>
  <r>
    <x v="0"/>
    <x v="26"/>
    <x v="5"/>
    <n v="0"/>
    <x v="0"/>
  </r>
  <r>
    <x v="0"/>
    <x v="26"/>
    <x v="6"/>
    <n v="0"/>
    <x v="0"/>
  </r>
  <r>
    <x v="0"/>
    <x v="26"/>
    <x v="7"/>
    <n v="0"/>
    <x v="0"/>
  </r>
  <r>
    <x v="0"/>
    <x v="26"/>
    <x v="8"/>
    <n v="0"/>
    <x v="0"/>
  </r>
  <r>
    <x v="0"/>
    <x v="26"/>
    <x v="9"/>
    <n v="0"/>
    <x v="0"/>
  </r>
  <r>
    <x v="0"/>
    <x v="26"/>
    <x v="10"/>
    <n v="0"/>
    <x v="0"/>
  </r>
  <r>
    <x v="0"/>
    <x v="26"/>
    <x v="11"/>
    <n v="0"/>
    <x v="0"/>
  </r>
  <r>
    <x v="0"/>
    <x v="27"/>
    <x v="0"/>
    <n v="5344.5214999999998"/>
    <x v="0"/>
  </r>
  <r>
    <x v="0"/>
    <x v="27"/>
    <x v="1"/>
    <n v="5342.8616000000002"/>
    <x v="0"/>
  </r>
  <r>
    <x v="0"/>
    <x v="27"/>
    <x v="2"/>
    <n v="5348.4130999999998"/>
    <x v="0"/>
  </r>
  <r>
    <x v="0"/>
    <x v="27"/>
    <x v="3"/>
    <n v="4011.9303"/>
    <x v="0"/>
  </r>
  <r>
    <x v="0"/>
    <x v="27"/>
    <x v="4"/>
    <n v="4013.8519000000001"/>
    <x v="0"/>
  </r>
  <r>
    <x v="0"/>
    <x v="27"/>
    <x v="5"/>
    <n v="4014.3004000000001"/>
    <x v="0"/>
  </r>
  <r>
    <x v="0"/>
    <x v="27"/>
    <x v="6"/>
    <n v="4054.2714999999998"/>
    <x v="0"/>
  </r>
  <r>
    <x v="0"/>
    <x v="27"/>
    <x v="7"/>
    <n v="4016.4045000000001"/>
    <x v="0"/>
  </r>
  <r>
    <x v="0"/>
    <x v="27"/>
    <x v="8"/>
    <n v="3929.1277"/>
    <x v="0"/>
  </r>
  <r>
    <x v="0"/>
    <x v="27"/>
    <x v="9"/>
    <n v="4000.3733999999999"/>
    <x v="0"/>
  </r>
  <r>
    <x v="0"/>
    <x v="27"/>
    <x v="10"/>
    <n v="4002.3733999999999"/>
    <x v="0"/>
  </r>
  <r>
    <x v="0"/>
    <x v="27"/>
    <x v="11"/>
    <n v="3898.2134999999998"/>
    <x v="0"/>
  </r>
  <r>
    <x v="0"/>
    <x v="28"/>
    <x v="0"/>
    <n v="3197.1426999999999"/>
    <x v="0"/>
  </r>
  <r>
    <x v="0"/>
    <x v="28"/>
    <x v="1"/>
    <n v="4828.3262000000004"/>
    <x v="0"/>
  </r>
  <r>
    <x v="0"/>
    <x v="28"/>
    <x v="2"/>
    <n v="4833.8711999999996"/>
    <x v="0"/>
  </r>
  <r>
    <x v="0"/>
    <x v="28"/>
    <x v="3"/>
    <n v="4834.6921000000002"/>
    <x v="0"/>
  </r>
  <r>
    <x v="0"/>
    <x v="28"/>
    <x v="4"/>
    <n v="4837.2511000000004"/>
    <x v="0"/>
  </r>
  <r>
    <x v="0"/>
    <x v="28"/>
    <x v="5"/>
    <n v="4837.8486999999996"/>
    <x v="0"/>
  </r>
  <r>
    <x v="0"/>
    <x v="28"/>
    <x v="6"/>
    <n v="4886.1953000000003"/>
    <x v="0"/>
  </r>
  <r>
    <x v="0"/>
    <x v="28"/>
    <x v="7"/>
    <n v="4840.6481000000003"/>
    <x v="0"/>
  </r>
  <r>
    <x v="0"/>
    <x v="28"/>
    <x v="8"/>
    <n v="4845.6126999999997"/>
    <x v="0"/>
  </r>
  <r>
    <x v="0"/>
    <x v="28"/>
    <x v="9"/>
    <n v="4843.9260000000004"/>
    <x v="0"/>
  </r>
  <r>
    <x v="0"/>
    <x v="28"/>
    <x v="10"/>
    <n v="4844.5686999999998"/>
    <x v="0"/>
  </r>
  <r>
    <x v="0"/>
    <x v="28"/>
    <x v="11"/>
    <n v="4843.2983000000004"/>
    <x v="0"/>
  </r>
  <r>
    <x v="0"/>
    <x v="29"/>
    <x v="0"/>
    <n v="1075.4753000000001"/>
    <x v="0"/>
  </r>
  <r>
    <x v="0"/>
    <x v="29"/>
    <x v="1"/>
    <n v="0"/>
    <x v="0"/>
  </r>
  <r>
    <x v="0"/>
    <x v="29"/>
    <x v="2"/>
    <n v="0"/>
    <x v="0"/>
  </r>
  <r>
    <x v="0"/>
    <x v="29"/>
    <x v="3"/>
    <n v="0"/>
    <x v="0"/>
  </r>
  <r>
    <x v="0"/>
    <x v="29"/>
    <x v="4"/>
    <n v="0"/>
    <x v="0"/>
  </r>
  <r>
    <x v="0"/>
    <x v="29"/>
    <x v="5"/>
    <n v="0"/>
    <x v="0"/>
  </r>
  <r>
    <x v="0"/>
    <x v="29"/>
    <x v="6"/>
    <n v="0"/>
    <x v="0"/>
  </r>
  <r>
    <x v="0"/>
    <x v="29"/>
    <x v="7"/>
    <n v="0"/>
    <x v="0"/>
  </r>
  <r>
    <x v="0"/>
    <x v="29"/>
    <x v="8"/>
    <n v="0"/>
    <x v="0"/>
  </r>
  <r>
    <x v="0"/>
    <x v="29"/>
    <x v="9"/>
    <n v="0"/>
    <x v="0"/>
  </r>
  <r>
    <x v="0"/>
    <x v="29"/>
    <x v="10"/>
    <n v="0"/>
    <x v="0"/>
  </r>
  <r>
    <x v="0"/>
    <x v="29"/>
    <x v="11"/>
    <n v="0"/>
    <x v="0"/>
  </r>
  <r>
    <x v="0"/>
    <x v="30"/>
    <x v="0"/>
    <n v="1726.8487"/>
    <x v="0"/>
  </r>
  <r>
    <x v="0"/>
    <x v="30"/>
    <x v="1"/>
    <n v="1730.3230000000001"/>
    <x v="0"/>
  </r>
  <r>
    <x v="0"/>
    <x v="30"/>
    <x v="2"/>
    <n v="1730.7520999999999"/>
    <x v="0"/>
  </r>
  <r>
    <x v="0"/>
    <x v="30"/>
    <x v="3"/>
    <n v="1730.9087999999999"/>
    <x v="0"/>
  </r>
  <r>
    <x v="0"/>
    <x v="30"/>
    <x v="4"/>
    <n v="1731.1072999999999"/>
    <x v="0"/>
  </r>
  <r>
    <x v="0"/>
    <x v="30"/>
    <x v="5"/>
    <n v="1731.1867"/>
    <x v="0"/>
  </r>
  <r>
    <x v="0"/>
    <x v="30"/>
    <x v="6"/>
    <n v="1755.7672"/>
    <x v="0"/>
  </r>
  <r>
    <x v="0"/>
    <x v="30"/>
    <x v="7"/>
    <n v="1737.2393"/>
    <x v="0"/>
  </r>
  <r>
    <x v="0"/>
    <x v="30"/>
    <x v="8"/>
    <n v="1737.5976000000001"/>
    <x v="0"/>
  </r>
  <r>
    <x v="0"/>
    <x v="30"/>
    <x v="9"/>
    <n v="1738.2113999999999"/>
    <x v="0"/>
  </r>
  <r>
    <x v="0"/>
    <x v="30"/>
    <x v="10"/>
    <n v="1738.3723"/>
    <x v="0"/>
  </r>
  <r>
    <x v="0"/>
    <x v="30"/>
    <x v="11"/>
    <n v="3441.1867000000002"/>
    <x v="0"/>
  </r>
  <r>
    <x v="0"/>
    <x v="31"/>
    <x v="0"/>
    <n v="0"/>
    <x v="0"/>
  </r>
  <r>
    <x v="0"/>
    <x v="31"/>
    <x v="1"/>
    <n v="0"/>
    <x v="0"/>
  </r>
  <r>
    <x v="0"/>
    <x v="31"/>
    <x v="2"/>
    <n v="0"/>
    <x v="0"/>
  </r>
  <r>
    <x v="0"/>
    <x v="31"/>
    <x v="3"/>
    <n v="0"/>
    <x v="0"/>
  </r>
  <r>
    <x v="0"/>
    <x v="31"/>
    <x v="4"/>
    <n v="0"/>
    <x v="0"/>
  </r>
  <r>
    <x v="0"/>
    <x v="31"/>
    <x v="5"/>
    <n v="0"/>
    <x v="0"/>
  </r>
  <r>
    <x v="0"/>
    <x v="31"/>
    <x v="6"/>
    <n v="0"/>
    <x v="0"/>
  </r>
  <r>
    <x v="0"/>
    <x v="31"/>
    <x v="7"/>
    <n v="0"/>
    <x v="0"/>
  </r>
  <r>
    <x v="0"/>
    <x v="31"/>
    <x v="8"/>
    <n v="0"/>
    <x v="0"/>
  </r>
  <r>
    <x v="0"/>
    <x v="31"/>
    <x v="9"/>
    <n v="2017.6008999999999"/>
    <x v="0"/>
  </r>
  <r>
    <x v="0"/>
    <x v="31"/>
    <x v="10"/>
    <n v="3037.9775"/>
    <x v="0"/>
  </r>
  <r>
    <x v="0"/>
    <x v="31"/>
    <x v="11"/>
    <n v="3036.6426999999999"/>
    <x v="0"/>
  </r>
  <r>
    <x v="0"/>
    <x v="32"/>
    <x v="0"/>
    <n v="1181.4013"/>
    <x v="0"/>
  </r>
  <r>
    <x v="0"/>
    <x v="32"/>
    <x v="1"/>
    <n v="1184.8712"/>
    <x v="0"/>
  </r>
  <r>
    <x v="0"/>
    <x v="32"/>
    <x v="2"/>
    <n v="1185.3004000000001"/>
    <x v="0"/>
  </r>
  <r>
    <x v="0"/>
    <x v="32"/>
    <x v="3"/>
    <n v="714.25319999999999"/>
    <x v="0"/>
  </r>
  <r>
    <x v="0"/>
    <x v="32"/>
    <x v="4"/>
    <n v="936.40449999999998"/>
    <x v="0"/>
  </r>
  <r>
    <x v="0"/>
    <x v="32"/>
    <x v="5"/>
    <n v="1157.1448"/>
    <x v="0"/>
  </r>
  <r>
    <x v="0"/>
    <x v="32"/>
    <x v="6"/>
    <n v="1536.0815"/>
    <x v="0"/>
  </r>
  <r>
    <x v="0"/>
    <x v="32"/>
    <x v="7"/>
    <n v="1500.9893"/>
    <x v="0"/>
  </r>
  <r>
    <x v="0"/>
    <x v="32"/>
    <x v="8"/>
    <n v="1501.0236"/>
    <x v="0"/>
  </r>
  <r>
    <x v="0"/>
    <x v="32"/>
    <x v="9"/>
    <n v="1500.6705999999999"/>
    <x v="0"/>
  </r>
  <r>
    <x v="0"/>
    <x v="32"/>
    <x v="10"/>
    <n v="1500.6867"/>
    <x v="0"/>
  </r>
  <r>
    <x v="0"/>
    <x v="32"/>
    <x v="11"/>
    <n v="1500.4195"/>
    <x v="0"/>
  </r>
  <r>
    <x v="0"/>
    <x v="33"/>
    <x v="0"/>
    <n v="1188.7146"/>
    <x v="0"/>
  </r>
  <r>
    <x v="0"/>
    <x v="33"/>
    <x v="1"/>
    <n v="1192.1845000000001"/>
    <x v="0"/>
  </r>
  <r>
    <x v="0"/>
    <x v="33"/>
    <x v="2"/>
    <n v="1192.6137000000001"/>
    <x v="0"/>
  </r>
  <r>
    <x v="0"/>
    <x v="33"/>
    <x v="3"/>
    <n v="1400.3176000000001"/>
    <x v="0"/>
  </r>
  <r>
    <x v="0"/>
    <x v="33"/>
    <x v="4"/>
    <n v="0"/>
    <x v="0"/>
  </r>
  <r>
    <x v="0"/>
    <x v="33"/>
    <x v="5"/>
    <n v="0"/>
    <x v="0"/>
  </r>
  <r>
    <x v="0"/>
    <x v="33"/>
    <x v="6"/>
    <n v="0"/>
    <x v="0"/>
  </r>
  <r>
    <x v="0"/>
    <x v="33"/>
    <x v="7"/>
    <n v="0"/>
    <x v="0"/>
  </r>
  <r>
    <x v="0"/>
    <x v="33"/>
    <x v="8"/>
    <n v="0"/>
    <x v="0"/>
  </r>
  <r>
    <x v="0"/>
    <x v="33"/>
    <x v="9"/>
    <n v="0"/>
    <x v="0"/>
  </r>
  <r>
    <x v="0"/>
    <x v="33"/>
    <x v="10"/>
    <n v="0"/>
    <x v="0"/>
  </r>
  <r>
    <x v="0"/>
    <x v="33"/>
    <x v="11"/>
    <n v="0"/>
    <x v="0"/>
  </r>
  <r>
    <x v="0"/>
    <x v="34"/>
    <x v="0"/>
    <n v="1393.5612000000001"/>
    <x v="0"/>
  </r>
  <r>
    <x v="0"/>
    <x v="34"/>
    <x v="1"/>
    <n v="1399.4967999999999"/>
    <x v="0"/>
  </r>
  <r>
    <x v="0"/>
    <x v="34"/>
    <x v="2"/>
    <n v="0"/>
    <x v="0"/>
  </r>
  <r>
    <x v="0"/>
    <x v="34"/>
    <x v="3"/>
    <n v="0"/>
    <x v="0"/>
  </r>
  <r>
    <x v="0"/>
    <x v="34"/>
    <x v="4"/>
    <n v="0"/>
    <x v="0"/>
  </r>
  <r>
    <x v="0"/>
    <x v="34"/>
    <x v="5"/>
    <n v="0"/>
    <x v="0"/>
  </r>
  <r>
    <x v="0"/>
    <x v="34"/>
    <x v="6"/>
    <n v="0"/>
    <x v="0"/>
  </r>
  <r>
    <x v="0"/>
    <x v="34"/>
    <x v="7"/>
    <n v="0"/>
    <x v="0"/>
  </r>
  <r>
    <x v="0"/>
    <x v="34"/>
    <x v="8"/>
    <n v="0"/>
    <x v="0"/>
  </r>
  <r>
    <x v="0"/>
    <x v="34"/>
    <x v="9"/>
    <n v="0"/>
    <x v="0"/>
  </r>
  <r>
    <x v="0"/>
    <x v="34"/>
    <x v="10"/>
    <n v="0"/>
    <x v="0"/>
  </r>
  <r>
    <x v="0"/>
    <x v="34"/>
    <x v="11"/>
    <n v="0"/>
    <x v="0"/>
  </r>
  <r>
    <x v="0"/>
    <x v="35"/>
    <x v="0"/>
    <n v="2012.0418"/>
    <x v="0"/>
  </r>
  <r>
    <x v="0"/>
    <x v="35"/>
    <x v="1"/>
    <n v="1830.1695"/>
    <x v="0"/>
  </r>
  <r>
    <x v="0"/>
    <x v="35"/>
    <x v="2"/>
    <n v="1910.0310999999999"/>
    <x v="0"/>
  </r>
  <r>
    <x v="0"/>
    <x v="35"/>
    <x v="3"/>
    <n v="1830.7564"/>
    <x v="0"/>
  </r>
  <r>
    <x v="0"/>
    <x v="35"/>
    <x v="4"/>
    <n v="1830.9539"/>
    <x v="0"/>
  </r>
  <r>
    <x v="0"/>
    <x v="35"/>
    <x v="5"/>
    <n v="1823.6985"/>
    <x v="0"/>
  </r>
  <r>
    <x v="0"/>
    <x v="35"/>
    <x v="6"/>
    <n v="1868.3733999999999"/>
    <x v="0"/>
  </r>
  <r>
    <x v="0"/>
    <x v="35"/>
    <x v="7"/>
    <n v="1829.8036"/>
    <x v="0"/>
  </r>
  <r>
    <x v="0"/>
    <x v="35"/>
    <x v="8"/>
    <n v="1829.7489"/>
    <x v="0"/>
  </r>
  <r>
    <x v="0"/>
    <x v="35"/>
    <x v="9"/>
    <n v="1829.2994000000001"/>
    <x v="0"/>
  </r>
  <r>
    <x v="0"/>
    <x v="35"/>
    <x v="10"/>
    <n v="1829.2746999999999"/>
    <x v="0"/>
  </r>
  <r>
    <x v="0"/>
    <x v="35"/>
    <x v="11"/>
    <n v="4787.7672000000002"/>
    <x v="0"/>
  </r>
  <r>
    <x v="0"/>
    <x v="36"/>
    <x v="0"/>
    <n v="1373.4067"/>
    <x v="0"/>
  </r>
  <r>
    <x v="0"/>
    <x v="36"/>
    <x v="1"/>
    <n v="1376.1266000000001"/>
    <x v="0"/>
  </r>
  <r>
    <x v="0"/>
    <x v="36"/>
    <x v="2"/>
    <n v="1375.5697"/>
    <x v="0"/>
  </r>
  <r>
    <x v="0"/>
    <x v="36"/>
    <x v="3"/>
    <n v="1375.0020999999999"/>
    <x v="0"/>
  </r>
  <r>
    <x v="0"/>
    <x v="36"/>
    <x v="4"/>
    <n v="1374.7436"/>
    <x v="0"/>
  </r>
  <r>
    <x v="0"/>
    <x v="36"/>
    <x v="5"/>
    <n v="1374.5118"/>
    <x v="0"/>
  </r>
  <r>
    <x v="0"/>
    <x v="36"/>
    <x v="6"/>
    <n v="1425.3487"/>
    <x v="0"/>
  </r>
  <r>
    <x v="0"/>
    <x v="36"/>
    <x v="7"/>
    <n v="1380.6179999999999"/>
    <x v="0"/>
  </r>
  <r>
    <x v="0"/>
    <x v="36"/>
    <x v="8"/>
    <n v="1361.8572999999999"/>
    <x v="0"/>
  </r>
  <r>
    <x v="0"/>
    <x v="36"/>
    <x v="9"/>
    <n v="1361.3561999999999"/>
    <x v="0"/>
  </r>
  <r>
    <x v="0"/>
    <x v="36"/>
    <x v="10"/>
    <n v="1361.3100999999999"/>
    <x v="0"/>
  </r>
  <r>
    <x v="0"/>
    <x v="36"/>
    <x v="11"/>
    <n v="1360.9335000000001"/>
    <x v="0"/>
  </r>
  <r>
    <x v="0"/>
    <x v="37"/>
    <x v="0"/>
    <n v="0"/>
    <x v="0"/>
  </r>
  <r>
    <x v="0"/>
    <x v="37"/>
    <x v="1"/>
    <n v="1513.6148000000001"/>
    <x v="0"/>
  </r>
  <r>
    <x v="0"/>
    <x v="37"/>
    <x v="2"/>
    <n v="1613.4495999999999"/>
    <x v="0"/>
  </r>
  <r>
    <x v="0"/>
    <x v="37"/>
    <x v="3"/>
    <n v="1613.6061999999999"/>
    <x v="0"/>
  </r>
  <r>
    <x v="0"/>
    <x v="37"/>
    <x v="4"/>
    <n v="1613.8046999999999"/>
    <x v="0"/>
  </r>
  <r>
    <x v="0"/>
    <x v="37"/>
    <x v="5"/>
    <n v="1613.6438000000001"/>
    <x v="0"/>
  </r>
  <r>
    <x v="0"/>
    <x v="37"/>
    <x v="6"/>
    <n v="1644.8530000000001"/>
    <x v="0"/>
  </r>
  <r>
    <x v="0"/>
    <x v="37"/>
    <x v="7"/>
    <n v="1608.6212"/>
    <x v="0"/>
  </r>
  <r>
    <x v="0"/>
    <x v="37"/>
    <x v="8"/>
    <n v="1608.6362999999999"/>
    <x v="0"/>
  </r>
  <r>
    <x v="0"/>
    <x v="37"/>
    <x v="9"/>
    <n v="1608.8251"/>
    <x v="0"/>
  </r>
  <r>
    <x v="0"/>
    <x v="37"/>
    <x v="10"/>
    <n v="1608.8326"/>
    <x v="0"/>
  </r>
  <r>
    <x v="0"/>
    <x v="37"/>
    <x v="11"/>
    <n v="3110.6974"/>
    <x v="0"/>
  </r>
  <r>
    <x v="0"/>
    <x v="38"/>
    <x v="0"/>
    <n v="1382.3744999999999"/>
    <x v="0"/>
  </r>
  <r>
    <x v="0"/>
    <x v="38"/>
    <x v="1"/>
    <n v="1370.7295999999999"/>
    <x v="0"/>
  </r>
  <r>
    <x v="0"/>
    <x v="38"/>
    <x v="2"/>
    <n v="1384.5011"/>
    <x v="0"/>
  </r>
  <r>
    <x v="0"/>
    <x v="38"/>
    <x v="3"/>
    <n v="1383.9313"/>
    <x v="0"/>
  </r>
  <r>
    <x v="0"/>
    <x v="38"/>
    <x v="4"/>
    <n v="1383.6727000000001"/>
    <x v="0"/>
  </r>
  <r>
    <x v="0"/>
    <x v="38"/>
    <x v="5"/>
    <n v="1383.441"/>
    <x v="0"/>
  </r>
  <r>
    <x v="0"/>
    <x v="38"/>
    <x v="6"/>
    <n v="1871.0085999999999"/>
    <x v="0"/>
  </r>
  <r>
    <x v="0"/>
    <x v="38"/>
    <x v="7"/>
    <n v="0"/>
    <x v="0"/>
  </r>
  <r>
    <x v="0"/>
    <x v="38"/>
    <x v="8"/>
    <n v="0"/>
    <x v="0"/>
  </r>
  <r>
    <x v="0"/>
    <x v="38"/>
    <x v="9"/>
    <n v="0"/>
    <x v="0"/>
  </r>
  <r>
    <x v="0"/>
    <x v="38"/>
    <x v="10"/>
    <n v="0"/>
    <x v="0"/>
  </r>
  <r>
    <x v="0"/>
    <x v="38"/>
    <x v="11"/>
    <n v="0"/>
    <x v="0"/>
  </r>
  <r>
    <x v="0"/>
    <x v="39"/>
    <x v="0"/>
    <n v="8209.3670000000002"/>
    <x v="0"/>
  </r>
  <r>
    <x v="0"/>
    <x v="39"/>
    <x v="1"/>
    <n v="8204.3906000000006"/>
    <x v="0"/>
  </r>
  <r>
    <x v="0"/>
    <x v="39"/>
    <x v="2"/>
    <n v="8218.6856000000007"/>
    <x v="0"/>
  </r>
  <r>
    <x v="0"/>
    <x v="39"/>
    <x v="3"/>
    <n v="8221.8251"/>
    <x v="0"/>
  </r>
  <r>
    <x v="0"/>
    <x v="39"/>
    <x v="4"/>
    <n v="8228.4259999999995"/>
    <x v="0"/>
  </r>
  <r>
    <x v="0"/>
    <x v="39"/>
    <x v="5"/>
    <n v="8230.5236000000004"/>
    <x v="0"/>
  </r>
  <r>
    <x v="0"/>
    <x v="39"/>
    <x v="6"/>
    <n v="8267.7468000000008"/>
    <x v="0"/>
  </r>
  <r>
    <x v="0"/>
    <x v="39"/>
    <x v="7"/>
    <n v="8230.1524000000009"/>
    <x v="0"/>
  </r>
  <r>
    <x v="0"/>
    <x v="39"/>
    <x v="8"/>
    <n v="8243.8562000000002"/>
    <x v="0"/>
  </r>
  <r>
    <x v="0"/>
    <x v="39"/>
    <x v="9"/>
    <n v="8241.9356000000007"/>
    <x v="0"/>
  </r>
  <r>
    <x v="0"/>
    <x v="39"/>
    <x v="10"/>
    <n v="8248.0782999999992"/>
    <x v="0"/>
  </r>
  <r>
    <x v="0"/>
    <x v="39"/>
    <x v="11"/>
    <n v="8246.6319999999996"/>
    <x v="0"/>
  </r>
  <r>
    <x v="0"/>
    <x v="40"/>
    <x v="0"/>
    <n v="6284.6297999999997"/>
    <x v="0"/>
  </r>
  <r>
    <x v="0"/>
    <x v="40"/>
    <x v="1"/>
    <n v="6280.5751"/>
    <x v="0"/>
  </r>
  <r>
    <x v="0"/>
    <x v="40"/>
    <x v="2"/>
    <n v="9624.1211999999996"/>
    <x v="0"/>
  </r>
  <r>
    <x v="0"/>
    <x v="40"/>
    <x v="3"/>
    <n v="0"/>
    <x v="0"/>
  </r>
  <r>
    <x v="0"/>
    <x v="40"/>
    <x v="4"/>
    <n v="0"/>
    <x v="0"/>
  </r>
  <r>
    <x v="0"/>
    <x v="40"/>
    <x v="5"/>
    <n v="0"/>
    <x v="0"/>
  </r>
  <r>
    <x v="0"/>
    <x v="40"/>
    <x v="6"/>
    <n v="0"/>
    <x v="0"/>
  </r>
  <r>
    <x v="0"/>
    <x v="40"/>
    <x v="7"/>
    <n v="0"/>
    <x v="0"/>
  </r>
  <r>
    <x v="0"/>
    <x v="40"/>
    <x v="8"/>
    <n v="0"/>
    <x v="0"/>
  </r>
  <r>
    <x v="0"/>
    <x v="40"/>
    <x v="9"/>
    <n v="0"/>
    <x v="0"/>
  </r>
  <r>
    <x v="0"/>
    <x v="40"/>
    <x v="10"/>
    <n v="0"/>
    <x v="0"/>
  </r>
  <r>
    <x v="0"/>
    <x v="40"/>
    <x v="11"/>
    <n v="0"/>
    <x v="0"/>
  </r>
  <r>
    <x v="0"/>
    <x v="41"/>
    <x v="0"/>
    <n v="3197.1426999999999"/>
    <x v="0"/>
  </r>
  <r>
    <x v="0"/>
    <x v="41"/>
    <x v="1"/>
    <n v="3197.0075000000002"/>
    <x v="0"/>
  </r>
  <r>
    <x v="0"/>
    <x v="41"/>
    <x v="2"/>
    <n v="3194.6383999999998"/>
    <x v="0"/>
  </r>
  <r>
    <x v="0"/>
    <x v="41"/>
    <x v="3"/>
    <n v="3177.3744999999999"/>
    <x v="0"/>
  </r>
  <r>
    <x v="0"/>
    <x v="41"/>
    <x v="4"/>
    <n v="3176.2318"/>
    <x v="0"/>
  </r>
  <r>
    <x v="0"/>
    <x v="41"/>
    <x v="5"/>
    <n v="3175.2746999999999"/>
    <x v="0"/>
  </r>
  <r>
    <x v="0"/>
    <x v="41"/>
    <x v="6"/>
    <n v="3230.9657000000002"/>
    <x v="0"/>
  </r>
  <r>
    <x v="0"/>
    <x v="41"/>
    <x v="7"/>
    <n v="3180.3368999999998"/>
    <x v="0"/>
  </r>
  <r>
    <x v="0"/>
    <x v="41"/>
    <x v="8"/>
    <n v="3172.2618000000002"/>
    <x v="0"/>
  </r>
  <r>
    <x v="0"/>
    <x v="41"/>
    <x v="9"/>
    <n v="3170.4902999999999"/>
    <x v="0"/>
  </r>
  <r>
    <x v="0"/>
    <x v="41"/>
    <x v="10"/>
    <n v="3170.2811000000002"/>
    <x v="0"/>
  </r>
  <r>
    <x v="0"/>
    <x v="41"/>
    <x v="11"/>
    <n v="7614.7511000000004"/>
    <x v="0"/>
  </r>
  <r>
    <x v="0"/>
    <x v="42"/>
    <x v="0"/>
    <n v="1731.4967999999999"/>
    <x v="0"/>
  </r>
  <r>
    <x v="0"/>
    <x v="42"/>
    <x v="1"/>
    <n v="1734.9367"/>
    <x v="0"/>
  </r>
  <r>
    <x v="0"/>
    <x v="42"/>
    <x v="2"/>
    <n v="1735.3648000000001"/>
    <x v="0"/>
  </r>
  <r>
    <x v="0"/>
    <x v="42"/>
    <x v="3"/>
    <n v="1735.5225"/>
    <x v="0"/>
  </r>
  <r>
    <x v="0"/>
    <x v="42"/>
    <x v="4"/>
    <n v="1735.721"/>
    <x v="0"/>
  </r>
  <r>
    <x v="0"/>
    <x v="42"/>
    <x v="5"/>
    <n v="1735.8004000000001"/>
    <x v="0"/>
  </r>
  <r>
    <x v="0"/>
    <x v="42"/>
    <x v="6"/>
    <n v="1781.9205999999999"/>
    <x v="0"/>
  </r>
  <r>
    <x v="0"/>
    <x v="42"/>
    <x v="7"/>
    <n v="1741.7951"/>
    <x v="0"/>
  </r>
  <r>
    <x v="0"/>
    <x v="42"/>
    <x v="8"/>
    <n v="2392.3144000000002"/>
    <x v="0"/>
  </r>
  <r>
    <x v="0"/>
    <x v="42"/>
    <x v="9"/>
    <n v="2392.3144000000002"/>
    <x v="0"/>
  </r>
  <r>
    <x v="0"/>
    <x v="42"/>
    <x v="10"/>
    <n v="2392.8314999999998"/>
    <x v="0"/>
  </r>
  <r>
    <x v="0"/>
    <x v="42"/>
    <x v="11"/>
    <n v="2392.8314999999998"/>
    <x v="0"/>
  </r>
  <r>
    <x v="0"/>
    <x v="43"/>
    <x v="0"/>
    <n v="2474.6383999999998"/>
    <x v="0"/>
  </r>
  <r>
    <x v="0"/>
    <x v="43"/>
    <x v="1"/>
    <n v="2476.4409999999998"/>
    <x v="0"/>
  </r>
  <r>
    <x v="0"/>
    <x v="43"/>
    <x v="2"/>
    <n v="3755.3647999999998"/>
    <x v="0"/>
  </r>
  <r>
    <x v="0"/>
    <x v="43"/>
    <x v="3"/>
    <n v="3754.0857999999998"/>
    <x v="0"/>
  </r>
  <r>
    <x v="0"/>
    <x v="43"/>
    <x v="4"/>
    <n v="3754.1052"/>
    <x v="0"/>
  </r>
  <r>
    <x v="0"/>
    <x v="43"/>
    <x v="5"/>
    <n v="3753.6556"/>
    <x v="0"/>
  </r>
  <r>
    <x v="0"/>
    <x v="43"/>
    <x v="6"/>
    <n v="3804.6415999999999"/>
    <x v="0"/>
  </r>
  <r>
    <x v="0"/>
    <x v="43"/>
    <x v="7"/>
    <n v="3757.8078999999998"/>
    <x v="0"/>
  </r>
  <r>
    <x v="0"/>
    <x v="43"/>
    <x v="8"/>
    <n v="3759.3197"/>
    <x v="0"/>
  </r>
  <r>
    <x v="0"/>
    <x v="43"/>
    <x v="9"/>
    <n v="3757.7188999999998"/>
    <x v="0"/>
  </r>
  <r>
    <x v="0"/>
    <x v="43"/>
    <x v="10"/>
    <n v="3758.3969999999999"/>
    <x v="0"/>
  </r>
  <r>
    <x v="0"/>
    <x v="43"/>
    <x v="11"/>
    <n v="3757.1921000000002"/>
    <x v="0"/>
  </r>
  <r>
    <x v="0"/>
    <x v="44"/>
    <x v="0"/>
    <n v="4450.2672000000002"/>
    <x v="0"/>
  </r>
  <r>
    <x v="0"/>
    <x v="44"/>
    <x v="1"/>
    <n v="4449.2156999999997"/>
    <x v="0"/>
  </r>
  <r>
    <x v="0"/>
    <x v="44"/>
    <x v="2"/>
    <n v="4448.9281000000001"/>
    <x v="0"/>
  </r>
  <r>
    <x v="0"/>
    <x v="44"/>
    <x v="3"/>
    <n v="4447.4002"/>
    <x v="0"/>
  </r>
  <r>
    <x v="0"/>
    <x v="44"/>
    <x v="4"/>
    <n v="4447.2638999999999"/>
    <x v="0"/>
  </r>
  <r>
    <x v="0"/>
    <x v="44"/>
    <x v="5"/>
    <n v="4446.7092000000002"/>
    <x v="0"/>
  </r>
  <r>
    <x v="0"/>
    <x v="44"/>
    <x v="6"/>
    <n v="4493.4130999999998"/>
    <x v="0"/>
  </r>
  <r>
    <x v="0"/>
    <x v="44"/>
    <x v="7"/>
    <n v="4450.9345000000003"/>
    <x v="0"/>
  </r>
  <r>
    <x v="0"/>
    <x v="44"/>
    <x v="8"/>
    <n v="4445.1040999999996"/>
    <x v="0"/>
  </r>
  <r>
    <x v="0"/>
    <x v="44"/>
    <x v="9"/>
    <n v="5084.5965999999999"/>
    <x v="0"/>
  </r>
  <r>
    <x v="0"/>
    <x v="44"/>
    <x v="10"/>
    <n v="5087.2253000000001"/>
    <x v="0"/>
  </r>
  <r>
    <x v="0"/>
    <x v="44"/>
    <x v="11"/>
    <n v="9015.4603000000006"/>
    <x v="0"/>
  </r>
  <r>
    <x v="0"/>
    <x v="45"/>
    <x v="0"/>
    <n v="3197.3584000000001"/>
    <x v="0"/>
  </r>
  <r>
    <x v="0"/>
    <x v="45"/>
    <x v="1"/>
    <n v="3197.2435999999998"/>
    <x v="0"/>
  </r>
  <r>
    <x v="0"/>
    <x v="45"/>
    <x v="2"/>
    <n v="3194.8937999999998"/>
    <x v="0"/>
  </r>
  <r>
    <x v="0"/>
    <x v="45"/>
    <x v="3"/>
    <n v="3192.6534000000001"/>
    <x v="0"/>
  </r>
  <r>
    <x v="0"/>
    <x v="45"/>
    <x v="4"/>
    <n v="3191.5632999999998"/>
    <x v="0"/>
  </r>
  <r>
    <x v="0"/>
    <x v="45"/>
    <x v="5"/>
    <n v="3190.6426999999999"/>
    <x v="0"/>
  </r>
  <r>
    <x v="0"/>
    <x v="45"/>
    <x v="6"/>
    <n v="3240.1288"/>
    <x v="0"/>
  </r>
  <r>
    <x v="0"/>
    <x v="45"/>
    <x v="7"/>
    <n v="3195.7575000000002"/>
    <x v="0"/>
  </r>
  <r>
    <x v="0"/>
    <x v="45"/>
    <x v="8"/>
    <n v="3195.3562000000002"/>
    <x v="0"/>
  </r>
  <r>
    <x v="0"/>
    <x v="45"/>
    <x v="9"/>
    <n v="5369.4269999999997"/>
    <x v="0"/>
  </r>
  <r>
    <x v="0"/>
    <x v="45"/>
    <x v="10"/>
    <n v="5372.1255000000001"/>
    <x v="0"/>
  </r>
  <r>
    <x v="0"/>
    <x v="45"/>
    <x v="11"/>
    <n v="5371.0020999999997"/>
    <x v="0"/>
  </r>
  <r>
    <x v="0"/>
    <x v="46"/>
    <x v="0"/>
    <n v="10750.154500000001"/>
    <x v="0"/>
  </r>
  <r>
    <x v="0"/>
    <x v="46"/>
    <x v="1"/>
    <n v="10746.7371"/>
    <x v="0"/>
  </r>
  <r>
    <x v="0"/>
    <x v="46"/>
    <x v="2"/>
    <n v="10762.4732"/>
    <x v="0"/>
  </r>
  <r>
    <x v="0"/>
    <x v="46"/>
    <x v="3"/>
    <n v="10767.2328"/>
    <x v="0"/>
  </r>
  <r>
    <x v="0"/>
    <x v="46"/>
    <x v="4"/>
    <n v="10774.5021"/>
    <x v="0"/>
  </r>
  <r>
    <x v="0"/>
    <x v="46"/>
    <x v="5"/>
    <n v="10777.053599999999"/>
    <x v="0"/>
  </r>
  <r>
    <x v="0"/>
    <x v="46"/>
    <x v="6"/>
    <n v="10813.759700000001"/>
    <x v="0"/>
  </r>
  <r>
    <x v="0"/>
    <x v="46"/>
    <x v="7"/>
    <n v="0"/>
    <x v="0"/>
  </r>
  <r>
    <x v="0"/>
    <x v="46"/>
    <x v="8"/>
    <n v="10729.6137"/>
    <x v="0"/>
  </r>
  <r>
    <x v="0"/>
    <x v="46"/>
    <x v="9"/>
    <n v="14076.022499999999"/>
    <x v="0"/>
  </r>
  <r>
    <x v="0"/>
    <x v="46"/>
    <x v="10"/>
    <n v="7587.1749"/>
    <x v="0"/>
  </r>
  <r>
    <x v="0"/>
    <x v="46"/>
    <x v="11"/>
    <n v="7586.8132999999998"/>
    <x v="0"/>
  </r>
  <r>
    <x v="0"/>
    <x v="47"/>
    <x v="0"/>
    <n v="5397.1727000000001"/>
    <x v="0"/>
  </r>
  <r>
    <x v="0"/>
    <x v="47"/>
    <x v="1"/>
    <n v="5395.3218999999999"/>
    <x v="0"/>
  </r>
  <r>
    <x v="0"/>
    <x v="47"/>
    <x v="2"/>
    <n v="5400.7124000000003"/>
    <x v="0"/>
  </r>
  <r>
    <x v="0"/>
    <x v="47"/>
    <x v="3"/>
    <n v="5401.4206000000004"/>
    <x v="0"/>
  </r>
  <r>
    <x v="0"/>
    <x v="47"/>
    <x v="4"/>
    <n v="5403.9076999999997"/>
    <x v="0"/>
  </r>
  <r>
    <x v="0"/>
    <x v="47"/>
    <x v="5"/>
    <n v="5404.4570999999996"/>
    <x v="0"/>
  </r>
  <r>
    <x v="0"/>
    <x v="47"/>
    <x v="6"/>
    <n v="5452.8584000000001"/>
    <x v="0"/>
  </r>
  <r>
    <x v="0"/>
    <x v="47"/>
    <x v="7"/>
    <n v="5407.1855999999998"/>
    <x v="0"/>
  </r>
  <r>
    <x v="0"/>
    <x v="47"/>
    <x v="8"/>
    <n v="5413.1329999999998"/>
    <x v="0"/>
  </r>
  <r>
    <x v="0"/>
    <x v="47"/>
    <x v="9"/>
    <n v="5411.5600999999997"/>
    <x v="0"/>
  </r>
  <r>
    <x v="0"/>
    <x v="47"/>
    <x v="10"/>
    <n v="5414.2275"/>
    <x v="0"/>
  </r>
  <r>
    <x v="0"/>
    <x v="47"/>
    <x v="11"/>
    <n v="12781.1438"/>
    <x v="0"/>
  </r>
  <r>
    <x v="0"/>
    <x v="48"/>
    <x v="0"/>
    <n v="0"/>
    <x v="0"/>
  </r>
  <r>
    <x v="0"/>
    <x v="48"/>
    <x v="1"/>
    <n v="6571.7532000000001"/>
    <x v="0"/>
  </r>
  <r>
    <x v="0"/>
    <x v="48"/>
    <x v="2"/>
    <n v="6984.97"/>
    <x v="0"/>
  </r>
  <r>
    <x v="0"/>
    <x v="48"/>
    <x v="3"/>
    <n v="6987.8401000000003"/>
    <x v="0"/>
  </r>
  <r>
    <x v="0"/>
    <x v="48"/>
    <x v="4"/>
    <n v="6992.9076999999997"/>
    <x v="0"/>
  </r>
  <r>
    <x v="0"/>
    <x v="48"/>
    <x v="5"/>
    <n v="6994.5279"/>
    <x v="0"/>
  </r>
  <r>
    <x v="0"/>
    <x v="48"/>
    <x v="6"/>
    <n v="7030.8636999999999"/>
    <x v="0"/>
  </r>
  <r>
    <x v="0"/>
    <x v="48"/>
    <x v="7"/>
    <n v="6995.8337000000001"/>
    <x v="0"/>
  </r>
  <r>
    <x v="0"/>
    <x v="48"/>
    <x v="8"/>
    <n v="6999.1180000000004"/>
    <x v="0"/>
  </r>
  <r>
    <x v="0"/>
    <x v="48"/>
    <x v="9"/>
    <n v="6997.6608999999999"/>
    <x v="0"/>
  </r>
  <r>
    <x v="0"/>
    <x v="48"/>
    <x v="10"/>
    <n v="7002.3518999999997"/>
    <x v="0"/>
  </r>
  <r>
    <x v="0"/>
    <x v="48"/>
    <x v="11"/>
    <n v="7001.2564000000002"/>
    <x v="0"/>
  </r>
  <r>
    <x v="0"/>
    <x v="49"/>
    <x v="0"/>
    <n v="1761.8058000000001"/>
    <x v="0"/>
  </r>
  <r>
    <x v="0"/>
    <x v="49"/>
    <x v="1"/>
    <n v="1765.2757999999999"/>
    <x v="0"/>
  </r>
  <r>
    <x v="0"/>
    <x v="49"/>
    <x v="2"/>
    <n v="1765.7049"/>
    <x v="0"/>
  </r>
  <r>
    <x v="0"/>
    <x v="49"/>
    <x v="3"/>
    <n v="1765.8626999999999"/>
    <x v="0"/>
  </r>
  <r>
    <x v="0"/>
    <x v="49"/>
    <x v="4"/>
    <n v="1766.0600999999999"/>
    <x v="0"/>
  </r>
  <r>
    <x v="0"/>
    <x v="49"/>
    <x v="5"/>
    <n v="1766.1395"/>
    <x v="0"/>
  </r>
  <r>
    <x v="0"/>
    <x v="49"/>
    <x v="6"/>
    <n v="1806.4882"/>
    <x v="0"/>
  </r>
  <r>
    <x v="0"/>
    <x v="49"/>
    <x v="7"/>
    <n v="1772.1867"/>
    <x v="0"/>
  </r>
  <r>
    <x v="0"/>
    <x v="49"/>
    <x v="8"/>
    <n v="1772.5451"/>
    <x v="0"/>
  </r>
  <r>
    <x v="0"/>
    <x v="49"/>
    <x v="9"/>
    <n v="1772.5451"/>
    <x v="0"/>
  </r>
  <r>
    <x v="0"/>
    <x v="49"/>
    <x v="10"/>
    <n v="1873.1277"/>
    <x v="0"/>
  </r>
  <r>
    <x v="0"/>
    <x v="49"/>
    <x v="11"/>
    <n v="0"/>
    <x v="0"/>
  </r>
  <r>
    <x v="0"/>
    <x v="50"/>
    <x v="0"/>
    <n v="1920.8444"/>
    <x v="0"/>
  </r>
  <r>
    <x v="0"/>
    <x v="50"/>
    <x v="1"/>
    <n v="1923.4399000000001"/>
    <x v="0"/>
  </r>
  <r>
    <x v="0"/>
    <x v="50"/>
    <x v="2"/>
    <n v="1922.8036"/>
    <x v="0"/>
  </r>
  <r>
    <x v="0"/>
    <x v="50"/>
    <x v="3"/>
    <n v="1922.1781000000001"/>
    <x v="0"/>
  </r>
  <r>
    <x v="0"/>
    <x v="50"/>
    <x v="4"/>
    <n v="1921.8820000000001"/>
    <x v="0"/>
  </r>
  <r>
    <x v="0"/>
    <x v="50"/>
    <x v="5"/>
    <n v="1921.6255000000001"/>
    <x v="0"/>
  </r>
  <r>
    <x v="0"/>
    <x v="50"/>
    <x v="6"/>
    <n v="1965.6030000000001"/>
    <x v="0"/>
  </r>
  <r>
    <x v="0"/>
    <x v="50"/>
    <x v="7"/>
    <n v="1927.4002"/>
    <x v="0"/>
  </r>
  <r>
    <x v="0"/>
    <x v="50"/>
    <x v="8"/>
    <n v="1927.3144"/>
    <x v="0"/>
  </r>
  <r>
    <x v="0"/>
    <x v="50"/>
    <x v="9"/>
    <n v="1936.6190999999999"/>
    <x v="0"/>
  </r>
  <r>
    <x v="0"/>
    <x v="50"/>
    <x v="10"/>
    <n v="1936.5923"/>
    <x v="0"/>
  </r>
  <r>
    <x v="0"/>
    <x v="50"/>
    <x v="11"/>
    <n v="4890.5439999999999"/>
    <x v="0"/>
  </r>
  <r>
    <x v="0"/>
    <x v="51"/>
    <x v="0"/>
    <n v="1074.3679999999999"/>
    <x v="0"/>
  </r>
  <r>
    <x v="0"/>
    <x v="51"/>
    <x v="1"/>
    <n v="0"/>
    <x v="0"/>
  </r>
  <r>
    <x v="0"/>
    <x v="51"/>
    <x v="2"/>
    <n v="0"/>
    <x v="0"/>
  </r>
  <r>
    <x v="0"/>
    <x v="51"/>
    <x v="3"/>
    <n v="0"/>
    <x v="0"/>
  </r>
  <r>
    <x v="0"/>
    <x v="51"/>
    <x v="4"/>
    <n v="0"/>
    <x v="0"/>
  </r>
  <r>
    <x v="0"/>
    <x v="51"/>
    <x v="5"/>
    <n v="0"/>
    <x v="0"/>
  </r>
  <r>
    <x v="0"/>
    <x v="51"/>
    <x v="6"/>
    <n v="0"/>
    <x v="0"/>
  </r>
  <r>
    <x v="0"/>
    <x v="51"/>
    <x v="7"/>
    <n v="0"/>
    <x v="0"/>
  </r>
  <r>
    <x v="0"/>
    <x v="51"/>
    <x v="8"/>
    <n v="0"/>
    <x v="0"/>
  </r>
  <r>
    <x v="0"/>
    <x v="51"/>
    <x v="9"/>
    <n v="0"/>
    <x v="0"/>
  </r>
  <r>
    <x v="0"/>
    <x v="51"/>
    <x v="10"/>
    <n v="0"/>
    <x v="0"/>
  </r>
  <r>
    <x v="0"/>
    <x v="51"/>
    <x v="11"/>
    <n v="0"/>
    <x v="0"/>
  </r>
  <r>
    <x v="0"/>
    <x v="52"/>
    <x v="0"/>
    <n v="0"/>
    <x v="0"/>
  </r>
  <r>
    <x v="0"/>
    <x v="52"/>
    <x v="1"/>
    <n v="0"/>
    <x v="0"/>
  </r>
  <r>
    <x v="0"/>
    <x v="52"/>
    <x v="2"/>
    <n v="2657.3937999999998"/>
    <x v="0"/>
  </r>
  <r>
    <x v="0"/>
    <x v="52"/>
    <x v="3"/>
    <n v="2656.7757999999999"/>
    <x v="0"/>
  </r>
  <r>
    <x v="0"/>
    <x v="52"/>
    <x v="4"/>
    <n v="2656.7060000000001"/>
    <x v="0"/>
  </r>
  <r>
    <x v="0"/>
    <x v="52"/>
    <x v="5"/>
    <n v="2656.4785000000002"/>
    <x v="0"/>
  </r>
  <r>
    <x v="0"/>
    <x v="52"/>
    <x v="6"/>
    <n v="2689.1170000000002"/>
    <x v="0"/>
  </r>
  <r>
    <x v="0"/>
    <x v="52"/>
    <x v="7"/>
    <n v="3198.3465999999999"/>
    <x v="0"/>
  </r>
  <r>
    <x v="0"/>
    <x v="52"/>
    <x v="8"/>
    <n v="2643.5954999999999"/>
    <x v="0"/>
  </r>
  <r>
    <x v="0"/>
    <x v="52"/>
    <x v="9"/>
    <n v="2642.8991000000001"/>
    <x v="0"/>
  </r>
  <r>
    <x v="0"/>
    <x v="52"/>
    <x v="10"/>
    <n v="2640.1523999999999"/>
    <x v="0"/>
  </r>
  <r>
    <x v="0"/>
    <x v="52"/>
    <x v="11"/>
    <n v="2639.6223"/>
    <x v="0"/>
  </r>
  <r>
    <x v="0"/>
    <x v="53"/>
    <x v="0"/>
    <n v="0"/>
    <x v="0"/>
  </r>
  <r>
    <x v="0"/>
    <x v="53"/>
    <x v="1"/>
    <n v="0"/>
    <x v="0"/>
  </r>
  <r>
    <x v="0"/>
    <x v="53"/>
    <x v="2"/>
    <n v="0"/>
    <x v="0"/>
  </r>
  <r>
    <x v="0"/>
    <x v="53"/>
    <x v="3"/>
    <n v="1320.7318"/>
    <x v="0"/>
  </r>
  <r>
    <x v="0"/>
    <x v="53"/>
    <x v="4"/>
    <n v="1641.2876000000001"/>
    <x v="0"/>
  </r>
  <r>
    <x v="0"/>
    <x v="53"/>
    <x v="5"/>
    <n v="4843.7692999999999"/>
    <x v="0"/>
  </r>
  <r>
    <x v="0"/>
    <x v="53"/>
    <x v="6"/>
    <n v="0"/>
    <x v="0"/>
  </r>
  <r>
    <x v="0"/>
    <x v="53"/>
    <x v="7"/>
    <n v="0"/>
    <x v="0"/>
  </r>
  <r>
    <x v="0"/>
    <x v="53"/>
    <x v="8"/>
    <n v="0"/>
    <x v="0"/>
  </r>
  <r>
    <x v="0"/>
    <x v="53"/>
    <x v="9"/>
    <n v="0"/>
    <x v="0"/>
  </r>
  <r>
    <x v="0"/>
    <x v="53"/>
    <x v="10"/>
    <n v="0"/>
    <x v="0"/>
  </r>
  <r>
    <x v="0"/>
    <x v="53"/>
    <x v="11"/>
    <n v="0"/>
    <x v="0"/>
  </r>
  <r>
    <x v="0"/>
    <x v="54"/>
    <x v="0"/>
    <n v="0"/>
    <x v="0"/>
  </r>
  <r>
    <x v="0"/>
    <x v="54"/>
    <x v="1"/>
    <n v="0"/>
    <x v="0"/>
  </r>
  <r>
    <x v="0"/>
    <x v="54"/>
    <x v="2"/>
    <n v="0"/>
    <x v="0"/>
  </r>
  <r>
    <x v="0"/>
    <x v="54"/>
    <x v="3"/>
    <n v="1873.9441999999999"/>
    <x v="0"/>
  </r>
  <r>
    <x v="0"/>
    <x v="54"/>
    <x v="4"/>
    <n v="1931.529"/>
    <x v="0"/>
  </r>
  <r>
    <x v="0"/>
    <x v="54"/>
    <x v="5"/>
    <n v="1931.6084000000001"/>
    <x v="0"/>
  </r>
  <r>
    <x v="0"/>
    <x v="54"/>
    <x v="6"/>
    <n v="1956.1663000000001"/>
    <x v="0"/>
  </r>
  <r>
    <x v="0"/>
    <x v="54"/>
    <x v="7"/>
    <n v="1937.6491000000001"/>
    <x v="0"/>
  </r>
  <r>
    <x v="0"/>
    <x v="54"/>
    <x v="8"/>
    <n v="2263.7082"/>
    <x v="0"/>
  </r>
  <r>
    <x v="0"/>
    <x v="54"/>
    <x v="9"/>
    <n v="2248.2757999999999"/>
    <x v="0"/>
  </r>
  <r>
    <x v="0"/>
    <x v="54"/>
    <x v="10"/>
    <n v="2248.7928999999999"/>
    <x v="0"/>
  </r>
  <r>
    <x v="0"/>
    <x v="54"/>
    <x v="11"/>
    <n v="2248.7928999999999"/>
    <x v="0"/>
  </r>
  <r>
    <x v="0"/>
    <x v="55"/>
    <x v="0"/>
    <n v="0"/>
    <x v="0"/>
  </r>
  <r>
    <x v="0"/>
    <x v="55"/>
    <x v="1"/>
    <n v="0"/>
    <x v="0"/>
  </r>
  <r>
    <x v="0"/>
    <x v="55"/>
    <x v="2"/>
    <n v="0"/>
    <x v="0"/>
  </r>
  <r>
    <x v="0"/>
    <x v="55"/>
    <x v="3"/>
    <n v="1931.3305"/>
    <x v="0"/>
  </r>
  <r>
    <x v="0"/>
    <x v="55"/>
    <x v="4"/>
    <n v="1931.0482999999999"/>
    <x v="0"/>
  </r>
  <r>
    <x v="0"/>
    <x v="55"/>
    <x v="5"/>
    <n v="1930.8015"/>
    <x v="0"/>
  </r>
  <r>
    <x v="0"/>
    <x v="55"/>
    <x v="6"/>
    <n v="2700.1459"/>
    <x v="0"/>
  </r>
  <r>
    <x v="0"/>
    <x v="55"/>
    <x v="7"/>
    <n v="3218.3690999999999"/>
    <x v="0"/>
  </r>
  <r>
    <x v="0"/>
    <x v="55"/>
    <x v="8"/>
    <n v="2683.0418"/>
    <x v="0"/>
  </r>
  <r>
    <x v="0"/>
    <x v="55"/>
    <x v="9"/>
    <n v="2664.6855999999998"/>
    <x v="0"/>
  </r>
  <r>
    <x v="0"/>
    <x v="55"/>
    <x v="10"/>
    <n v="2708.1019000000001"/>
    <x v="0"/>
  </r>
  <r>
    <x v="0"/>
    <x v="55"/>
    <x v="11"/>
    <n v="2708.1019000000001"/>
    <x v="0"/>
  </r>
  <r>
    <x v="0"/>
    <x v="56"/>
    <x v="0"/>
    <n v="0"/>
    <x v="0"/>
  </r>
  <r>
    <x v="0"/>
    <x v="56"/>
    <x v="1"/>
    <n v="0"/>
    <x v="0"/>
  </r>
  <r>
    <x v="0"/>
    <x v="56"/>
    <x v="2"/>
    <n v="0"/>
    <x v="0"/>
  </r>
  <r>
    <x v="0"/>
    <x v="56"/>
    <x v="3"/>
    <n v="1072.9613999999999"/>
    <x v="0"/>
  </r>
  <r>
    <x v="0"/>
    <x v="56"/>
    <x v="4"/>
    <n v="1073.1599000000001"/>
    <x v="0"/>
  </r>
  <r>
    <x v="0"/>
    <x v="56"/>
    <x v="5"/>
    <n v="1073.2393"/>
    <x v="0"/>
  </r>
  <r>
    <x v="0"/>
    <x v="56"/>
    <x v="6"/>
    <n v="1072.2822000000001"/>
    <x v="0"/>
  </r>
  <r>
    <x v="0"/>
    <x v="56"/>
    <x v="7"/>
    <n v="1094.8046999999999"/>
    <x v="0"/>
  </r>
  <r>
    <x v="0"/>
    <x v="56"/>
    <x v="8"/>
    <n v="1435.8809000000001"/>
    <x v="0"/>
  </r>
  <r>
    <x v="0"/>
    <x v="56"/>
    <x v="9"/>
    <n v="1426.4623999999999"/>
    <x v="0"/>
  </r>
  <r>
    <x v="0"/>
    <x v="56"/>
    <x v="10"/>
    <n v="1426.6233999999999"/>
    <x v="0"/>
  </r>
  <r>
    <x v="0"/>
    <x v="56"/>
    <x v="11"/>
    <n v="1426.6233999999999"/>
    <x v="0"/>
  </r>
  <r>
    <x v="0"/>
    <x v="57"/>
    <x v="0"/>
    <n v="0"/>
    <x v="0"/>
  </r>
  <r>
    <x v="0"/>
    <x v="57"/>
    <x v="1"/>
    <n v="0"/>
    <x v="0"/>
  </r>
  <r>
    <x v="0"/>
    <x v="57"/>
    <x v="2"/>
    <n v="0"/>
    <x v="0"/>
  </r>
  <r>
    <x v="0"/>
    <x v="57"/>
    <x v="3"/>
    <n v="1610.0718999999999"/>
    <x v="0"/>
  </r>
  <r>
    <x v="0"/>
    <x v="57"/>
    <x v="4"/>
    <n v="1394.7650000000001"/>
    <x v="0"/>
  </r>
  <r>
    <x v="0"/>
    <x v="57"/>
    <x v="5"/>
    <n v="472.38839999999999"/>
    <x v="0"/>
  </r>
  <r>
    <x v="0"/>
    <x v="57"/>
    <x v="6"/>
    <n v="0"/>
    <x v="0"/>
  </r>
  <r>
    <x v="0"/>
    <x v="57"/>
    <x v="7"/>
    <n v="0"/>
    <x v="0"/>
  </r>
  <r>
    <x v="0"/>
    <x v="57"/>
    <x v="8"/>
    <n v="0"/>
    <x v="0"/>
  </r>
  <r>
    <x v="0"/>
    <x v="57"/>
    <x v="9"/>
    <n v="0"/>
    <x v="0"/>
  </r>
  <r>
    <x v="0"/>
    <x v="57"/>
    <x v="10"/>
    <n v="0"/>
    <x v="0"/>
  </r>
  <r>
    <x v="0"/>
    <x v="57"/>
    <x v="11"/>
    <n v="0"/>
    <x v="0"/>
  </r>
  <r>
    <x v="0"/>
    <x v="58"/>
    <x v="0"/>
    <n v="0"/>
    <x v="0"/>
  </r>
  <r>
    <x v="0"/>
    <x v="58"/>
    <x v="1"/>
    <n v="0"/>
    <x v="0"/>
  </r>
  <r>
    <x v="0"/>
    <x v="58"/>
    <x v="2"/>
    <n v="0"/>
    <x v="0"/>
  </r>
  <r>
    <x v="0"/>
    <x v="58"/>
    <x v="3"/>
    <n v="463.85730000000001"/>
    <x v="0"/>
  </r>
  <r>
    <x v="0"/>
    <x v="58"/>
    <x v="4"/>
    <n v="1287.7520999999999"/>
    <x v="0"/>
  </r>
  <r>
    <x v="0"/>
    <x v="58"/>
    <x v="5"/>
    <n v="1287.8315"/>
    <x v="0"/>
  </r>
  <r>
    <x v="0"/>
    <x v="58"/>
    <x v="6"/>
    <n v="1302.2005999999999"/>
    <x v="0"/>
  </r>
  <r>
    <x v="0"/>
    <x v="58"/>
    <x v="7"/>
    <n v="1288.0687"/>
    <x v="0"/>
  </r>
  <r>
    <x v="0"/>
    <x v="58"/>
    <x v="8"/>
    <n v="1288.1415999999999"/>
    <x v="0"/>
  </r>
  <r>
    <x v="0"/>
    <x v="58"/>
    <x v="9"/>
    <n v="1536.1813"/>
    <x v="0"/>
  </r>
  <r>
    <x v="0"/>
    <x v="58"/>
    <x v="10"/>
    <n v="1536.3412000000001"/>
    <x v="0"/>
  </r>
  <r>
    <x v="0"/>
    <x v="58"/>
    <x v="11"/>
    <n v="1536.3412000000001"/>
    <x v="0"/>
  </r>
  <r>
    <x v="0"/>
    <x v="59"/>
    <x v="0"/>
    <n v="0"/>
    <x v="0"/>
  </r>
  <r>
    <x v="0"/>
    <x v="59"/>
    <x v="1"/>
    <n v="0"/>
    <x v="0"/>
  </r>
  <r>
    <x v="0"/>
    <x v="59"/>
    <x v="2"/>
    <n v="0"/>
    <x v="0"/>
  </r>
  <r>
    <x v="0"/>
    <x v="59"/>
    <x v="3"/>
    <n v="0"/>
    <x v="0"/>
  </r>
  <r>
    <x v="0"/>
    <x v="59"/>
    <x v="4"/>
    <n v="913.91420000000005"/>
    <x v="0"/>
  </r>
  <r>
    <x v="0"/>
    <x v="59"/>
    <x v="5"/>
    <n v="2360.2402999999999"/>
    <x v="0"/>
  </r>
  <r>
    <x v="0"/>
    <x v="59"/>
    <x v="6"/>
    <n v="2373.9452999999999"/>
    <x v="0"/>
  </r>
  <r>
    <x v="0"/>
    <x v="59"/>
    <x v="7"/>
    <n v="2687.6695"/>
    <x v="0"/>
  </r>
  <r>
    <x v="0"/>
    <x v="59"/>
    <x v="8"/>
    <n v="2688.1223"/>
    <x v="0"/>
  </r>
  <r>
    <x v="0"/>
    <x v="59"/>
    <x v="9"/>
    <n v="2681.9216999999999"/>
    <x v="0"/>
  </r>
  <r>
    <x v="0"/>
    <x v="59"/>
    <x v="10"/>
    <n v="2682.1170000000002"/>
    <x v="0"/>
  </r>
  <r>
    <x v="0"/>
    <x v="59"/>
    <x v="11"/>
    <n v="2681.5279"/>
    <x v="0"/>
  </r>
  <r>
    <x v="0"/>
    <x v="60"/>
    <x v="0"/>
    <n v="0"/>
    <x v="0"/>
  </r>
  <r>
    <x v="0"/>
    <x v="60"/>
    <x v="1"/>
    <n v="0"/>
    <x v="0"/>
  </r>
  <r>
    <x v="0"/>
    <x v="60"/>
    <x v="2"/>
    <n v="0"/>
    <x v="0"/>
  </r>
  <r>
    <x v="0"/>
    <x v="60"/>
    <x v="3"/>
    <n v="0"/>
    <x v="0"/>
  </r>
  <r>
    <x v="0"/>
    <x v="60"/>
    <x v="4"/>
    <n v="0"/>
    <x v="0"/>
  </r>
  <r>
    <x v="0"/>
    <x v="60"/>
    <x v="5"/>
    <n v="2799.1599000000001"/>
    <x v="0"/>
  </r>
  <r>
    <x v="0"/>
    <x v="60"/>
    <x v="6"/>
    <n v="3878.8305"/>
    <x v="0"/>
  </r>
  <r>
    <x v="0"/>
    <x v="60"/>
    <x v="7"/>
    <n v="3867.7166999999999"/>
    <x v="0"/>
  </r>
  <r>
    <x v="0"/>
    <x v="60"/>
    <x v="8"/>
    <n v="404.12119999999999"/>
    <x v="0"/>
  </r>
  <r>
    <x v="0"/>
    <x v="60"/>
    <x v="9"/>
    <n v="231.25540000000001"/>
    <x v="0"/>
  </r>
  <r>
    <x v="0"/>
    <x v="60"/>
    <x v="10"/>
    <n v="0"/>
    <x v="0"/>
  </r>
  <r>
    <x v="0"/>
    <x v="60"/>
    <x v="11"/>
    <n v="0"/>
    <x v="0"/>
  </r>
  <r>
    <x v="0"/>
    <x v="61"/>
    <x v="0"/>
    <n v="0"/>
    <x v="0"/>
  </r>
  <r>
    <x v="0"/>
    <x v="61"/>
    <x v="1"/>
    <n v="0"/>
    <x v="0"/>
  </r>
  <r>
    <x v="0"/>
    <x v="61"/>
    <x v="2"/>
    <n v="0"/>
    <x v="0"/>
  </r>
  <r>
    <x v="0"/>
    <x v="61"/>
    <x v="3"/>
    <n v="0"/>
    <x v="0"/>
  </r>
  <r>
    <x v="0"/>
    <x v="61"/>
    <x v="4"/>
    <n v="0"/>
    <x v="0"/>
  </r>
  <r>
    <x v="0"/>
    <x v="61"/>
    <x v="5"/>
    <n v="999.78650000000005"/>
    <x v="0"/>
  </r>
  <r>
    <x v="0"/>
    <x v="61"/>
    <x v="6"/>
    <n v="1299.9753000000001"/>
    <x v="0"/>
  </r>
  <r>
    <x v="0"/>
    <x v="61"/>
    <x v="7"/>
    <n v="1293.6438000000001"/>
    <x v="0"/>
  </r>
  <r>
    <x v="0"/>
    <x v="61"/>
    <x v="8"/>
    <n v="1504.5397"/>
    <x v="0"/>
  </r>
  <r>
    <x v="0"/>
    <x v="61"/>
    <x v="9"/>
    <n v="1504.5397"/>
    <x v="0"/>
  </r>
  <r>
    <x v="0"/>
    <x v="61"/>
    <x v="10"/>
    <n v="1504.7005999999999"/>
    <x v="0"/>
  </r>
  <r>
    <x v="0"/>
    <x v="61"/>
    <x v="11"/>
    <n v="1504.7005999999999"/>
    <x v="0"/>
  </r>
  <r>
    <x v="0"/>
    <x v="62"/>
    <x v="0"/>
    <n v="0"/>
    <x v="0"/>
  </r>
  <r>
    <x v="0"/>
    <x v="62"/>
    <x v="1"/>
    <n v="0"/>
    <x v="0"/>
  </r>
  <r>
    <x v="0"/>
    <x v="62"/>
    <x v="2"/>
    <n v="0"/>
    <x v="0"/>
  </r>
  <r>
    <x v="0"/>
    <x v="62"/>
    <x v="3"/>
    <n v="0"/>
    <x v="0"/>
  </r>
  <r>
    <x v="0"/>
    <x v="62"/>
    <x v="4"/>
    <n v="0"/>
    <x v="0"/>
  </r>
  <r>
    <x v="0"/>
    <x v="62"/>
    <x v="5"/>
    <n v="959.63630000000001"/>
    <x v="0"/>
  </r>
  <r>
    <x v="0"/>
    <x v="62"/>
    <x v="6"/>
    <n v="1408.7295999999999"/>
    <x v="0"/>
  </r>
  <r>
    <x v="0"/>
    <x v="62"/>
    <x v="7"/>
    <n v="1402.3915999999999"/>
    <x v="0"/>
  </r>
  <r>
    <x v="0"/>
    <x v="62"/>
    <x v="8"/>
    <n v="613.11800000000005"/>
    <x v="0"/>
  </r>
  <r>
    <x v="0"/>
    <x v="62"/>
    <x v="9"/>
    <n v="472.86160000000001"/>
    <x v="0"/>
  </r>
  <r>
    <x v="0"/>
    <x v="62"/>
    <x v="10"/>
    <n v="0"/>
    <x v="0"/>
  </r>
  <r>
    <x v="0"/>
    <x v="62"/>
    <x v="11"/>
    <n v="0"/>
    <x v="0"/>
  </r>
  <r>
    <x v="0"/>
    <x v="63"/>
    <x v="0"/>
    <n v="0"/>
    <x v="0"/>
  </r>
  <r>
    <x v="0"/>
    <x v="63"/>
    <x v="1"/>
    <n v="0"/>
    <x v="0"/>
  </r>
  <r>
    <x v="0"/>
    <x v="63"/>
    <x v="2"/>
    <n v="0"/>
    <x v="0"/>
  </r>
  <r>
    <x v="0"/>
    <x v="63"/>
    <x v="3"/>
    <n v="0"/>
    <x v="0"/>
  </r>
  <r>
    <x v="0"/>
    <x v="63"/>
    <x v="4"/>
    <n v="0"/>
    <x v="0"/>
  </r>
  <r>
    <x v="0"/>
    <x v="63"/>
    <x v="5"/>
    <n v="1236.6941999999999"/>
    <x v="0"/>
  </r>
  <r>
    <x v="0"/>
    <x v="63"/>
    <x v="6"/>
    <n v="1621.8766000000001"/>
    <x v="0"/>
  </r>
  <r>
    <x v="0"/>
    <x v="63"/>
    <x v="7"/>
    <n v="1615.5386000000001"/>
    <x v="0"/>
  </r>
  <r>
    <x v="0"/>
    <x v="63"/>
    <x v="8"/>
    <n v="1615.8969999999999"/>
    <x v="0"/>
  </r>
  <r>
    <x v="0"/>
    <x v="63"/>
    <x v="9"/>
    <n v="1616.4582"/>
    <x v="0"/>
  </r>
  <r>
    <x v="0"/>
    <x v="63"/>
    <x v="10"/>
    <n v="1616.6190999999999"/>
    <x v="0"/>
  </r>
  <r>
    <x v="0"/>
    <x v="63"/>
    <x v="11"/>
    <n v="1617.2113999999999"/>
    <x v="0"/>
  </r>
  <r>
    <x v="0"/>
    <x v="64"/>
    <x v="0"/>
    <n v="0"/>
    <x v="0"/>
  </r>
  <r>
    <x v="0"/>
    <x v="64"/>
    <x v="1"/>
    <n v="0"/>
    <x v="0"/>
  </r>
  <r>
    <x v="0"/>
    <x v="64"/>
    <x v="2"/>
    <n v="0"/>
    <x v="0"/>
  </r>
  <r>
    <x v="0"/>
    <x v="64"/>
    <x v="3"/>
    <n v="0"/>
    <x v="0"/>
  </r>
  <r>
    <x v="0"/>
    <x v="64"/>
    <x v="4"/>
    <n v="0"/>
    <x v="0"/>
  </r>
  <r>
    <x v="0"/>
    <x v="64"/>
    <x v="5"/>
    <n v="1515.7059999999999"/>
    <x v="0"/>
  </r>
  <r>
    <x v="0"/>
    <x v="64"/>
    <x v="6"/>
    <n v="1762.9205999999999"/>
    <x v="0"/>
  </r>
  <r>
    <x v="0"/>
    <x v="64"/>
    <x v="7"/>
    <n v="1722.7402999999999"/>
    <x v="0"/>
  </r>
  <r>
    <x v="0"/>
    <x v="64"/>
    <x v="8"/>
    <n v="1723.0987"/>
    <x v="0"/>
  </r>
  <r>
    <x v="0"/>
    <x v="64"/>
    <x v="9"/>
    <n v="1723.0987"/>
    <x v="0"/>
  </r>
  <r>
    <x v="0"/>
    <x v="64"/>
    <x v="10"/>
    <n v="1723.2585999999999"/>
    <x v="0"/>
  </r>
  <r>
    <x v="0"/>
    <x v="64"/>
    <x v="11"/>
    <n v="1723.2585999999999"/>
    <x v="0"/>
  </r>
  <r>
    <x v="0"/>
    <x v="65"/>
    <x v="0"/>
    <n v="0"/>
    <x v="0"/>
  </r>
  <r>
    <x v="0"/>
    <x v="65"/>
    <x v="1"/>
    <n v="0"/>
    <x v="0"/>
  </r>
  <r>
    <x v="0"/>
    <x v="65"/>
    <x v="2"/>
    <n v="0"/>
    <x v="0"/>
  </r>
  <r>
    <x v="0"/>
    <x v="65"/>
    <x v="3"/>
    <n v="0"/>
    <x v="0"/>
  </r>
  <r>
    <x v="0"/>
    <x v="65"/>
    <x v="4"/>
    <n v="0"/>
    <x v="0"/>
  </r>
  <r>
    <x v="0"/>
    <x v="65"/>
    <x v="5"/>
    <n v="1315.9559999999999"/>
    <x v="0"/>
  </r>
  <r>
    <x v="0"/>
    <x v="65"/>
    <x v="6"/>
    <n v="368.3562"/>
    <x v="0"/>
  </r>
  <r>
    <x v="0"/>
    <x v="65"/>
    <x v="7"/>
    <n v="0"/>
    <x v="0"/>
  </r>
  <r>
    <x v="0"/>
    <x v="65"/>
    <x v="8"/>
    <n v="0"/>
    <x v="0"/>
  </r>
  <r>
    <x v="0"/>
    <x v="65"/>
    <x v="9"/>
    <n v="0"/>
    <x v="0"/>
  </r>
  <r>
    <x v="0"/>
    <x v="65"/>
    <x v="10"/>
    <n v="0"/>
    <x v="0"/>
  </r>
  <r>
    <x v="0"/>
    <x v="65"/>
    <x v="11"/>
    <n v="0"/>
    <x v="0"/>
  </r>
  <r>
    <x v="0"/>
    <x v="66"/>
    <x v="0"/>
    <n v="0"/>
    <x v="0"/>
  </r>
  <r>
    <x v="0"/>
    <x v="66"/>
    <x v="1"/>
    <n v="0"/>
    <x v="0"/>
  </r>
  <r>
    <x v="0"/>
    <x v="66"/>
    <x v="2"/>
    <n v="7510.7295999999997"/>
    <x v="0"/>
  </r>
  <r>
    <x v="0"/>
    <x v="66"/>
    <x v="3"/>
    <n v="0"/>
    <x v="0"/>
  </r>
  <r>
    <x v="0"/>
    <x v="66"/>
    <x v="4"/>
    <n v="0"/>
    <x v="0"/>
  </r>
  <r>
    <x v="0"/>
    <x v="66"/>
    <x v="5"/>
    <n v="0"/>
    <x v="0"/>
  </r>
  <r>
    <x v="0"/>
    <x v="66"/>
    <x v="6"/>
    <n v="0"/>
    <x v="0"/>
  </r>
  <r>
    <x v="0"/>
    <x v="66"/>
    <x v="7"/>
    <n v="0"/>
    <x v="0"/>
  </r>
  <r>
    <x v="0"/>
    <x v="66"/>
    <x v="8"/>
    <n v="0"/>
    <x v="0"/>
  </r>
  <r>
    <x v="0"/>
    <x v="66"/>
    <x v="9"/>
    <n v="0"/>
    <x v="0"/>
  </r>
  <r>
    <x v="0"/>
    <x v="66"/>
    <x v="10"/>
    <n v="0"/>
    <x v="0"/>
  </r>
  <r>
    <x v="0"/>
    <x v="66"/>
    <x v="11"/>
    <n v="0"/>
    <x v="0"/>
  </r>
  <r>
    <x v="0"/>
    <x v="67"/>
    <x v="0"/>
    <n v="0"/>
    <x v="0"/>
  </r>
  <r>
    <x v="0"/>
    <x v="67"/>
    <x v="1"/>
    <n v="0"/>
    <x v="0"/>
  </r>
  <r>
    <x v="0"/>
    <x v="67"/>
    <x v="2"/>
    <n v="0"/>
    <x v="0"/>
  </r>
  <r>
    <x v="0"/>
    <x v="67"/>
    <x v="3"/>
    <n v="0"/>
    <x v="0"/>
  </r>
  <r>
    <x v="0"/>
    <x v="67"/>
    <x v="4"/>
    <n v="0"/>
    <x v="0"/>
  </r>
  <r>
    <x v="0"/>
    <x v="67"/>
    <x v="5"/>
    <n v="0"/>
    <x v="0"/>
  </r>
  <r>
    <x v="0"/>
    <x v="67"/>
    <x v="6"/>
    <n v="0"/>
    <x v="0"/>
  </r>
  <r>
    <x v="0"/>
    <x v="67"/>
    <x v="7"/>
    <n v="765.09760000000006"/>
    <x v="0"/>
  </r>
  <r>
    <x v="0"/>
    <x v="67"/>
    <x v="8"/>
    <n v="1105.5107"/>
    <x v="0"/>
  </r>
  <r>
    <x v="0"/>
    <x v="67"/>
    <x v="9"/>
    <n v="1105.5107"/>
    <x v="0"/>
  </r>
  <r>
    <x v="0"/>
    <x v="67"/>
    <x v="10"/>
    <n v="1105.6717000000001"/>
    <x v="0"/>
  </r>
  <r>
    <x v="0"/>
    <x v="67"/>
    <x v="11"/>
    <n v="1105.6717000000001"/>
    <x v="0"/>
  </r>
  <r>
    <x v="0"/>
    <x v="68"/>
    <x v="0"/>
    <n v="0"/>
    <x v="0"/>
  </r>
  <r>
    <x v="0"/>
    <x v="68"/>
    <x v="1"/>
    <n v="0"/>
    <x v="0"/>
  </r>
  <r>
    <x v="0"/>
    <x v="68"/>
    <x v="2"/>
    <n v="0"/>
    <x v="0"/>
  </r>
  <r>
    <x v="0"/>
    <x v="68"/>
    <x v="3"/>
    <n v="0"/>
    <x v="0"/>
  </r>
  <r>
    <x v="0"/>
    <x v="68"/>
    <x v="4"/>
    <n v="0"/>
    <x v="0"/>
  </r>
  <r>
    <x v="0"/>
    <x v="68"/>
    <x v="5"/>
    <n v="0"/>
    <x v="0"/>
  </r>
  <r>
    <x v="0"/>
    <x v="68"/>
    <x v="6"/>
    <n v="0"/>
    <x v="0"/>
  </r>
  <r>
    <x v="0"/>
    <x v="68"/>
    <x v="7"/>
    <n v="3992.4131000000002"/>
    <x v="0"/>
  </r>
  <r>
    <x v="0"/>
    <x v="68"/>
    <x v="8"/>
    <n v="3993.4549000000002"/>
    <x v="0"/>
  </r>
  <r>
    <x v="0"/>
    <x v="68"/>
    <x v="9"/>
    <n v="3982.8444"/>
    <x v="0"/>
  </r>
  <r>
    <x v="0"/>
    <x v="68"/>
    <x v="10"/>
    <n v="3983.3015"/>
    <x v="0"/>
  </r>
  <r>
    <x v="0"/>
    <x v="68"/>
    <x v="11"/>
    <n v="3981.6921000000002"/>
    <x v="0"/>
  </r>
  <r>
    <x v="0"/>
    <x v="69"/>
    <x v="0"/>
    <n v="0"/>
    <x v="0"/>
  </r>
  <r>
    <x v="0"/>
    <x v="69"/>
    <x v="1"/>
    <n v="0"/>
    <x v="0"/>
  </r>
  <r>
    <x v="0"/>
    <x v="69"/>
    <x v="2"/>
    <n v="0"/>
    <x v="0"/>
  </r>
  <r>
    <x v="0"/>
    <x v="69"/>
    <x v="3"/>
    <n v="0"/>
    <x v="0"/>
  </r>
  <r>
    <x v="0"/>
    <x v="69"/>
    <x v="4"/>
    <n v="0"/>
    <x v="0"/>
  </r>
  <r>
    <x v="0"/>
    <x v="69"/>
    <x v="5"/>
    <n v="0"/>
    <x v="0"/>
  </r>
  <r>
    <x v="0"/>
    <x v="69"/>
    <x v="6"/>
    <n v="0"/>
    <x v="0"/>
  </r>
  <r>
    <x v="0"/>
    <x v="69"/>
    <x v="7"/>
    <n v="2660.7779"/>
    <x v="0"/>
  </r>
  <r>
    <x v="0"/>
    <x v="69"/>
    <x v="8"/>
    <n v="2643.5751"/>
    <x v="0"/>
  </r>
  <r>
    <x v="0"/>
    <x v="69"/>
    <x v="9"/>
    <n v="2643.5751"/>
    <x v="0"/>
  </r>
  <r>
    <x v="0"/>
    <x v="69"/>
    <x v="10"/>
    <n v="2644.0922999999998"/>
    <x v="0"/>
  </r>
  <r>
    <x v="0"/>
    <x v="69"/>
    <x v="11"/>
    <n v="2644.0922999999998"/>
    <x v="0"/>
  </r>
  <r>
    <x v="0"/>
    <x v="70"/>
    <x v="0"/>
    <n v="0"/>
    <x v="0"/>
  </r>
  <r>
    <x v="0"/>
    <x v="70"/>
    <x v="1"/>
    <n v="0"/>
    <x v="0"/>
  </r>
  <r>
    <x v="0"/>
    <x v="70"/>
    <x v="2"/>
    <n v="0"/>
    <x v="0"/>
  </r>
  <r>
    <x v="0"/>
    <x v="70"/>
    <x v="3"/>
    <n v="0"/>
    <x v="0"/>
  </r>
  <r>
    <x v="0"/>
    <x v="70"/>
    <x v="4"/>
    <n v="0"/>
    <x v="0"/>
  </r>
  <r>
    <x v="0"/>
    <x v="70"/>
    <x v="5"/>
    <n v="0"/>
    <x v="0"/>
  </r>
  <r>
    <x v="0"/>
    <x v="70"/>
    <x v="6"/>
    <n v="0"/>
    <x v="0"/>
  </r>
  <r>
    <x v="0"/>
    <x v="70"/>
    <x v="7"/>
    <n v="2468.9775"/>
    <x v="0"/>
  </r>
  <r>
    <x v="0"/>
    <x v="70"/>
    <x v="8"/>
    <n v="2443.3069"/>
    <x v="0"/>
  </r>
  <r>
    <x v="0"/>
    <x v="70"/>
    <x v="9"/>
    <n v="2441.3915999999999"/>
    <x v="0"/>
  </r>
  <r>
    <x v="0"/>
    <x v="70"/>
    <x v="10"/>
    <n v="2441.6781000000001"/>
    <x v="0"/>
  </r>
  <r>
    <x v="0"/>
    <x v="70"/>
    <x v="11"/>
    <n v="2441.2532000000001"/>
    <x v="0"/>
  </r>
  <r>
    <x v="0"/>
    <x v="71"/>
    <x v="0"/>
    <n v="0"/>
    <x v="0"/>
  </r>
  <r>
    <x v="0"/>
    <x v="71"/>
    <x v="1"/>
    <n v="0"/>
    <x v="0"/>
  </r>
  <r>
    <x v="0"/>
    <x v="71"/>
    <x v="2"/>
    <n v="0"/>
    <x v="0"/>
  </r>
  <r>
    <x v="0"/>
    <x v="71"/>
    <x v="3"/>
    <n v="0"/>
    <x v="0"/>
  </r>
  <r>
    <x v="0"/>
    <x v="71"/>
    <x v="4"/>
    <n v="0"/>
    <x v="0"/>
  </r>
  <r>
    <x v="0"/>
    <x v="71"/>
    <x v="5"/>
    <n v="0"/>
    <x v="0"/>
  </r>
  <r>
    <x v="0"/>
    <x v="71"/>
    <x v="6"/>
    <n v="0"/>
    <x v="0"/>
  </r>
  <r>
    <x v="0"/>
    <x v="71"/>
    <x v="7"/>
    <n v="0"/>
    <x v="0"/>
  </r>
  <r>
    <x v="0"/>
    <x v="71"/>
    <x v="8"/>
    <n v="982.39160000000004"/>
    <x v="0"/>
  </r>
  <r>
    <x v="0"/>
    <x v="71"/>
    <x v="9"/>
    <n v="1427.5987"/>
    <x v="0"/>
  </r>
  <r>
    <x v="0"/>
    <x v="71"/>
    <x v="10"/>
    <n v="1427.7597000000001"/>
    <x v="0"/>
  </r>
  <r>
    <x v="0"/>
    <x v="71"/>
    <x v="11"/>
    <n v="1588.9784999999999"/>
    <x v="0"/>
  </r>
  <r>
    <x v="0"/>
    <x v="72"/>
    <x v="0"/>
    <n v="0"/>
    <x v="0"/>
  </r>
  <r>
    <x v="0"/>
    <x v="72"/>
    <x v="1"/>
    <n v="0"/>
    <x v="0"/>
  </r>
  <r>
    <x v="0"/>
    <x v="72"/>
    <x v="2"/>
    <n v="0"/>
    <x v="0"/>
  </r>
  <r>
    <x v="0"/>
    <x v="72"/>
    <x v="3"/>
    <n v="0"/>
    <x v="0"/>
  </r>
  <r>
    <x v="0"/>
    <x v="72"/>
    <x v="4"/>
    <n v="0"/>
    <x v="0"/>
  </r>
  <r>
    <x v="0"/>
    <x v="72"/>
    <x v="5"/>
    <n v="0"/>
    <x v="0"/>
  </r>
  <r>
    <x v="0"/>
    <x v="72"/>
    <x v="6"/>
    <n v="0"/>
    <x v="0"/>
  </r>
  <r>
    <x v="0"/>
    <x v="72"/>
    <x v="7"/>
    <n v="0"/>
    <x v="0"/>
  </r>
  <r>
    <x v="0"/>
    <x v="72"/>
    <x v="8"/>
    <n v="3109.3841000000002"/>
    <x v="0"/>
  </r>
  <r>
    <x v="0"/>
    <x v="72"/>
    <x v="9"/>
    <n v="3107.1909999999998"/>
    <x v="0"/>
  </r>
  <r>
    <x v="0"/>
    <x v="72"/>
    <x v="10"/>
    <n v="3104.47"/>
    <x v="0"/>
  </r>
  <r>
    <x v="0"/>
    <x v="72"/>
    <x v="11"/>
    <n v="3102.8132999999998"/>
    <x v="0"/>
  </r>
  <r>
    <x v="0"/>
    <x v="73"/>
    <x v="0"/>
    <n v="0"/>
    <x v="0"/>
  </r>
  <r>
    <x v="0"/>
    <x v="73"/>
    <x v="1"/>
    <n v="0"/>
    <x v="0"/>
  </r>
  <r>
    <x v="0"/>
    <x v="73"/>
    <x v="2"/>
    <n v="0"/>
    <x v="0"/>
  </r>
  <r>
    <x v="0"/>
    <x v="73"/>
    <x v="3"/>
    <n v="0"/>
    <x v="0"/>
  </r>
  <r>
    <x v="0"/>
    <x v="73"/>
    <x v="4"/>
    <n v="0"/>
    <x v="0"/>
  </r>
  <r>
    <x v="0"/>
    <x v="73"/>
    <x v="5"/>
    <n v="0"/>
    <x v="0"/>
  </r>
  <r>
    <x v="0"/>
    <x v="73"/>
    <x v="6"/>
    <n v="0"/>
    <x v="0"/>
  </r>
  <r>
    <x v="0"/>
    <x v="73"/>
    <x v="7"/>
    <n v="0"/>
    <x v="0"/>
  </r>
  <r>
    <x v="0"/>
    <x v="73"/>
    <x v="8"/>
    <n v="0"/>
    <x v="0"/>
  </r>
  <r>
    <x v="0"/>
    <x v="73"/>
    <x v="9"/>
    <n v="0"/>
    <x v="0"/>
  </r>
  <r>
    <x v="0"/>
    <x v="73"/>
    <x v="10"/>
    <n v="9663.0172000000002"/>
    <x v="0"/>
  </r>
  <r>
    <x v="0"/>
    <x v="73"/>
    <x v="11"/>
    <n v="9662.0987000000005"/>
    <x v="0"/>
  </r>
  <r>
    <x v="0"/>
    <x v="74"/>
    <x v="0"/>
    <n v="0"/>
    <x v="0"/>
  </r>
  <r>
    <x v="0"/>
    <x v="74"/>
    <x v="1"/>
    <n v="0"/>
    <x v="0"/>
  </r>
  <r>
    <x v="0"/>
    <x v="74"/>
    <x v="2"/>
    <n v="0"/>
    <x v="0"/>
  </r>
  <r>
    <x v="0"/>
    <x v="74"/>
    <x v="3"/>
    <n v="0"/>
    <x v="0"/>
  </r>
  <r>
    <x v="0"/>
    <x v="74"/>
    <x v="4"/>
    <n v="0"/>
    <x v="0"/>
  </r>
  <r>
    <x v="0"/>
    <x v="74"/>
    <x v="5"/>
    <n v="0"/>
    <x v="0"/>
  </r>
  <r>
    <x v="0"/>
    <x v="74"/>
    <x v="6"/>
    <n v="0"/>
    <x v="0"/>
  </r>
  <r>
    <x v="0"/>
    <x v="74"/>
    <x v="7"/>
    <n v="0"/>
    <x v="0"/>
  </r>
  <r>
    <x v="0"/>
    <x v="74"/>
    <x v="8"/>
    <n v="0"/>
    <x v="0"/>
  </r>
  <r>
    <x v="0"/>
    <x v="74"/>
    <x v="9"/>
    <n v="0"/>
    <x v="0"/>
  </r>
  <r>
    <x v="0"/>
    <x v="74"/>
    <x v="10"/>
    <n v="1807.3390999999999"/>
    <x v="0"/>
  </r>
  <r>
    <x v="0"/>
    <x v="74"/>
    <x v="11"/>
    <n v="2475.8841000000002"/>
    <x v="0"/>
  </r>
  <r>
    <x v="0"/>
    <x v="75"/>
    <x v="0"/>
    <n v="0"/>
    <x v="0"/>
  </r>
  <r>
    <x v="0"/>
    <x v="75"/>
    <x v="1"/>
    <n v="0"/>
    <x v="0"/>
  </r>
  <r>
    <x v="0"/>
    <x v="75"/>
    <x v="2"/>
    <n v="0"/>
    <x v="0"/>
  </r>
  <r>
    <x v="0"/>
    <x v="75"/>
    <x v="3"/>
    <n v="0"/>
    <x v="0"/>
  </r>
  <r>
    <x v="0"/>
    <x v="75"/>
    <x v="4"/>
    <n v="0"/>
    <x v="0"/>
  </r>
  <r>
    <x v="0"/>
    <x v="75"/>
    <x v="5"/>
    <n v="0"/>
    <x v="0"/>
  </r>
  <r>
    <x v="0"/>
    <x v="75"/>
    <x v="6"/>
    <n v="0"/>
    <x v="0"/>
  </r>
  <r>
    <x v="0"/>
    <x v="75"/>
    <x v="7"/>
    <n v="0"/>
    <x v="0"/>
  </r>
  <r>
    <x v="0"/>
    <x v="75"/>
    <x v="8"/>
    <n v="0"/>
    <x v="0"/>
  </r>
  <r>
    <x v="0"/>
    <x v="75"/>
    <x v="9"/>
    <n v="0"/>
    <x v="0"/>
  </r>
  <r>
    <x v="0"/>
    <x v="75"/>
    <x v="10"/>
    <n v="0"/>
    <x v="0"/>
  </r>
  <r>
    <x v="0"/>
    <x v="75"/>
    <x v="11"/>
    <n v="1428.0322000000001"/>
    <x v="0"/>
  </r>
  <r>
    <x v="0"/>
    <x v="76"/>
    <x v="0"/>
    <n v="18297.778999999999"/>
    <x v="0"/>
  </r>
  <r>
    <x v="0"/>
    <x v="76"/>
    <x v="1"/>
    <n v="25999.878799999999"/>
    <x v="0"/>
  </r>
  <r>
    <x v="0"/>
    <x v="76"/>
    <x v="2"/>
    <n v="18431.7006"/>
    <x v="0"/>
  </r>
  <r>
    <x v="0"/>
    <x v="76"/>
    <x v="3"/>
    <n v="21997.704900000001"/>
    <x v="0"/>
  </r>
  <r>
    <x v="0"/>
    <x v="76"/>
    <x v="4"/>
    <n v="20986.518199999999"/>
    <x v="0"/>
  </r>
  <r>
    <x v="0"/>
    <x v="76"/>
    <x v="5"/>
    <n v="23131.213500000002"/>
    <x v="0"/>
  </r>
  <r>
    <x v="0"/>
    <x v="76"/>
    <x v="6"/>
    <n v="22511.8927"/>
    <x v="0"/>
  </r>
  <r>
    <x v="0"/>
    <x v="76"/>
    <x v="7"/>
    <n v="23564.5075"/>
    <x v="0"/>
  </r>
  <r>
    <x v="0"/>
    <x v="76"/>
    <x v="8"/>
    <n v="21407.567599999998"/>
    <x v="0"/>
  </r>
  <r>
    <x v="0"/>
    <x v="76"/>
    <x v="9"/>
    <n v="25591.758600000001"/>
    <x v="0"/>
  </r>
  <r>
    <x v="0"/>
    <x v="76"/>
    <x v="10"/>
    <n v="22831.6695"/>
    <x v="0"/>
  </r>
  <r>
    <x v="0"/>
    <x v="76"/>
    <x v="11"/>
    <n v="19884.3691"/>
    <x v="0"/>
  </r>
  <r>
    <x v="0"/>
    <x v="77"/>
    <x v="0"/>
    <n v="104915.05469999999"/>
    <x v="0"/>
  </r>
  <r>
    <x v="0"/>
    <x v="77"/>
    <x v="1"/>
    <n v="0"/>
    <x v="0"/>
  </r>
  <r>
    <x v="0"/>
    <x v="77"/>
    <x v="2"/>
    <n v="0"/>
    <x v="0"/>
  </r>
  <r>
    <x v="0"/>
    <x v="77"/>
    <x v="3"/>
    <n v="0"/>
    <x v="0"/>
  </r>
  <r>
    <x v="0"/>
    <x v="77"/>
    <x v="4"/>
    <n v="0"/>
    <x v="0"/>
  </r>
  <r>
    <x v="0"/>
    <x v="77"/>
    <x v="5"/>
    <n v="0"/>
    <x v="0"/>
  </r>
  <r>
    <x v="0"/>
    <x v="77"/>
    <x v="6"/>
    <n v="0"/>
    <x v="0"/>
  </r>
  <r>
    <x v="0"/>
    <x v="77"/>
    <x v="7"/>
    <n v="0"/>
    <x v="0"/>
  </r>
  <r>
    <x v="0"/>
    <x v="77"/>
    <x v="8"/>
    <n v="0"/>
    <x v="0"/>
  </r>
  <r>
    <x v="0"/>
    <x v="77"/>
    <x v="9"/>
    <n v="0"/>
    <x v="0"/>
  </r>
  <r>
    <x v="0"/>
    <x v="77"/>
    <x v="10"/>
    <n v="0"/>
    <x v="0"/>
  </r>
  <r>
    <x v="0"/>
    <x v="77"/>
    <x v="11"/>
    <n v="0"/>
    <x v="0"/>
  </r>
  <r>
    <x v="0"/>
    <x v="78"/>
    <x v="0"/>
    <n v="0"/>
    <x v="0"/>
  </r>
  <r>
    <x v="0"/>
    <x v="78"/>
    <x v="1"/>
    <n v="0"/>
    <x v="0"/>
  </r>
  <r>
    <x v="0"/>
    <x v="78"/>
    <x v="2"/>
    <n v="0"/>
    <x v="0"/>
  </r>
  <r>
    <x v="0"/>
    <x v="78"/>
    <x v="3"/>
    <n v="1337.3100999999999"/>
    <x v="0"/>
  </r>
  <r>
    <x v="0"/>
    <x v="78"/>
    <x v="4"/>
    <n v="1337.9505999999999"/>
    <x v="0"/>
  </r>
  <r>
    <x v="0"/>
    <x v="78"/>
    <x v="5"/>
    <n v="1338.1008999999999"/>
    <x v="0"/>
  </r>
  <r>
    <x v="0"/>
    <x v="78"/>
    <x v="6"/>
    <n v="1346.4731999999999"/>
    <x v="0"/>
  </r>
  <r>
    <x v="0"/>
    <x v="78"/>
    <x v="7"/>
    <n v="1338.8015"/>
    <x v="0"/>
  </r>
  <r>
    <x v="0"/>
    <x v="78"/>
    <x v="8"/>
    <n v="1406.2757999999999"/>
    <x v="0"/>
  </r>
  <r>
    <x v="0"/>
    <x v="78"/>
    <x v="9"/>
    <n v="1333.4582"/>
    <x v="0"/>
  </r>
  <r>
    <x v="0"/>
    <x v="78"/>
    <x v="10"/>
    <n v="1334.1244999999999"/>
    <x v="0"/>
  </r>
  <r>
    <x v="0"/>
    <x v="78"/>
    <x v="11"/>
    <n v="1437.1008999999999"/>
    <x v="0"/>
  </r>
  <r>
    <x v="0"/>
    <x v="79"/>
    <x v="0"/>
    <n v="0"/>
    <x v="0"/>
  </r>
  <r>
    <x v="0"/>
    <x v="79"/>
    <x v="1"/>
    <n v="0"/>
    <x v="0"/>
  </r>
  <r>
    <x v="0"/>
    <x v="79"/>
    <x v="2"/>
    <n v="0"/>
    <x v="0"/>
  </r>
  <r>
    <x v="0"/>
    <x v="79"/>
    <x v="3"/>
    <n v="0"/>
    <x v="0"/>
  </r>
  <r>
    <x v="0"/>
    <x v="79"/>
    <x v="4"/>
    <n v="0"/>
    <x v="0"/>
  </r>
  <r>
    <x v="0"/>
    <x v="79"/>
    <x v="5"/>
    <n v="0"/>
    <x v="0"/>
  </r>
  <r>
    <x v="0"/>
    <x v="79"/>
    <x v="6"/>
    <n v="0"/>
    <x v="0"/>
  </r>
  <r>
    <x v="0"/>
    <x v="79"/>
    <x v="7"/>
    <n v="0"/>
    <x v="0"/>
  </r>
  <r>
    <x v="0"/>
    <x v="79"/>
    <x v="8"/>
    <n v="14163.090099999999"/>
    <x v="0"/>
  </r>
  <r>
    <x v="0"/>
    <x v="79"/>
    <x v="9"/>
    <n v="0"/>
    <x v="0"/>
  </r>
  <r>
    <x v="0"/>
    <x v="79"/>
    <x v="10"/>
    <n v="0"/>
    <x v="0"/>
  </r>
  <r>
    <x v="0"/>
    <x v="79"/>
    <x v="11"/>
    <n v="20005.364799999999"/>
    <x v="0"/>
  </r>
  <r>
    <x v="0"/>
    <x v="80"/>
    <x v="0"/>
    <n v="28808.091199999999"/>
    <x v="0"/>
  </r>
  <r>
    <x v="0"/>
    <x v="80"/>
    <x v="1"/>
    <n v="30853.389500000001"/>
    <x v="0"/>
  </r>
  <r>
    <x v="0"/>
    <x v="80"/>
    <x v="2"/>
    <n v="33601.603000000003"/>
    <x v="0"/>
  </r>
  <r>
    <x v="0"/>
    <x v="80"/>
    <x v="3"/>
    <n v="34570.839099999997"/>
    <x v="0"/>
  </r>
  <r>
    <x v="0"/>
    <x v="80"/>
    <x v="4"/>
    <n v="35294.005400000002"/>
    <x v="0"/>
  </r>
  <r>
    <x v="0"/>
    <x v="80"/>
    <x v="5"/>
    <n v="35522.9067"/>
    <x v="0"/>
  </r>
  <r>
    <x v="0"/>
    <x v="80"/>
    <x v="6"/>
    <n v="38616.182399999998"/>
    <x v="0"/>
  </r>
  <r>
    <x v="0"/>
    <x v="80"/>
    <x v="7"/>
    <n v="38649.417399999998"/>
    <x v="0"/>
  </r>
  <r>
    <x v="0"/>
    <x v="80"/>
    <x v="8"/>
    <n v="42234.166299999997"/>
    <x v="0"/>
  </r>
  <r>
    <x v="0"/>
    <x v="80"/>
    <x v="9"/>
    <n v="46149.268199999999"/>
    <x v="0"/>
  </r>
  <r>
    <x v="0"/>
    <x v="80"/>
    <x v="10"/>
    <n v="44362.830499999996"/>
    <x v="0"/>
  </r>
  <r>
    <x v="0"/>
    <x v="80"/>
    <x v="11"/>
    <n v="43411.153400000003"/>
    <x v="0"/>
  </r>
  <r>
    <x v="0"/>
    <x v="81"/>
    <x v="0"/>
    <n v="0"/>
    <x v="0"/>
  </r>
  <r>
    <x v="0"/>
    <x v="81"/>
    <x v="1"/>
    <n v="0"/>
    <x v="0"/>
  </r>
  <r>
    <x v="0"/>
    <x v="81"/>
    <x v="2"/>
    <n v="3160.1523999999999"/>
    <x v="0"/>
  </r>
  <r>
    <x v="0"/>
    <x v="81"/>
    <x v="3"/>
    <n v="0"/>
    <x v="0"/>
  </r>
  <r>
    <x v="0"/>
    <x v="81"/>
    <x v="4"/>
    <n v="0"/>
    <x v="0"/>
  </r>
  <r>
    <x v="0"/>
    <x v="81"/>
    <x v="5"/>
    <n v="0"/>
    <x v="0"/>
  </r>
  <r>
    <x v="0"/>
    <x v="81"/>
    <x v="6"/>
    <n v="0"/>
    <x v="0"/>
  </r>
  <r>
    <x v="0"/>
    <x v="81"/>
    <x v="7"/>
    <n v="0"/>
    <x v="0"/>
  </r>
  <r>
    <x v="0"/>
    <x v="81"/>
    <x v="8"/>
    <n v="0"/>
    <x v="0"/>
  </r>
  <r>
    <x v="0"/>
    <x v="81"/>
    <x v="9"/>
    <n v="21172.704900000001"/>
    <x v="0"/>
  </r>
  <r>
    <x v="0"/>
    <x v="81"/>
    <x v="10"/>
    <n v="0"/>
    <x v="0"/>
  </r>
  <r>
    <x v="0"/>
    <x v="81"/>
    <x v="11"/>
    <n v="0"/>
    <x v="0"/>
  </r>
  <r>
    <x v="1"/>
    <x v="82"/>
    <x v="0"/>
    <n v="5739.8777"/>
    <x v="0"/>
  </r>
  <r>
    <x v="1"/>
    <x v="82"/>
    <x v="1"/>
    <n v="5388.8293999999996"/>
    <x v="0"/>
  </r>
  <r>
    <x v="1"/>
    <x v="82"/>
    <x v="2"/>
    <n v="8320.8927000000003"/>
    <x v="0"/>
  </r>
  <r>
    <x v="1"/>
    <x v="82"/>
    <x v="3"/>
    <n v="0"/>
    <x v="0"/>
  </r>
  <r>
    <x v="1"/>
    <x v="82"/>
    <x v="4"/>
    <n v="0"/>
    <x v="0"/>
  </r>
  <r>
    <x v="1"/>
    <x v="82"/>
    <x v="5"/>
    <n v="10357.4367"/>
    <x v="0"/>
  </r>
  <r>
    <x v="1"/>
    <x v="82"/>
    <x v="6"/>
    <n v="0"/>
    <x v="0"/>
  </r>
  <r>
    <x v="1"/>
    <x v="82"/>
    <x v="7"/>
    <n v="0"/>
    <x v="0"/>
  </r>
  <r>
    <x v="1"/>
    <x v="82"/>
    <x v="8"/>
    <n v="0"/>
    <x v="0"/>
  </r>
  <r>
    <x v="1"/>
    <x v="82"/>
    <x v="9"/>
    <n v="2153.0569"/>
    <x v="0"/>
  </r>
  <r>
    <x v="1"/>
    <x v="82"/>
    <x v="10"/>
    <n v="0"/>
    <x v="0"/>
  </r>
  <r>
    <x v="1"/>
    <x v="82"/>
    <x v="11"/>
    <n v="0"/>
    <x v="0"/>
  </r>
  <r>
    <x v="1"/>
    <x v="83"/>
    <x v="0"/>
    <n v="0"/>
    <x v="0"/>
  </r>
  <r>
    <x v="1"/>
    <x v="83"/>
    <x v="1"/>
    <n v="2535.8411999999998"/>
    <x v="0"/>
  </r>
  <r>
    <x v="1"/>
    <x v="83"/>
    <x v="2"/>
    <n v="0"/>
    <x v="0"/>
  </r>
  <r>
    <x v="1"/>
    <x v="83"/>
    <x v="3"/>
    <n v="0"/>
    <x v="0"/>
  </r>
  <r>
    <x v="1"/>
    <x v="83"/>
    <x v="4"/>
    <n v="0"/>
    <x v="0"/>
  </r>
  <r>
    <x v="1"/>
    <x v="83"/>
    <x v="5"/>
    <n v="0"/>
    <x v="0"/>
  </r>
  <r>
    <x v="1"/>
    <x v="83"/>
    <x v="6"/>
    <n v="0"/>
    <x v="0"/>
  </r>
  <r>
    <x v="1"/>
    <x v="83"/>
    <x v="7"/>
    <n v="0"/>
    <x v="0"/>
  </r>
  <r>
    <x v="1"/>
    <x v="83"/>
    <x v="8"/>
    <n v="0"/>
    <x v="0"/>
  </r>
  <r>
    <x v="1"/>
    <x v="83"/>
    <x v="9"/>
    <n v="4829.7897000000003"/>
    <x v="0"/>
  </r>
  <r>
    <x v="1"/>
    <x v="83"/>
    <x v="10"/>
    <n v="0"/>
    <x v="0"/>
  </r>
  <r>
    <x v="1"/>
    <x v="83"/>
    <x v="11"/>
    <n v="0"/>
    <x v="0"/>
  </r>
  <r>
    <x v="0"/>
    <x v="84"/>
    <x v="0"/>
    <n v="7935.3540999999996"/>
    <x v="0"/>
  </r>
  <r>
    <x v="0"/>
    <x v="84"/>
    <x v="1"/>
    <n v="10880.1502"/>
    <x v="0"/>
  </r>
  <r>
    <x v="0"/>
    <x v="84"/>
    <x v="2"/>
    <n v="0"/>
    <x v="0"/>
  </r>
  <r>
    <x v="0"/>
    <x v="84"/>
    <x v="3"/>
    <n v="0"/>
    <x v="0"/>
  </r>
  <r>
    <x v="0"/>
    <x v="84"/>
    <x v="4"/>
    <n v="0"/>
    <x v="0"/>
  </r>
  <r>
    <x v="0"/>
    <x v="84"/>
    <x v="5"/>
    <n v="0"/>
    <x v="0"/>
  </r>
  <r>
    <x v="0"/>
    <x v="84"/>
    <x v="6"/>
    <n v="0"/>
    <x v="0"/>
  </r>
  <r>
    <x v="0"/>
    <x v="84"/>
    <x v="7"/>
    <n v="0"/>
    <x v="0"/>
  </r>
  <r>
    <x v="0"/>
    <x v="84"/>
    <x v="8"/>
    <n v="0"/>
    <x v="0"/>
  </r>
  <r>
    <x v="0"/>
    <x v="84"/>
    <x v="9"/>
    <n v="0"/>
    <x v="0"/>
  </r>
  <r>
    <x v="0"/>
    <x v="84"/>
    <x v="10"/>
    <n v="0"/>
    <x v="0"/>
  </r>
  <r>
    <x v="0"/>
    <x v="84"/>
    <x v="11"/>
    <n v="0"/>
    <x v="0"/>
  </r>
  <r>
    <x v="1"/>
    <x v="85"/>
    <x v="0"/>
    <n v="3218.8841000000002"/>
    <x v="0"/>
  </r>
  <r>
    <x v="1"/>
    <x v="85"/>
    <x v="1"/>
    <n v="0"/>
    <x v="0"/>
  </r>
  <r>
    <x v="1"/>
    <x v="85"/>
    <x v="2"/>
    <n v="0"/>
    <x v="0"/>
  </r>
  <r>
    <x v="1"/>
    <x v="85"/>
    <x v="3"/>
    <n v="0"/>
    <x v="0"/>
  </r>
  <r>
    <x v="1"/>
    <x v="85"/>
    <x v="4"/>
    <n v="0"/>
    <x v="0"/>
  </r>
  <r>
    <x v="1"/>
    <x v="85"/>
    <x v="5"/>
    <n v="0"/>
    <x v="0"/>
  </r>
  <r>
    <x v="1"/>
    <x v="85"/>
    <x v="6"/>
    <n v="0"/>
    <x v="0"/>
  </r>
  <r>
    <x v="1"/>
    <x v="85"/>
    <x v="7"/>
    <n v="0"/>
    <x v="0"/>
  </r>
  <r>
    <x v="1"/>
    <x v="85"/>
    <x v="8"/>
    <n v="0"/>
    <x v="0"/>
  </r>
  <r>
    <x v="1"/>
    <x v="85"/>
    <x v="9"/>
    <n v="0"/>
    <x v="0"/>
  </r>
  <r>
    <x v="1"/>
    <x v="85"/>
    <x v="10"/>
    <n v="0"/>
    <x v="0"/>
  </r>
  <r>
    <x v="1"/>
    <x v="85"/>
    <x v="11"/>
    <n v="0"/>
    <x v="0"/>
  </r>
  <r>
    <x v="1"/>
    <x v="86"/>
    <x v="0"/>
    <n v="7980.1502"/>
    <x v="0"/>
  </r>
  <r>
    <x v="1"/>
    <x v="86"/>
    <x v="1"/>
    <n v="4586.9098999999997"/>
    <x v="0"/>
  </r>
  <r>
    <x v="1"/>
    <x v="86"/>
    <x v="2"/>
    <n v="4586.9098999999997"/>
    <x v="0"/>
  </r>
  <r>
    <x v="1"/>
    <x v="86"/>
    <x v="3"/>
    <n v="4586.9098999999997"/>
    <x v="0"/>
  </r>
  <r>
    <x v="1"/>
    <x v="86"/>
    <x v="4"/>
    <n v="0"/>
    <x v="0"/>
  </r>
  <r>
    <x v="1"/>
    <x v="86"/>
    <x v="5"/>
    <n v="0"/>
    <x v="0"/>
  </r>
  <r>
    <x v="1"/>
    <x v="86"/>
    <x v="6"/>
    <n v="0"/>
    <x v="0"/>
  </r>
  <r>
    <x v="1"/>
    <x v="86"/>
    <x v="7"/>
    <n v="0"/>
    <x v="0"/>
  </r>
  <r>
    <x v="1"/>
    <x v="86"/>
    <x v="8"/>
    <n v="0"/>
    <x v="0"/>
  </r>
  <r>
    <x v="1"/>
    <x v="86"/>
    <x v="9"/>
    <n v="0"/>
    <x v="0"/>
  </r>
  <r>
    <x v="1"/>
    <x v="86"/>
    <x v="10"/>
    <n v="0"/>
    <x v="0"/>
  </r>
  <r>
    <x v="1"/>
    <x v="86"/>
    <x v="11"/>
    <n v="0"/>
    <x v="0"/>
  </r>
  <r>
    <x v="0"/>
    <x v="87"/>
    <x v="0"/>
    <n v="0"/>
    <x v="0"/>
  </r>
  <r>
    <x v="0"/>
    <x v="87"/>
    <x v="1"/>
    <n v="2575.1073000000001"/>
    <x v="0"/>
  </r>
  <r>
    <x v="0"/>
    <x v="87"/>
    <x v="2"/>
    <n v="4291.8455000000004"/>
    <x v="0"/>
  </r>
  <r>
    <x v="0"/>
    <x v="87"/>
    <x v="3"/>
    <n v="4291.8455000000004"/>
    <x v="0"/>
  </r>
  <r>
    <x v="0"/>
    <x v="87"/>
    <x v="4"/>
    <n v="4291.8455000000004"/>
    <x v="0"/>
  </r>
  <r>
    <x v="0"/>
    <x v="87"/>
    <x v="5"/>
    <n v="4291.8455000000004"/>
    <x v="0"/>
  </r>
  <r>
    <x v="0"/>
    <x v="87"/>
    <x v="6"/>
    <n v="4291.8455000000004"/>
    <x v="0"/>
  </r>
  <r>
    <x v="0"/>
    <x v="87"/>
    <x v="7"/>
    <n v="4291.8455000000004"/>
    <x v="0"/>
  </r>
  <r>
    <x v="0"/>
    <x v="87"/>
    <x v="8"/>
    <n v="4291.8455000000004"/>
    <x v="0"/>
  </r>
  <r>
    <x v="0"/>
    <x v="87"/>
    <x v="9"/>
    <n v="0"/>
    <x v="0"/>
  </r>
  <r>
    <x v="0"/>
    <x v="87"/>
    <x v="10"/>
    <n v="2145.9227000000001"/>
    <x v="0"/>
  </r>
  <r>
    <x v="0"/>
    <x v="87"/>
    <x v="11"/>
    <n v="0"/>
    <x v="0"/>
  </r>
  <r>
    <x v="1"/>
    <x v="88"/>
    <x v="0"/>
    <n v="0"/>
    <x v="0"/>
  </r>
  <r>
    <x v="1"/>
    <x v="88"/>
    <x v="1"/>
    <n v="9759.1844999999994"/>
    <x v="0"/>
  </r>
  <r>
    <x v="1"/>
    <x v="88"/>
    <x v="2"/>
    <n v="0"/>
    <x v="0"/>
  </r>
  <r>
    <x v="1"/>
    <x v="88"/>
    <x v="3"/>
    <n v="0"/>
    <x v="0"/>
  </r>
  <r>
    <x v="1"/>
    <x v="88"/>
    <x v="4"/>
    <n v="0"/>
    <x v="0"/>
  </r>
  <r>
    <x v="1"/>
    <x v="88"/>
    <x v="5"/>
    <n v="0"/>
    <x v="0"/>
  </r>
  <r>
    <x v="1"/>
    <x v="88"/>
    <x v="6"/>
    <n v="0"/>
    <x v="0"/>
  </r>
  <r>
    <x v="1"/>
    <x v="88"/>
    <x v="7"/>
    <n v="0"/>
    <x v="0"/>
  </r>
  <r>
    <x v="1"/>
    <x v="88"/>
    <x v="8"/>
    <n v="0"/>
    <x v="0"/>
  </r>
  <r>
    <x v="1"/>
    <x v="88"/>
    <x v="9"/>
    <n v="0"/>
    <x v="0"/>
  </r>
  <r>
    <x v="1"/>
    <x v="88"/>
    <x v="10"/>
    <n v="0"/>
    <x v="0"/>
  </r>
  <r>
    <x v="1"/>
    <x v="88"/>
    <x v="11"/>
    <n v="0"/>
    <x v="0"/>
  </r>
  <r>
    <x v="1"/>
    <x v="89"/>
    <x v="0"/>
    <n v="0"/>
    <x v="0"/>
  </r>
  <r>
    <x v="1"/>
    <x v="89"/>
    <x v="1"/>
    <n v="0"/>
    <x v="0"/>
  </r>
  <r>
    <x v="1"/>
    <x v="89"/>
    <x v="2"/>
    <n v="0"/>
    <x v="0"/>
  </r>
  <r>
    <x v="1"/>
    <x v="89"/>
    <x v="3"/>
    <n v="0"/>
    <x v="0"/>
  </r>
  <r>
    <x v="1"/>
    <x v="89"/>
    <x v="4"/>
    <n v="0"/>
    <x v="0"/>
  </r>
  <r>
    <x v="1"/>
    <x v="89"/>
    <x v="5"/>
    <n v="0"/>
    <x v="0"/>
  </r>
  <r>
    <x v="1"/>
    <x v="89"/>
    <x v="6"/>
    <n v="0"/>
    <x v="0"/>
  </r>
  <r>
    <x v="1"/>
    <x v="89"/>
    <x v="7"/>
    <n v="0"/>
    <x v="0"/>
  </r>
  <r>
    <x v="1"/>
    <x v="89"/>
    <x v="8"/>
    <n v="12367.7006"/>
    <x v="0"/>
  </r>
  <r>
    <x v="1"/>
    <x v="89"/>
    <x v="9"/>
    <n v="0"/>
    <x v="0"/>
  </r>
  <r>
    <x v="1"/>
    <x v="89"/>
    <x v="10"/>
    <n v="12243.465700000001"/>
    <x v="0"/>
  </r>
  <r>
    <x v="1"/>
    <x v="89"/>
    <x v="11"/>
    <n v="11744.4828"/>
    <x v="0"/>
  </r>
  <r>
    <x v="1"/>
    <x v="90"/>
    <x v="0"/>
    <n v="0"/>
    <x v="0"/>
  </r>
  <r>
    <x v="1"/>
    <x v="90"/>
    <x v="1"/>
    <n v="6012.3090000000002"/>
    <x v="0"/>
  </r>
  <r>
    <x v="1"/>
    <x v="90"/>
    <x v="2"/>
    <n v="0"/>
    <x v="0"/>
  </r>
  <r>
    <x v="1"/>
    <x v="90"/>
    <x v="3"/>
    <n v="0"/>
    <x v="0"/>
  </r>
  <r>
    <x v="1"/>
    <x v="90"/>
    <x v="4"/>
    <n v="0"/>
    <x v="0"/>
  </r>
  <r>
    <x v="1"/>
    <x v="90"/>
    <x v="5"/>
    <n v="0"/>
    <x v="0"/>
  </r>
  <r>
    <x v="1"/>
    <x v="90"/>
    <x v="6"/>
    <n v="0"/>
    <x v="0"/>
  </r>
  <r>
    <x v="1"/>
    <x v="90"/>
    <x v="7"/>
    <n v="4914.6490999999996"/>
    <x v="0"/>
  </r>
  <r>
    <x v="1"/>
    <x v="90"/>
    <x v="8"/>
    <n v="0"/>
    <x v="0"/>
  </r>
  <r>
    <x v="1"/>
    <x v="90"/>
    <x v="9"/>
    <n v="15830.696400000001"/>
    <x v="0"/>
  </r>
  <r>
    <x v="1"/>
    <x v="90"/>
    <x v="10"/>
    <n v="13499.3788"/>
    <x v="0"/>
  </r>
  <r>
    <x v="1"/>
    <x v="90"/>
    <x v="11"/>
    <n v="7960.9903000000004"/>
    <x v="0"/>
  </r>
  <r>
    <x v="1"/>
    <x v="91"/>
    <x v="0"/>
    <n v="0"/>
    <x v="0"/>
  </r>
  <r>
    <x v="1"/>
    <x v="91"/>
    <x v="1"/>
    <n v="7859.1588000000002"/>
    <x v="0"/>
  </r>
  <r>
    <x v="1"/>
    <x v="91"/>
    <x v="2"/>
    <n v="0"/>
    <x v="0"/>
  </r>
  <r>
    <x v="1"/>
    <x v="91"/>
    <x v="3"/>
    <n v="0"/>
    <x v="0"/>
  </r>
  <r>
    <x v="1"/>
    <x v="91"/>
    <x v="4"/>
    <n v="0"/>
    <x v="0"/>
  </r>
  <r>
    <x v="1"/>
    <x v="91"/>
    <x v="5"/>
    <n v="0"/>
    <x v="0"/>
  </r>
  <r>
    <x v="1"/>
    <x v="91"/>
    <x v="6"/>
    <n v="0"/>
    <x v="0"/>
  </r>
  <r>
    <x v="1"/>
    <x v="91"/>
    <x v="7"/>
    <n v="0"/>
    <x v="0"/>
  </r>
  <r>
    <x v="1"/>
    <x v="91"/>
    <x v="8"/>
    <n v="5464.9732000000004"/>
    <x v="0"/>
  </r>
  <r>
    <x v="1"/>
    <x v="91"/>
    <x v="9"/>
    <n v="0"/>
    <x v="0"/>
  </r>
  <r>
    <x v="1"/>
    <x v="91"/>
    <x v="10"/>
    <n v="0"/>
    <x v="0"/>
  </r>
  <r>
    <x v="1"/>
    <x v="91"/>
    <x v="11"/>
    <n v="0"/>
    <x v="0"/>
  </r>
  <r>
    <x v="1"/>
    <x v="92"/>
    <x v="0"/>
    <n v="0"/>
    <x v="0"/>
  </r>
  <r>
    <x v="1"/>
    <x v="92"/>
    <x v="1"/>
    <n v="2617.6931"/>
    <x v="0"/>
  </r>
  <r>
    <x v="1"/>
    <x v="92"/>
    <x v="2"/>
    <n v="0"/>
    <x v="0"/>
  </r>
  <r>
    <x v="1"/>
    <x v="92"/>
    <x v="3"/>
    <n v="0"/>
    <x v="0"/>
  </r>
  <r>
    <x v="1"/>
    <x v="92"/>
    <x v="4"/>
    <n v="0"/>
    <x v="0"/>
  </r>
  <r>
    <x v="1"/>
    <x v="92"/>
    <x v="5"/>
    <n v="0"/>
    <x v="0"/>
  </r>
  <r>
    <x v="1"/>
    <x v="92"/>
    <x v="6"/>
    <n v="0"/>
    <x v="0"/>
  </r>
  <r>
    <x v="1"/>
    <x v="92"/>
    <x v="7"/>
    <n v="0"/>
    <x v="0"/>
  </r>
  <r>
    <x v="1"/>
    <x v="92"/>
    <x v="8"/>
    <n v="0"/>
    <x v="0"/>
  </r>
  <r>
    <x v="1"/>
    <x v="92"/>
    <x v="9"/>
    <n v="0"/>
    <x v="0"/>
  </r>
  <r>
    <x v="1"/>
    <x v="92"/>
    <x v="10"/>
    <n v="0"/>
    <x v="0"/>
  </r>
  <r>
    <x v="1"/>
    <x v="92"/>
    <x v="11"/>
    <n v="0"/>
    <x v="0"/>
  </r>
  <r>
    <x v="1"/>
    <x v="93"/>
    <x v="0"/>
    <n v="0"/>
    <x v="0"/>
  </r>
  <r>
    <x v="1"/>
    <x v="93"/>
    <x v="1"/>
    <n v="26619.375499999998"/>
    <x v="0"/>
  </r>
  <r>
    <x v="1"/>
    <x v="93"/>
    <x v="2"/>
    <n v="0"/>
    <x v="0"/>
  </r>
  <r>
    <x v="1"/>
    <x v="93"/>
    <x v="3"/>
    <n v="0"/>
    <x v="0"/>
  </r>
  <r>
    <x v="1"/>
    <x v="93"/>
    <x v="4"/>
    <n v="0"/>
    <x v="0"/>
  </r>
  <r>
    <x v="1"/>
    <x v="93"/>
    <x v="5"/>
    <n v="0"/>
    <x v="0"/>
  </r>
  <r>
    <x v="1"/>
    <x v="93"/>
    <x v="6"/>
    <n v="0"/>
    <x v="0"/>
  </r>
  <r>
    <x v="1"/>
    <x v="93"/>
    <x v="7"/>
    <n v="0"/>
    <x v="0"/>
  </r>
  <r>
    <x v="1"/>
    <x v="93"/>
    <x v="8"/>
    <n v="0"/>
    <x v="0"/>
  </r>
  <r>
    <x v="1"/>
    <x v="93"/>
    <x v="9"/>
    <n v="0"/>
    <x v="0"/>
  </r>
  <r>
    <x v="1"/>
    <x v="93"/>
    <x v="10"/>
    <n v="0"/>
    <x v="0"/>
  </r>
  <r>
    <x v="1"/>
    <x v="93"/>
    <x v="11"/>
    <n v="0"/>
    <x v="0"/>
  </r>
  <r>
    <x v="1"/>
    <x v="94"/>
    <x v="0"/>
    <n v="0"/>
    <x v="0"/>
  </r>
  <r>
    <x v="1"/>
    <x v="94"/>
    <x v="1"/>
    <n v="3805.5408000000002"/>
    <x v="0"/>
  </r>
  <r>
    <x v="1"/>
    <x v="94"/>
    <x v="2"/>
    <n v="3248.4119999999998"/>
    <x v="0"/>
  </r>
  <r>
    <x v="1"/>
    <x v="94"/>
    <x v="3"/>
    <n v="0"/>
    <x v="0"/>
  </r>
  <r>
    <x v="1"/>
    <x v="94"/>
    <x v="4"/>
    <n v="0"/>
    <x v="0"/>
  </r>
  <r>
    <x v="1"/>
    <x v="94"/>
    <x v="5"/>
    <n v="3195.8454999999999"/>
    <x v="0"/>
  </r>
  <r>
    <x v="1"/>
    <x v="94"/>
    <x v="6"/>
    <n v="0"/>
    <x v="0"/>
  </r>
  <r>
    <x v="1"/>
    <x v="94"/>
    <x v="7"/>
    <n v="0"/>
    <x v="0"/>
  </r>
  <r>
    <x v="1"/>
    <x v="94"/>
    <x v="8"/>
    <n v="3514.0385999999999"/>
    <x v="0"/>
  </r>
  <r>
    <x v="1"/>
    <x v="94"/>
    <x v="9"/>
    <n v="1717.5654999999999"/>
    <x v="0"/>
  </r>
  <r>
    <x v="1"/>
    <x v="94"/>
    <x v="10"/>
    <n v="1694.7833000000001"/>
    <x v="0"/>
  </r>
  <r>
    <x v="1"/>
    <x v="94"/>
    <x v="11"/>
    <n v="0"/>
    <x v="0"/>
  </r>
  <r>
    <x v="1"/>
    <x v="95"/>
    <x v="0"/>
    <n v="0"/>
    <x v="0"/>
  </r>
  <r>
    <x v="1"/>
    <x v="95"/>
    <x v="1"/>
    <n v="0"/>
    <x v="0"/>
  </r>
  <r>
    <x v="1"/>
    <x v="95"/>
    <x v="2"/>
    <n v="0"/>
    <x v="0"/>
  </r>
  <r>
    <x v="1"/>
    <x v="95"/>
    <x v="3"/>
    <n v="285.44639999999998"/>
    <x v="0"/>
  </r>
  <r>
    <x v="1"/>
    <x v="95"/>
    <x v="4"/>
    <n v="0"/>
    <x v="0"/>
  </r>
  <r>
    <x v="1"/>
    <x v="95"/>
    <x v="5"/>
    <n v="0"/>
    <x v="0"/>
  </r>
  <r>
    <x v="1"/>
    <x v="95"/>
    <x v="6"/>
    <n v="0"/>
    <x v="0"/>
  </r>
  <r>
    <x v="1"/>
    <x v="95"/>
    <x v="7"/>
    <n v="0"/>
    <x v="0"/>
  </r>
  <r>
    <x v="1"/>
    <x v="95"/>
    <x v="8"/>
    <n v="0"/>
    <x v="0"/>
  </r>
  <r>
    <x v="1"/>
    <x v="95"/>
    <x v="9"/>
    <n v="0"/>
    <x v="0"/>
  </r>
  <r>
    <x v="1"/>
    <x v="95"/>
    <x v="10"/>
    <n v="0"/>
    <x v="0"/>
  </r>
  <r>
    <x v="1"/>
    <x v="95"/>
    <x v="11"/>
    <n v="0"/>
    <x v="0"/>
  </r>
  <r>
    <x v="1"/>
    <x v="96"/>
    <x v="0"/>
    <n v="0"/>
    <x v="0"/>
  </r>
  <r>
    <x v="1"/>
    <x v="96"/>
    <x v="1"/>
    <n v="0"/>
    <x v="0"/>
  </r>
  <r>
    <x v="1"/>
    <x v="96"/>
    <x v="2"/>
    <n v="13860.4678"/>
    <x v="0"/>
  </r>
  <r>
    <x v="1"/>
    <x v="96"/>
    <x v="3"/>
    <n v="0"/>
    <x v="0"/>
  </r>
  <r>
    <x v="1"/>
    <x v="96"/>
    <x v="4"/>
    <n v="0"/>
    <x v="0"/>
  </r>
  <r>
    <x v="1"/>
    <x v="96"/>
    <x v="5"/>
    <n v="0"/>
    <x v="0"/>
  </r>
  <r>
    <x v="1"/>
    <x v="96"/>
    <x v="6"/>
    <n v="0"/>
    <x v="0"/>
  </r>
  <r>
    <x v="1"/>
    <x v="96"/>
    <x v="7"/>
    <n v="0"/>
    <x v="0"/>
  </r>
  <r>
    <x v="1"/>
    <x v="96"/>
    <x v="8"/>
    <n v="0"/>
    <x v="0"/>
  </r>
  <r>
    <x v="1"/>
    <x v="96"/>
    <x v="9"/>
    <n v="0"/>
    <x v="0"/>
  </r>
  <r>
    <x v="1"/>
    <x v="96"/>
    <x v="10"/>
    <n v="0"/>
    <x v="0"/>
  </r>
  <r>
    <x v="1"/>
    <x v="96"/>
    <x v="11"/>
    <n v="0"/>
    <x v="0"/>
  </r>
  <r>
    <x v="1"/>
    <x v="97"/>
    <x v="0"/>
    <n v="0"/>
    <x v="0"/>
  </r>
  <r>
    <x v="1"/>
    <x v="97"/>
    <x v="1"/>
    <n v="0"/>
    <x v="0"/>
  </r>
  <r>
    <x v="1"/>
    <x v="97"/>
    <x v="2"/>
    <n v="4703.1931000000004"/>
    <x v="0"/>
  </r>
  <r>
    <x v="1"/>
    <x v="97"/>
    <x v="3"/>
    <n v="0"/>
    <x v="0"/>
  </r>
  <r>
    <x v="1"/>
    <x v="97"/>
    <x v="4"/>
    <n v="4167.7092000000002"/>
    <x v="0"/>
  </r>
  <r>
    <x v="1"/>
    <x v="97"/>
    <x v="5"/>
    <n v="0"/>
    <x v="0"/>
  </r>
  <r>
    <x v="1"/>
    <x v="97"/>
    <x v="6"/>
    <n v="0"/>
    <x v="0"/>
  </r>
  <r>
    <x v="1"/>
    <x v="97"/>
    <x v="7"/>
    <n v="0"/>
    <x v="0"/>
  </r>
  <r>
    <x v="1"/>
    <x v="97"/>
    <x v="8"/>
    <n v="0"/>
    <x v="0"/>
  </r>
  <r>
    <x v="1"/>
    <x v="97"/>
    <x v="9"/>
    <n v="0"/>
    <x v="0"/>
  </r>
  <r>
    <x v="1"/>
    <x v="97"/>
    <x v="10"/>
    <n v="0"/>
    <x v="0"/>
  </r>
  <r>
    <x v="1"/>
    <x v="97"/>
    <x v="11"/>
    <n v="0"/>
    <x v="0"/>
  </r>
  <r>
    <x v="1"/>
    <x v="34"/>
    <x v="0"/>
    <n v="0"/>
    <x v="0"/>
  </r>
  <r>
    <x v="1"/>
    <x v="34"/>
    <x v="1"/>
    <n v="0"/>
    <x v="0"/>
  </r>
  <r>
    <x v="1"/>
    <x v="34"/>
    <x v="2"/>
    <n v="1609.441"/>
    <x v="0"/>
  </r>
  <r>
    <x v="1"/>
    <x v="34"/>
    <x v="3"/>
    <n v="0"/>
    <x v="0"/>
  </r>
  <r>
    <x v="1"/>
    <x v="34"/>
    <x v="4"/>
    <n v="836.90989999999999"/>
    <x v="0"/>
  </r>
  <r>
    <x v="1"/>
    <x v="34"/>
    <x v="5"/>
    <n v="0"/>
    <x v="0"/>
  </r>
  <r>
    <x v="1"/>
    <x v="34"/>
    <x v="6"/>
    <n v="0"/>
    <x v="0"/>
  </r>
  <r>
    <x v="1"/>
    <x v="34"/>
    <x v="7"/>
    <n v="0"/>
    <x v="0"/>
  </r>
  <r>
    <x v="1"/>
    <x v="34"/>
    <x v="8"/>
    <n v="0"/>
    <x v="0"/>
  </r>
  <r>
    <x v="1"/>
    <x v="34"/>
    <x v="9"/>
    <n v="0"/>
    <x v="0"/>
  </r>
  <r>
    <x v="1"/>
    <x v="34"/>
    <x v="10"/>
    <n v="0"/>
    <x v="0"/>
  </r>
  <r>
    <x v="1"/>
    <x v="34"/>
    <x v="11"/>
    <n v="0"/>
    <x v="0"/>
  </r>
  <r>
    <x v="1"/>
    <x v="98"/>
    <x v="0"/>
    <n v="0"/>
    <x v="0"/>
  </r>
  <r>
    <x v="1"/>
    <x v="98"/>
    <x v="1"/>
    <n v="0"/>
    <x v="0"/>
  </r>
  <r>
    <x v="1"/>
    <x v="98"/>
    <x v="2"/>
    <n v="1609.4421"/>
    <x v="0"/>
  </r>
  <r>
    <x v="1"/>
    <x v="98"/>
    <x v="3"/>
    <n v="0"/>
    <x v="0"/>
  </r>
  <r>
    <x v="1"/>
    <x v="98"/>
    <x v="4"/>
    <n v="1609.4421"/>
    <x v="0"/>
  </r>
  <r>
    <x v="1"/>
    <x v="98"/>
    <x v="5"/>
    <n v="0"/>
    <x v="0"/>
  </r>
  <r>
    <x v="1"/>
    <x v="98"/>
    <x v="6"/>
    <n v="0"/>
    <x v="0"/>
  </r>
  <r>
    <x v="1"/>
    <x v="98"/>
    <x v="7"/>
    <n v="0"/>
    <x v="0"/>
  </r>
  <r>
    <x v="1"/>
    <x v="98"/>
    <x v="8"/>
    <n v="0"/>
    <x v="0"/>
  </r>
  <r>
    <x v="1"/>
    <x v="98"/>
    <x v="9"/>
    <n v="0"/>
    <x v="0"/>
  </r>
  <r>
    <x v="1"/>
    <x v="98"/>
    <x v="10"/>
    <n v="0"/>
    <x v="0"/>
  </r>
  <r>
    <x v="1"/>
    <x v="98"/>
    <x v="11"/>
    <n v="0"/>
    <x v="0"/>
  </r>
  <r>
    <x v="1"/>
    <x v="99"/>
    <x v="0"/>
    <n v="0"/>
    <x v="0"/>
  </r>
  <r>
    <x v="1"/>
    <x v="99"/>
    <x v="1"/>
    <n v="0"/>
    <x v="0"/>
  </r>
  <r>
    <x v="1"/>
    <x v="99"/>
    <x v="2"/>
    <n v="355.24250000000001"/>
    <x v="0"/>
  </r>
  <r>
    <x v="1"/>
    <x v="99"/>
    <x v="3"/>
    <n v="0"/>
    <x v="0"/>
  </r>
  <r>
    <x v="1"/>
    <x v="99"/>
    <x v="4"/>
    <n v="0"/>
    <x v="0"/>
  </r>
  <r>
    <x v="1"/>
    <x v="99"/>
    <x v="5"/>
    <n v="5504.2918"/>
    <x v="0"/>
  </r>
  <r>
    <x v="1"/>
    <x v="99"/>
    <x v="6"/>
    <n v="0"/>
    <x v="0"/>
  </r>
  <r>
    <x v="1"/>
    <x v="99"/>
    <x v="7"/>
    <n v="3669.5279"/>
    <x v="0"/>
  </r>
  <r>
    <x v="1"/>
    <x v="99"/>
    <x v="8"/>
    <n v="0"/>
    <x v="0"/>
  </r>
  <r>
    <x v="1"/>
    <x v="99"/>
    <x v="9"/>
    <n v="6221.1556"/>
    <x v="0"/>
  </r>
  <r>
    <x v="1"/>
    <x v="99"/>
    <x v="10"/>
    <n v="0"/>
    <x v="0"/>
  </r>
  <r>
    <x v="1"/>
    <x v="99"/>
    <x v="11"/>
    <n v="0"/>
    <x v="0"/>
  </r>
  <r>
    <x v="1"/>
    <x v="100"/>
    <x v="0"/>
    <n v="0"/>
    <x v="0"/>
  </r>
  <r>
    <x v="1"/>
    <x v="100"/>
    <x v="1"/>
    <n v="0"/>
    <x v="0"/>
  </r>
  <r>
    <x v="1"/>
    <x v="100"/>
    <x v="2"/>
    <n v="0"/>
    <x v="0"/>
  </r>
  <r>
    <x v="1"/>
    <x v="100"/>
    <x v="3"/>
    <n v="0"/>
    <x v="0"/>
  </r>
  <r>
    <x v="1"/>
    <x v="100"/>
    <x v="4"/>
    <n v="0"/>
    <x v="0"/>
  </r>
  <r>
    <x v="1"/>
    <x v="100"/>
    <x v="5"/>
    <n v="0"/>
    <x v="0"/>
  </r>
  <r>
    <x v="1"/>
    <x v="100"/>
    <x v="6"/>
    <n v="0"/>
    <x v="0"/>
  </r>
  <r>
    <x v="1"/>
    <x v="100"/>
    <x v="7"/>
    <n v="0"/>
    <x v="0"/>
  </r>
  <r>
    <x v="1"/>
    <x v="100"/>
    <x v="8"/>
    <n v="13557.314399999999"/>
    <x v="0"/>
  </r>
  <r>
    <x v="1"/>
    <x v="100"/>
    <x v="9"/>
    <n v="0"/>
    <x v="0"/>
  </r>
  <r>
    <x v="1"/>
    <x v="100"/>
    <x v="10"/>
    <n v="0"/>
    <x v="0"/>
  </r>
  <r>
    <x v="1"/>
    <x v="100"/>
    <x v="11"/>
    <n v="0"/>
    <x v="0"/>
  </r>
  <r>
    <x v="1"/>
    <x v="101"/>
    <x v="0"/>
    <n v="0"/>
    <x v="0"/>
  </r>
  <r>
    <x v="1"/>
    <x v="101"/>
    <x v="1"/>
    <n v="0"/>
    <x v="0"/>
  </r>
  <r>
    <x v="1"/>
    <x v="101"/>
    <x v="2"/>
    <n v="0"/>
    <x v="0"/>
  </r>
  <r>
    <x v="1"/>
    <x v="101"/>
    <x v="3"/>
    <n v="0"/>
    <x v="0"/>
  </r>
  <r>
    <x v="1"/>
    <x v="101"/>
    <x v="4"/>
    <n v="0"/>
    <x v="0"/>
  </r>
  <r>
    <x v="1"/>
    <x v="101"/>
    <x v="5"/>
    <n v="0"/>
    <x v="0"/>
  </r>
  <r>
    <x v="1"/>
    <x v="101"/>
    <x v="6"/>
    <n v="0"/>
    <x v="0"/>
  </r>
  <r>
    <x v="1"/>
    <x v="101"/>
    <x v="7"/>
    <n v="0"/>
    <x v="0"/>
  </r>
  <r>
    <x v="1"/>
    <x v="101"/>
    <x v="8"/>
    <n v="0"/>
    <x v="0"/>
  </r>
  <r>
    <x v="1"/>
    <x v="101"/>
    <x v="9"/>
    <n v="0"/>
    <x v="0"/>
  </r>
  <r>
    <x v="1"/>
    <x v="101"/>
    <x v="10"/>
    <n v="0"/>
    <x v="0"/>
  </r>
  <r>
    <x v="1"/>
    <x v="101"/>
    <x v="11"/>
    <n v="0"/>
    <x v="0"/>
  </r>
  <r>
    <x v="1"/>
    <x v="102"/>
    <x v="0"/>
    <n v="0"/>
    <x v="0"/>
  </r>
  <r>
    <x v="1"/>
    <x v="102"/>
    <x v="1"/>
    <n v="0"/>
    <x v="0"/>
  </r>
  <r>
    <x v="1"/>
    <x v="102"/>
    <x v="2"/>
    <n v="0"/>
    <x v="0"/>
  </r>
  <r>
    <x v="1"/>
    <x v="102"/>
    <x v="3"/>
    <n v="0"/>
    <x v="0"/>
  </r>
  <r>
    <x v="1"/>
    <x v="102"/>
    <x v="4"/>
    <n v="0"/>
    <x v="0"/>
  </r>
  <r>
    <x v="1"/>
    <x v="102"/>
    <x v="5"/>
    <n v="0"/>
    <x v="0"/>
  </r>
  <r>
    <x v="1"/>
    <x v="102"/>
    <x v="6"/>
    <n v="0"/>
    <x v="0"/>
  </r>
  <r>
    <x v="1"/>
    <x v="102"/>
    <x v="7"/>
    <n v="0"/>
    <x v="0"/>
  </r>
  <r>
    <x v="1"/>
    <x v="102"/>
    <x v="8"/>
    <n v="0"/>
    <x v="0"/>
  </r>
  <r>
    <x v="1"/>
    <x v="102"/>
    <x v="9"/>
    <n v="0"/>
    <x v="0"/>
  </r>
  <r>
    <x v="1"/>
    <x v="102"/>
    <x v="10"/>
    <n v="3247.5257999999999"/>
    <x v="0"/>
  </r>
  <r>
    <x v="1"/>
    <x v="102"/>
    <x v="11"/>
    <n v="0"/>
    <x v="0"/>
  </r>
  <r>
    <x v="1"/>
    <x v="103"/>
    <x v="0"/>
    <n v="0"/>
    <x v="0"/>
  </r>
  <r>
    <x v="1"/>
    <x v="103"/>
    <x v="1"/>
    <n v="0"/>
    <x v="0"/>
  </r>
  <r>
    <x v="1"/>
    <x v="103"/>
    <x v="2"/>
    <n v="0"/>
    <x v="0"/>
  </r>
  <r>
    <x v="1"/>
    <x v="103"/>
    <x v="3"/>
    <n v="0"/>
    <x v="0"/>
  </r>
  <r>
    <x v="1"/>
    <x v="103"/>
    <x v="4"/>
    <n v="0"/>
    <x v="0"/>
  </r>
  <r>
    <x v="1"/>
    <x v="103"/>
    <x v="5"/>
    <n v="0"/>
    <x v="0"/>
  </r>
  <r>
    <x v="1"/>
    <x v="103"/>
    <x v="6"/>
    <n v="0"/>
    <x v="0"/>
  </r>
  <r>
    <x v="1"/>
    <x v="103"/>
    <x v="7"/>
    <n v="0"/>
    <x v="0"/>
  </r>
  <r>
    <x v="1"/>
    <x v="103"/>
    <x v="8"/>
    <n v="0"/>
    <x v="0"/>
  </r>
  <r>
    <x v="1"/>
    <x v="103"/>
    <x v="9"/>
    <n v="0"/>
    <x v="0"/>
  </r>
  <r>
    <x v="1"/>
    <x v="103"/>
    <x v="10"/>
    <n v="2295.1867000000002"/>
    <x v="0"/>
  </r>
  <r>
    <x v="1"/>
    <x v="103"/>
    <x v="11"/>
    <n v="0"/>
    <x v="0"/>
  </r>
  <r>
    <x v="1"/>
    <x v="104"/>
    <x v="0"/>
    <n v="0"/>
    <x v="0"/>
  </r>
  <r>
    <x v="1"/>
    <x v="104"/>
    <x v="1"/>
    <n v="0"/>
    <x v="0"/>
  </r>
  <r>
    <x v="1"/>
    <x v="104"/>
    <x v="2"/>
    <n v="0"/>
    <x v="0"/>
  </r>
  <r>
    <x v="1"/>
    <x v="104"/>
    <x v="3"/>
    <n v="0"/>
    <x v="0"/>
  </r>
  <r>
    <x v="1"/>
    <x v="104"/>
    <x v="4"/>
    <n v="0"/>
    <x v="0"/>
  </r>
  <r>
    <x v="1"/>
    <x v="104"/>
    <x v="5"/>
    <n v="0"/>
    <x v="0"/>
  </r>
  <r>
    <x v="1"/>
    <x v="104"/>
    <x v="6"/>
    <n v="0"/>
    <x v="0"/>
  </r>
  <r>
    <x v="1"/>
    <x v="104"/>
    <x v="7"/>
    <n v="0"/>
    <x v="0"/>
  </r>
  <r>
    <x v="1"/>
    <x v="104"/>
    <x v="8"/>
    <n v="1733.4495999999999"/>
    <x v="0"/>
  </r>
  <r>
    <x v="1"/>
    <x v="104"/>
    <x v="9"/>
    <n v="0"/>
    <x v="0"/>
  </r>
  <r>
    <x v="1"/>
    <x v="104"/>
    <x v="10"/>
    <n v="4781.6084000000001"/>
    <x v="0"/>
  </r>
  <r>
    <x v="1"/>
    <x v="104"/>
    <x v="11"/>
    <n v="0"/>
    <x v="0"/>
  </r>
  <r>
    <x v="0"/>
    <x v="73"/>
    <x v="0"/>
    <n v="0"/>
    <x v="0"/>
  </r>
  <r>
    <x v="0"/>
    <x v="73"/>
    <x v="1"/>
    <n v="0"/>
    <x v="0"/>
  </r>
  <r>
    <x v="0"/>
    <x v="73"/>
    <x v="2"/>
    <n v="0"/>
    <x v="0"/>
  </r>
  <r>
    <x v="0"/>
    <x v="73"/>
    <x v="3"/>
    <n v="5014.2993999999999"/>
    <x v="0"/>
  </r>
  <r>
    <x v="0"/>
    <x v="73"/>
    <x v="4"/>
    <n v="5032.2638999999999"/>
    <x v="0"/>
  </r>
  <r>
    <x v="0"/>
    <x v="73"/>
    <x v="5"/>
    <n v="5042.1995999999999"/>
    <x v="0"/>
  </r>
  <r>
    <x v="0"/>
    <x v="73"/>
    <x v="6"/>
    <n v="5042.1995999999999"/>
    <x v="0"/>
  </r>
  <r>
    <x v="0"/>
    <x v="73"/>
    <x v="7"/>
    <n v="4030.471"/>
    <x v="0"/>
  </r>
  <r>
    <x v="0"/>
    <x v="73"/>
    <x v="8"/>
    <n v="2789.2039"/>
    <x v="0"/>
  </r>
  <r>
    <x v="0"/>
    <x v="73"/>
    <x v="9"/>
    <n v="2178.4335000000001"/>
    <x v="0"/>
  </r>
  <r>
    <x v="0"/>
    <x v="73"/>
    <x v="10"/>
    <n v="0"/>
    <x v="0"/>
  </r>
  <r>
    <x v="0"/>
    <x v="73"/>
    <x v="11"/>
    <n v="0"/>
    <x v="0"/>
  </r>
  <r>
    <x v="1"/>
    <x v="105"/>
    <x v="0"/>
    <n v="0"/>
    <x v="0"/>
  </r>
  <r>
    <x v="1"/>
    <x v="105"/>
    <x v="1"/>
    <n v="0"/>
    <x v="0"/>
  </r>
  <r>
    <x v="1"/>
    <x v="105"/>
    <x v="2"/>
    <n v="0"/>
    <x v="0"/>
  </r>
  <r>
    <x v="1"/>
    <x v="105"/>
    <x v="3"/>
    <n v="0"/>
    <x v="0"/>
  </r>
  <r>
    <x v="1"/>
    <x v="105"/>
    <x v="4"/>
    <n v="4526.7016999999996"/>
    <x v="0"/>
  </r>
  <r>
    <x v="1"/>
    <x v="105"/>
    <x v="5"/>
    <n v="0"/>
    <x v="0"/>
  </r>
  <r>
    <x v="1"/>
    <x v="105"/>
    <x v="6"/>
    <n v="0"/>
    <x v="0"/>
  </r>
  <r>
    <x v="1"/>
    <x v="105"/>
    <x v="7"/>
    <n v="0"/>
    <x v="0"/>
  </r>
  <r>
    <x v="1"/>
    <x v="105"/>
    <x v="8"/>
    <n v="0"/>
    <x v="0"/>
  </r>
  <r>
    <x v="1"/>
    <x v="105"/>
    <x v="9"/>
    <n v="0"/>
    <x v="0"/>
  </r>
  <r>
    <x v="1"/>
    <x v="105"/>
    <x v="10"/>
    <n v="0"/>
    <x v="0"/>
  </r>
  <r>
    <x v="1"/>
    <x v="105"/>
    <x v="11"/>
    <n v="0"/>
    <x v="0"/>
  </r>
  <r>
    <x v="1"/>
    <x v="106"/>
    <x v="0"/>
    <n v="0"/>
    <x v="0"/>
  </r>
  <r>
    <x v="1"/>
    <x v="106"/>
    <x v="1"/>
    <n v="0"/>
    <x v="0"/>
  </r>
  <r>
    <x v="1"/>
    <x v="106"/>
    <x v="2"/>
    <n v="0"/>
    <x v="0"/>
  </r>
  <r>
    <x v="1"/>
    <x v="106"/>
    <x v="3"/>
    <n v="0"/>
    <x v="0"/>
  </r>
  <r>
    <x v="1"/>
    <x v="106"/>
    <x v="4"/>
    <n v="12205.189899999999"/>
    <x v="0"/>
  </r>
  <r>
    <x v="1"/>
    <x v="106"/>
    <x v="5"/>
    <n v="0"/>
    <x v="0"/>
  </r>
  <r>
    <x v="1"/>
    <x v="106"/>
    <x v="6"/>
    <n v="0"/>
    <x v="0"/>
  </r>
  <r>
    <x v="1"/>
    <x v="106"/>
    <x v="7"/>
    <n v="0"/>
    <x v="0"/>
  </r>
  <r>
    <x v="1"/>
    <x v="106"/>
    <x v="8"/>
    <n v="0"/>
    <x v="0"/>
  </r>
  <r>
    <x v="1"/>
    <x v="106"/>
    <x v="9"/>
    <n v="0"/>
    <x v="0"/>
  </r>
  <r>
    <x v="1"/>
    <x v="106"/>
    <x v="10"/>
    <n v="0"/>
    <x v="0"/>
  </r>
  <r>
    <x v="1"/>
    <x v="106"/>
    <x v="11"/>
    <n v="0"/>
    <x v="0"/>
  </r>
  <r>
    <x v="1"/>
    <x v="107"/>
    <x v="0"/>
    <n v="0"/>
    <x v="0"/>
  </r>
  <r>
    <x v="1"/>
    <x v="107"/>
    <x v="1"/>
    <n v="0"/>
    <x v="0"/>
  </r>
  <r>
    <x v="1"/>
    <x v="107"/>
    <x v="2"/>
    <n v="0"/>
    <x v="0"/>
  </r>
  <r>
    <x v="1"/>
    <x v="107"/>
    <x v="3"/>
    <n v="0"/>
    <x v="0"/>
  </r>
  <r>
    <x v="1"/>
    <x v="107"/>
    <x v="4"/>
    <n v="0"/>
    <x v="0"/>
  </r>
  <r>
    <x v="1"/>
    <x v="107"/>
    <x v="5"/>
    <n v="21459.227500000001"/>
    <x v="0"/>
  </r>
  <r>
    <x v="1"/>
    <x v="107"/>
    <x v="6"/>
    <n v="0"/>
    <x v="0"/>
  </r>
  <r>
    <x v="1"/>
    <x v="107"/>
    <x v="7"/>
    <n v="0"/>
    <x v="0"/>
  </r>
  <r>
    <x v="1"/>
    <x v="107"/>
    <x v="8"/>
    <n v="0"/>
    <x v="0"/>
  </r>
  <r>
    <x v="1"/>
    <x v="107"/>
    <x v="9"/>
    <n v="0"/>
    <x v="0"/>
  </r>
  <r>
    <x v="1"/>
    <x v="107"/>
    <x v="10"/>
    <n v="0"/>
    <x v="0"/>
  </r>
  <r>
    <x v="1"/>
    <x v="107"/>
    <x v="11"/>
    <n v="0"/>
    <x v="0"/>
  </r>
  <r>
    <x v="1"/>
    <x v="108"/>
    <x v="0"/>
    <n v="0"/>
    <x v="0"/>
  </r>
  <r>
    <x v="1"/>
    <x v="108"/>
    <x v="1"/>
    <n v="0"/>
    <x v="0"/>
  </r>
  <r>
    <x v="1"/>
    <x v="108"/>
    <x v="2"/>
    <n v="0"/>
    <x v="0"/>
  </r>
  <r>
    <x v="1"/>
    <x v="108"/>
    <x v="3"/>
    <n v="0"/>
    <x v="0"/>
  </r>
  <r>
    <x v="1"/>
    <x v="108"/>
    <x v="4"/>
    <n v="0"/>
    <x v="0"/>
  </r>
  <r>
    <x v="1"/>
    <x v="108"/>
    <x v="5"/>
    <n v="0"/>
    <x v="0"/>
  </r>
  <r>
    <x v="1"/>
    <x v="108"/>
    <x v="6"/>
    <n v="0"/>
    <x v="0"/>
  </r>
  <r>
    <x v="1"/>
    <x v="108"/>
    <x v="7"/>
    <n v="8261.5236000000004"/>
    <x v="0"/>
  </r>
  <r>
    <x v="1"/>
    <x v="108"/>
    <x v="8"/>
    <n v="0"/>
    <x v="0"/>
  </r>
  <r>
    <x v="1"/>
    <x v="108"/>
    <x v="9"/>
    <n v="2299.2768000000001"/>
    <x v="0"/>
  </r>
  <r>
    <x v="1"/>
    <x v="108"/>
    <x v="10"/>
    <n v="0"/>
    <x v="0"/>
  </r>
  <r>
    <x v="1"/>
    <x v="108"/>
    <x v="11"/>
    <n v="0"/>
    <x v="0"/>
  </r>
  <r>
    <x v="1"/>
    <x v="109"/>
    <x v="0"/>
    <n v="0"/>
    <x v="0"/>
  </r>
  <r>
    <x v="1"/>
    <x v="109"/>
    <x v="1"/>
    <n v="0"/>
    <x v="0"/>
  </r>
  <r>
    <x v="1"/>
    <x v="109"/>
    <x v="2"/>
    <n v="0"/>
    <x v="0"/>
  </r>
  <r>
    <x v="1"/>
    <x v="109"/>
    <x v="3"/>
    <n v="0"/>
    <x v="0"/>
  </r>
  <r>
    <x v="1"/>
    <x v="109"/>
    <x v="4"/>
    <n v="0"/>
    <x v="0"/>
  </r>
  <r>
    <x v="1"/>
    <x v="109"/>
    <x v="5"/>
    <n v="0"/>
    <x v="0"/>
  </r>
  <r>
    <x v="1"/>
    <x v="109"/>
    <x v="6"/>
    <n v="0"/>
    <x v="0"/>
  </r>
  <r>
    <x v="1"/>
    <x v="109"/>
    <x v="7"/>
    <n v="6617.8100999999997"/>
    <x v="0"/>
  </r>
  <r>
    <x v="1"/>
    <x v="109"/>
    <x v="8"/>
    <n v="15031.170599999999"/>
    <x v="0"/>
  </r>
  <r>
    <x v="1"/>
    <x v="109"/>
    <x v="9"/>
    <n v="9210.3101000000006"/>
    <x v="0"/>
  </r>
  <r>
    <x v="1"/>
    <x v="109"/>
    <x v="10"/>
    <n v="7243.9709999999995"/>
    <x v="0"/>
  </r>
  <r>
    <x v="1"/>
    <x v="109"/>
    <x v="11"/>
    <n v="7132.9893000000002"/>
    <x v="0"/>
  </r>
  <r>
    <x v="1"/>
    <x v="110"/>
    <x v="0"/>
    <n v="0"/>
    <x v="0"/>
  </r>
  <r>
    <x v="1"/>
    <x v="110"/>
    <x v="1"/>
    <n v="0"/>
    <x v="0"/>
  </r>
  <r>
    <x v="1"/>
    <x v="110"/>
    <x v="2"/>
    <n v="0"/>
    <x v="0"/>
  </r>
  <r>
    <x v="1"/>
    <x v="110"/>
    <x v="3"/>
    <n v="0"/>
    <x v="0"/>
  </r>
  <r>
    <x v="1"/>
    <x v="110"/>
    <x v="4"/>
    <n v="0"/>
    <x v="0"/>
  </r>
  <r>
    <x v="1"/>
    <x v="110"/>
    <x v="5"/>
    <n v="0"/>
    <x v="0"/>
  </r>
  <r>
    <x v="1"/>
    <x v="110"/>
    <x v="6"/>
    <n v="0"/>
    <x v="0"/>
  </r>
  <r>
    <x v="1"/>
    <x v="110"/>
    <x v="7"/>
    <n v="0"/>
    <x v="0"/>
  </r>
  <r>
    <x v="1"/>
    <x v="110"/>
    <x v="8"/>
    <n v="0"/>
    <x v="0"/>
  </r>
  <r>
    <x v="1"/>
    <x v="110"/>
    <x v="9"/>
    <n v="0"/>
    <x v="0"/>
  </r>
  <r>
    <x v="1"/>
    <x v="110"/>
    <x v="10"/>
    <n v="0"/>
    <x v="0"/>
  </r>
  <r>
    <x v="1"/>
    <x v="110"/>
    <x v="11"/>
    <n v="19011.399099999999"/>
    <x v="0"/>
  </r>
  <r>
    <x v="1"/>
    <x v="111"/>
    <x v="0"/>
    <n v="0"/>
    <x v="0"/>
  </r>
  <r>
    <x v="1"/>
    <x v="111"/>
    <x v="1"/>
    <n v="0"/>
    <x v="0"/>
  </r>
  <r>
    <x v="1"/>
    <x v="111"/>
    <x v="2"/>
    <n v="0"/>
    <x v="0"/>
  </r>
  <r>
    <x v="1"/>
    <x v="111"/>
    <x v="3"/>
    <n v="0"/>
    <x v="0"/>
  </r>
  <r>
    <x v="1"/>
    <x v="111"/>
    <x v="4"/>
    <n v="0"/>
    <x v="0"/>
  </r>
  <r>
    <x v="1"/>
    <x v="111"/>
    <x v="5"/>
    <n v="0"/>
    <x v="0"/>
  </r>
  <r>
    <x v="1"/>
    <x v="111"/>
    <x v="6"/>
    <n v="0"/>
    <x v="0"/>
  </r>
  <r>
    <x v="1"/>
    <x v="111"/>
    <x v="7"/>
    <n v="0"/>
    <x v="0"/>
  </r>
  <r>
    <x v="1"/>
    <x v="111"/>
    <x v="8"/>
    <n v="0"/>
    <x v="0"/>
  </r>
  <r>
    <x v="1"/>
    <x v="111"/>
    <x v="9"/>
    <n v="0"/>
    <x v="0"/>
  </r>
  <r>
    <x v="1"/>
    <x v="111"/>
    <x v="10"/>
    <n v="0"/>
    <x v="0"/>
  </r>
  <r>
    <x v="1"/>
    <x v="111"/>
    <x v="11"/>
    <n v="3618.4924999999998"/>
    <x v="0"/>
  </r>
  <r>
    <x v="1"/>
    <x v="112"/>
    <x v="0"/>
    <n v="0"/>
    <x v="0"/>
  </r>
  <r>
    <x v="1"/>
    <x v="112"/>
    <x v="1"/>
    <n v="0"/>
    <x v="0"/>
  </r>
  <r>
    <x v="1"/>
    <x v="112"/>
    <x v="2"/>
    <n v="0"/>
    <x v="0"/>
  </r>
  <r>
    <x v="1"/>
    <x v="112"/>
    <x v="3"/>
    <n v="0"/>
    <x v="0"/>
  </r>
  <r>
    <x v="1"/>
    <x v="112"/>
    <x v="4"/>
    <n v="0"/>
    <x v="0"/>
  </r>
  <r>
    <x v="1"/>
    <x v="112"/>
    <x v="5"/>
    <n v="7561.6383999999998"/>
    <x v="0"/>
  </r>
  <r>
    <x v="1"/>
    <x v="112"/>
    <x v="6"/>
    <n v="12058.8959"/>
    <x v="0"/>
  </r>
  <r>
    <x v="1"/>
    <x v="112"/>
    <x v="7"/>
    <n v="14508.833699999999"/>
    <x v="0"/>
  </r>
  <r>
    <x v="1"/>
    <x v="112"/>
    <x v="8"/>
    <n v="0"/>
    <x v="0"/>
  </r>
  <r>
    <x v="1"/>
    <x v="112"/>
    <x v="9"/>
    <n v="0"/>
    <x v="0"/>
  </r>
  <r>
    <x v="1"/>
    <x v="112"/>
    <x v="10"/>
    <n v="0"/>
    <x v="0"/>
  </r>
  <r>
    <x v="1"/>
    <x v="112"/>
    <x v="11"/>
    <n v="4721.4130999999998"/>
    <x v="0"/>
  </r>
  <r>
    <x v="2"/>
    <x v="113"/>
    <x v="0"/>
    <n v="0"/>
    <x v="0"/>
  </r>
  <r>
    <x v="2"/>
    <x v="113"/>
    <x v="1"/>
    <n v="0"/>
    <x v="0"/>
  </r>
  <r>
    <x v="2"/>
    <x v="113"/>
    <x v="2"/>
    <n v="0"/>
    <x v="0"/>
  </r>
  <r>
    <x v="2"/>
    <x v="113"/>
    <x v="3"/>
    <n v="0"/>
    <x v="0"/>
  </r>
  <r>
    <x v="2"/>
    <x v="113"/>
    <x v="4"/>
    <n v="0"/>
    <x v="0"/>
  </r>
  <r>
    <x v="2"/>
    <x v="113"/>
    <x v="5"/>
    <n v="0"/>
    <x v="0"/>
  </r>
  <r>
    <x v="2"/>
    <x v="113"/>
    <x v="6"/>
    <n v="37593.263899999998"/>
    <x v="0"/>
  </r>
  <r>
    <x v="2"/>
    <x v="113"/>
    <x v="7"/>
    <n v="0"/>
    <x v="0"/>
  </r>
  <r>
    <x v="2"/>
    <x v="113"/>
    <x v="8"/>
    <n v="0"/>
    <x v="0"/>
  </r>
  <r>
    <x v="2"/>
    <x v="113"/>
    <x v="9"/>
    <n v="38707.277900000001"/>
    <x v="0"/>
  </r>
  <r>
    <x v="2"/>
    <x v="113"/>
    <x v="10"/>
    <n v="0"/>
    <x v="0"/>
  </r>
  <r>
    <x v="2"/>
    <x v="113"/>
    <x v="11"/>
    <n v="0"/>
    <x v="0"/>
  </r>
  <r>
    <x v="3"/>
    <x v="114"/>
    <x v="0"/>
    <n v="0"/>
    <x v="0"/>
  </r>
  <r>
    <x v="3"/>
    <x v="114"/>
    <x v="1"/>
    <n v="0"/>
    <x v="0"/>
  </r>
  <r>
    <x v="3"/>
    <x v="114"/>
    <x v="2"/>
    <n v="0"/>
    <x v="0"/>
  </r>
  <r>
    <x v="3"/>
    <x v="114"/>
    <x v="3"/>
    <n v="0"/>
    <x v="0"/>
  </r>
  <r>
    <x v="3"/>
    <x v="114"/>
    <x v="4"/>
    <n v="0"/>
    <x v="0"/>
  </r>
  <r>
    <x v="3"/>
    <x v="114"/>
    <x v="5"/>
    <n v="0"/>
    <x v="0"/>
  </r>
  <r>
    <x v="3"/>
    <x v="114"/>
    <x v="6"/>
    <n v="0"/>
    <x v="0"/>
  </r>
  <r>
    <x v="3"/>
    <x v="114"/>
    <x v="7"/>
    <n v="0"/>
    <x v="0"/>
  </r>
  <r>
    <x v="3"/>
    <x v="114"/>
    <x v="8"/>
    <n v="0"/>
    <x v="0"/>
  </r>
  <r>
    <x v="3"/>
    <x v="114"/>
    <x v="9"/>
    <n v="0"/>
    <x v="0"/>
  </r>
  <r>
    <x v="3"/>
    <x v="114"/>
    <x v="10"/>
    <n v="9320.6470000000008"/>
    <x v="0"/>
  </r>
  <r>
    <x v="3"/>
    <x v="114"/>
    <x v="11"/>
    <n v="0"/>
    <x v="0"/>
  </r>
  <r>
    <x v="4"/>
    <x v="115"/>
    <x v="0"/>
    <n v="0"/>
    <x v="0"/>
  </r>
  <r>
    <x v="4"/>
    <x v="115"/>
    <x v="1"/>
    <n v="0"/>
    <x v="0"/>
  </r>
  <r>
    <x v="4"/>
    <x v="115"/>
    <x v="2"/>
    <n v="0"/>
    <x v="0"/>
  </r>
  <r>
    <x v="4"/>
    <x v="115"/>
    <x v="3"/>
    <n v="0"/>
    <x v="0"/>
  </r>
  <r>
    <x v="4"/>
    <x v="115"/>
    <x v="4"/>
    <n v="0"/>
    <x v="0"/>
  </r>
  <r>
    <x v="4"/>
    <x v="115"/>
    <x v="5"/>
    <n v="0"/>
    <x v="0"/>
  </r>
  <r>
    <x v="4"/>
    <x v="115"/>
    <x v="6"/>
    <n v="0"/>
    <x v="0"/>
  </r>
  <r>
    <x v="4"/>
    <x v="115"/>
    <x v="7"/>
    <n v="0"/>
    <x v="0"/>
  </r>
  <r>
    <x v="4"/>
    <x v="115"/>
    <x v="8"/>
    <n v="0"/>
    <x v="0"/>
  </r>
  <r>
    <x v="4"/>
    <x v="115"/>
    <x v="9"/>
    <n v="14547.385200000001"/>
    <x v="0"/>
  </r>
  <r>
    <x v="4"/>
    <x v="115"/>
    <x v="10"/>
    <n v="0"/>
    <x v="0"/>
  </r>
  <r>
    <x v="4"/>
    <x v="115"/>
    <x v="11"/>
    <n v="0"/>
    <x v="0"/>
  </r>
  <r>
    <x v="0"/>
    <x v="116"/>
    <x v="0"/>
    <n v="0"/>
    <x v="0"/>
  </r>
  <r>
    <x v="0"/>
    <x v="116"/>
    <x v="1"/>
    <n v="0"/>
    <x v="0"/>
  </r>
  <r>
    <x v="0"/>
    <x v="116"/>
    <x v="2"/>
    <n v="0"/>
    <x v="0"/>
  </r>
  <r>
    <x v="0"/>
    <x v="116"/>
    <x v="3"/>
    <n v="0"/>
    <x v="0"/>
  </r>
  <r>
    <x v="0"/>
    <x v="116"/>
    <x v="4"/>
    <n v="0"/>
    <x v="0"/>
  </r>
  <r>
    <x v="0"/>
    <x v="116"/>
    <x v="5"/>
    <n v="0"/>
    <x v="0"/>
  </r>
  <r>
    <x v="0"/>
    <x v="116"/>
    <x v="6"/>
    <n v="0"/>
    <x v="0"/>
  </r>
  <r>
    <x v="0"/>
    <x v="116"/>
    <x v="7"/>
    <n v="0"/>
    <x v="0"/>
  </r>
  <r>
    <x v="0"/>
    <x v="116"/>
    <x v="8"/>
    <n v="0"/>
    <x v="0"/>
  </r>
  <r>
    <x v="0"/>
    <x v="116"/>
    <x v="9"/>
    <n v="0"/>
    <x v="0"/>
  </r>
  <r>
    <x v="0"/>
    <x v="116"/>
    <x v="10"/>
    <n v="185.6223"/>
    <x v="0"/>
  </r>
  <r>
    <x v="0"/>
    <x v="116"/>
    <x v="11"/>
    <n v="0"/>
    <x v="0"/>
  </r>
  <r>
    <x v="1"/>
    <x v="117"/>
    <x v="0"/>
    <n v="1275.5836999999999"/>
    <x v="0"/>
  </r>
  <r>
    <x v="1"/>
    <x v="117"/>
    <x v="1"/>
    <n v="-1047.5408"/>
    <x v="0"/>
  </r>
  <r>
    <x v="1"/>
    <x v="117"/>
    <x v="2"/>
    <n v="1210.1052"/>
    <x v="0"/>
  </r>
  <r>
    <x v="1"/>
    <x v="117"/>
    <x v="3"/>
    <n v="0"/>
    <x v="0"/>
  </r>
  <r>
    <x v="1"/>
    <x v="117"/>
    <x v="4"/>
    <n v="0"/>
    <x v="0"/>
  </r>
  <r>
    <x v="1"/>
    <x v="117"/>
    <x v="5"/>
    <n v="0"/>
    <x v="0"/>
  </r>
  <r>
    <x v="1"/>
    <x v="117"/>
    <x v="6"/>
    <n v="0"/>
    <x v="0"/>
  </r>
  <r>
    <x v="1"/>
    <x v="117"/>
    <x v="7"/>
    <n v="0"/>
    <x v="0"/>
  </r>
  <r>
    <x v="1"/>
    <x v="117"/>
    <x v="8"/>
    <n v="0"/>
    <x v="0"/>
  </r>
  <r>
    <x v="1"/>
    <x v="117"/>
    <x v="9"/>
    <n v="0"/>
    <x v="0"/>
  </r>
  <r>
    <x v="1"/>
    <x v="117"/>
    <x v="10"/>
    <n v="0"/>
    <x v="0"/>
  </r>
  <r>
    <x v="1"/>
    <x v="117"/>
    <x v="11"/>
    <n v="0"/>
    <x v="0"/>
  </r>
  <r>
    <x v="1"/>
    <x v="118"/>
    <x v="0"/>
    <n v="6037.9130999999998"/>
    <x v="0"/>
  </r>
  <r>
    <x v="1"/>
    <x v="118"/>
    <x v="1"/>
    <n v="20242.310099999999"/>
    <x v="0"/>
  </r>
  <r>
    <x v="1"/>
    <x v="118"/>
    <x v="2"/>
    <n v="6227.2209999999995"/>
    <x v="0"/>
  </r>
  <r>
    <x v="1"/>
    <x v="118"/>
    <x v="3"/>
    <n v="7017.3239999999996"/>
    <x v="0"/>
  </r>
  <r>
    <x v="1"/>
    <x v="118"/>
    <x v="4"/>
    <n v="3556.9119999999998"/>
    <x v="0"/>
  </r>
  <r>
    <x v="1"/>
    <x v="118"/>
    <x v="5"/>
    <n v="3856.4614000000001"/>
    <x v="0"/>
  </r>
  <r>
    <x v="1"/>
    <x v="118"/>
    <x v="6"/>
    <n v="7951.8283000000001"/>
    <x v="0"/>
  </r>
  <r>
    <x v="1"/>
    <x v="118"/>
    <x v="7"/>
    <n v="2686.0086000000001"/>
    <x v="0"/>
  </r>
  <r>
    <x v="1"/>
    <x v="118"/>
    <x v="8"/>
    <n v="3179.9441999999999"/>
    <x v="0"/>
  </r>
  <r>
    <x v="1"/>
    <x v="118"/>
    <x v="9"/>
    <n v="8056.5504000000001"/>
    <x v="0"/>
  </r>
  <r>
    <x v="1"/>
    <x v="118"/>
    <x v="10"/>
    <n v="2989.7478999999998"/>
    <x v="0"/>
  </r>
  <r>
    <x v="1"/>
    <x v="118"/>
    <x v="11"/>
    <n v="5622.5783000000001"/>
    <x v="0"/>
  </r>
  <r>
    <x v="1"/>
    <x v="79"/>
    <x v="0"/>
    <n v="0"/>
    <x v="0"/>
  </r>
  <r>
    <x v="1"/>
    <x v="79"/>
    <x v="1"/>
    <n v="0"/>
    <x v="0"/>
  </r>
  <r>
    <x v="1"/>
    <x v="79"/>
    <x v="2"/>
    <n v="0"/>
    <x v="0"/>
  </r>
  <r>
    <x v="1"/>
    <x v="79"/>
    <x v="3"/>
    <n v="0"/>
    <x v="0"/>
  </r>
  <r>
    <x v="1"/>
    <x v="79"/>
    <x v="4"/>
    <n v="0"/>
    <x v="0"/>
  </r>
  <r>
    <x v="1"/>
    <x v="79"/>
    <x v="5"/>
    <n v="0"/>
    <x v="0"/>
  </r>
  <r>
    <x v="1"/>
    <x v="79"/>
    <x v="6"/>
    <n v="0"/>
    <x v="0"/>
  </r>
  <r>
    <x v="1"/>
    <x v="79"/>
    <x v="7"/>
    <n v="0"/>
    <x v="0"/>
  </r>
  <r>
    <x v="1"/>
    <x v="79"/>
    <x v="8"/>
    <n v="1716.7382"/>
    <x v="0"/>
  </r>
  <r>
    <x v="1"/>
    <x v="79"/>
    <x v="9"/>
    <n v="0"/>
    <x v="0"/>
  </r>
  <r>
    <x v="1"/>
    <x v="79"/>
    <x v="10"/>
    <n v="0"/>
    <x v="0"/>
  </r>
  <r>
    <x v="1"/>
    <x v="79"/>
    <x v="11"/>
    <n v="0"/>
    <x v="0"/>
  </r>
  <r>
    <x v="4"/>
    <x v="119"/>
    <x v="0"/>
    <n v="17908.9238"/>
    <x v="0"/>
  </r>
  <r>
    <x v="4"/>
    <x v="119"/>
    <x v="1"/>
    <n v="6113.6288000000004"/>
    <x v="0"/>
  </r>
  <r>
    <x v="4"/>
    <x v="119"/>
    <x v="2"/>
    <n v="11256.0129"/>
    <x v="0"/>
  </r>
  <r>
    <x v="4"/>
    <x v="119"/>
    <x v="3"/>
    <n v="6046.6062000000002"/>
    <x v="0"/>
  </r>
  <r>
    <x v="4"/>
    <x v="119"/>
    <x v="4"/>
    <n v="5794.6523999999999"/>
    <x v="0"/>
  </r>
  <r>
    <x v="4"/>
    <x v="119"/>
    <x v="5"/>
    <n v="7090.3283000000001"/>
    <x v="0"/>
  </r>
  <r>
    <x v="4"/>
    <x v="119"/>
    <x v="6"/>
    <n v="4078.6513"/>
    <x v="0"/>
  </r>
  <r>
    <x v="4"/>
    <x v="119"/>
    <x v="7"/>
    <n v="35566.244599999998"/>
    <x v="0"/>
  </r>
  <r>
    <x v="4"/>
    <x v="119"/>
    <x v="8"/>
    <n v="17898.259699999999"/>
    <x v="0"/>
  </r>
  <r>
    <x v="4"/>
    <x v="119"/>
    <x v="9"/>
    <n v="15651.122300000001"/>
    <x v="0"/>
  </r>
  <r>
    <x v="4"/>
    <x v="119"/>
    <x v="10"/>
    <n v="8673.7296000000006"/>
    <x v="0"/>
  </r>
  <r>
    <x v="4"/>
    <x v="119"/>
    <x v="11"/>
    <n v="8287.8970000000008"/>
    <x v="0"/>
  </r>
  <r>
    <x v="4"/>
    <x v="120"/>
    <x v="0"/>
    <n v="0"/>
    <x v="0"/>
  </r>
  <r>
    <x v="4"/>
    <x v="120"/>
    <x v="1"/>
    <n v="0"/>
    <x v="0"/>
  </r>
  <r>
    <x v="4"/>
    <x v="120"/>
    <x v="2"/>
    <n v="0"/>
    <x v="0"/>
  </r>
  <r>
    <x v="4"/>
    <x v="120"/>
    <x v="3"/>
    <n v="0"/>
    <x v="0"/>
  </r>
  <r>
    <x v="4"/>
    <x v="120"/>
    <x v="4"/>
    <n v="0"/>
    <x v="0"/>
  </r>
  <r>
    <x v="4"/>
    <x v="120"/>
    <x v="5"/>
    <n v="0"/>
    <x v="0"/>
  </r>
  <r>
    <x v="4"/>
    <x v="120"/>
    <x v="6"/>
    <n v="0"/>
    <x v="0"/>
  </r>
  <r>
    <x v="4"/>
    <x v="120"/>
    <x v="7"/>
    <n v="11375.2253"/>
    <x v="0"/>
  </r>
  <r>
    <x v="4"/>
    <x v="120"/>
    <x v="8"/>
    <n v="0"/>
    <x v="0"/>
  </r>
  <r>
    <x v="4"/>
    <x v="120"/>
    <x v="9"/>
    <n v="18473.060099999999"/>
    <x v="0"/>
  </r>
  <r>
    <x v="4"/>
    <x v="120"/>
    <x v="10"/>
    <n v="0"/>
    <x v="0"/>
  </r>
  <r>
    <x v="4"/>
    <x v="120"/>
    <x v="11"/>
    <n v="0"/>
    <x v="0"/>
  </r>
  <r>
    <x v="4"/>
    <x v="121"/>
    <x v="0"/>
    <n v="3306.6426999999999"/>
    <x v="0"/>
  </r>
  <r>
    <x v="4"/>
    <x v="121"/>
    <x v="1"/>
    <n v="3801.7885999999999"/>
    <x v="0"/>
  </r>
  <r>
    <x v="4"/>
    <x v="121"/>
    <x v="2"/>
    <n v="0"/>
    <x v="0"/>
  </r>
  <r>
    <x v="4"/>
    <x v="121"/>
    <x v="3"/>
    <n v="1882.6212"/>
    <x v="0"/>
  </r>
  <r>
    <x v="4"/>
    <x v="121"/>
    <x v="4"/>
    <n v="136.28110000000001"/>
    <x v="0"/>
  </r>
  <r>
    <x v="4"/>
    <x v="121"/>
    <x v="5"/>
    <n v="1860.9399000000001"/>
    <x v="0"/>
  </r>
  <r>
    <x v="4"/>
    <x v="121"/>
    <x v="6"/>
    <n v="0"/>
    <x v="0"/>
  </r>
  <r>
    <x v="4"/>
    <x v="121"/>
    <x v="7"/>
    <n v="6575.2028"/>
    <x v="0"/>
  </r>
  <r>
    <x v="4"/>
    <x v="121"/>
    <x v="8"/>
    <n v="0"/>
    <x v="0"/>
  </r>
  <r>
    <x v="4"/>
    <x v="121"/>
    <x v="9"/>
    <n v="0"/>
    <x v="0"/>
  </r>
  <r>
    <x v="4"/>
    <x v="121"/>
    <x v="10"/>
    <n v="0"/>
    <x v="0"/>
  </r>
  <r>
    <x v="4"/>
    <x v="121"/>
    <x v="11"/>
    <n v="6576.9303"/>
    <x v="0"/>
  </r>
  <r>
    <x v="4"/>
    <x v="122"/>
    <x v="0"/>
    <n v="0"/>
    <x v="0"/>
  </r>
  <r>
    <x v="4"/>
    <x v="122"/>
    <x v="1"/>
    <n v="4940.5460999999996"/>
    <x v="0"/>
  </r>
  <r>
    <x v="4"/>
    <x v="122"/>
    <x v="2"/>
    <n v="2658.7660999999998"/>
    <x v="0"/>
  </r>
  <r>
    <x v="4"/>
    <x v="122"/>
    <x v="3"/>
    <n v="0"/>
    <x v="0"/>
  </r>
  <r>
    <x v="4"/>
    <x v="122"/>
    <x v="4"/>
    <n v="2720.6309000000001"/>
    <x v="0"/>
  </r>
  <r>
    <x v="4"/>
    <x v="122"/>
    <x v="5"/>
    <n v="2741.4431"/>
    <x v="0"/>
  </r>
  <r>
    <x v="4"/>
    <x v="122"/>
    <x v="6"/>
    <n v="0"/>
    <x v="0"/>
  </r>
  <r>
    <x v="4"/>
    <x v="122"/>
    <x v="7"/>
    <n v="3476.2993999999999"/>
    <x v="0"/>
  </r>
  <r>
    <x v="4"/>
    <x v="122"/>
    <x v="8"/>
    <n v="3570.1480999999999"/>
    <x v="0"/>
  </r>
  <r>
    <x v="4"/>
    <x v="122"/>
    <x v="9"/>
    <n v="3564.2028"/>
    <x v="0"/>
  </r>
  <r>
    <x v="4"/>
    <x v="122"/>
    <x v="10"/>
    <n v="3584.1738"/>
    <x v="0"/>
  </r>
  <r>
    <x v="4"/>
    <x v="122"/>
    <x v="11"/>
    <n v="3665.0472"/>
    <x v="0"/>
  </r>
  <r>
    <x v="4"/>
    <x v="123"/>
    <x v="0"/>
    <n v="0"/>
    <x v="0"/>
  </r>
  <r>
    <x v="4"/>
    <x v="123"/>
    <x v="1"/>
    <n v="0"/>
    <x v="0"/>
  </r>
  <r>
    <x v="4"/>
    <x v="123"/>
    <x v="2"/>
    <n v="0"/>
    <x v="0"/>
  </r>
  <r>
    <x v="4"/>
    <x v="123"/>
    <x v="3"/>
    <n v="0"/>
    <x v="0"/>
  </r>
  <r>
    <x v="4"/>
    <x v="123"/>
    <x v="4"/>
    <n v="0"/>
    <x v="0"/>
  </r>
  <r>
    <x v="4"/>
    <x v="123"/>
    <x v="5"/>
    <n v="0"/>
    <x v="0"/>
  </r>
  <r>
    <x v="4"/>
    <x v="123"/>
    <x v="6"/>
    <n v="0"/>
    <x v="0"/>
  </r>
  <r>
    <x v="4"/>
    <x v="123"/>
    <x v="7"/>
    <n v="0"/>
    <x v="0"/>
  </r>
  <r>
    <x v="4"/>
    <x v="123"/>
    <x v="8"/>
    <n v="9694.3390999999992"/>
    <x v="0"/>
  </r>
  <r>
    <x v="4"/>
    <x v="123"/>
    <x v="9"/>
    <n v="0"/>
    <x v="0"/>
  </r>
  <r>
    <x v="4"/>
    <x v="123"/>
    <x v="10"/>
    <n v="0"/>
    <x v="0"/>
  </r>
  <r>
    <x v="4"/>
    <x v="123"/>
    <x v="11"/>
    <n v="0"/>
    <x v="0"/>
  </r>
  <r>
    <x v="2"/>
    <x v="124"/>
    <x v="0"/>
    <n v="0"/>
    <x v="0"/>
  </r>
  <r>
    <x v="2"/>
    <x v="124"/>
    <x v="1"/>
    <n v="0"/>
    <x v="0"/>
  </r>
  <r>
    <x v="2"/>
    <x v="124"/>
    <x v="2"/>
    <n v="67480.178100000005"/>
    <x v="0"/>
  </r>
  <r>
    <x v="2"/>
    <x v="124"/>
    <x v="3"/>
    <n v="0"/>
    <x v="0"/>
  </r>
  <r>
    <x v="2"/>
    <x v="124"/>
    <x v="4"/>
    <n v="0"/>
    <x v="0"/>
  </r>
  <r>
    <x v="2"/>
    <x v="124"/>
    <x v="5"/>
    <n v="0"/>
    <x v="0"/>
  </r>
  <r>
    <x v="2"/>
    <x v="124"/>
    <x v="6"/>
    <n v="0"/>
    <x v="0"/>
  </r>
  <r>
    <x v="2"/>
    <x v="124"/>
    <x v="7"/>
    <n v="0"/>
    <x v="0"/>
  </r>
  <r>
    <x v="2"/>
    <x v="124"/>
    <x v="8"/>
    <n v="0"/>
    <x v="0"/>
  </r>
  <r>
    <x v="2"/>
    <x v="124"/>
    <x v="9"/>
    <n v="0"/>
    <x v="0"/>
  </r>
  <r>
    <x v="2"/>
    <x v="124"/>
    <x v="10"/>
    <n v="0"/>
    <x v="0"/>
  </r>
  <r>
    <x v="2"/>
    <x v="124"/>
    <x v="11"/>
    <n v="0"/>
    <x v="0"/>
  </r>
  <r>
    <x v="3"/>
    <x v="125"/>
    <x v="0"/>
    <n v="14129.522499999999"/>
    <x v="0"/>
  </r>
  <r>
    <x v="3"/>
    <x v="125"/>
    <x v="1"/>
    <n v="14112.183499999999"/>
    <x v="0"/>
  </r>
  <r>
    <x v="3"/>
    <x v="125"/>
    <x v="2"/>
    <n v="8892.8101000000006"/>
    <x v="0"/>
  </r>
  <r>
    <x v="3"/>
    <x v="125"/>
    <x v="3"/>
    <n v="0"/>
    <x v="0"/>
  </r>
  <r>
    <x v="3"/>
    <x v="125"/>
    <x v="4"/>
    <n v="0"/>
    <x v="0"/>
  </r>
  <r>
    <x v="3"/>
    <x v="125"/>
    <x v="5"/>
    <n v="0"/>
    <x v="0"/>
  </r>
  <r>
    <x v="3"/>
    <x v="125"/>
    <x v="6"/>
    <n v="0"/>
    <x v="0"/>
  </r>
  <r>
    <x v="3"/>
    <x v="125"/>
    <x v="7"/>
    <n v="0"/>
    <x v="0"/>
  </r>
  <r>
    <x v="3"/>
    <x v="125"/>
    <x v="8"/>
    <n v="19152.360499999999"/>
    <x v="0"/>
  </r>
  <r>
    <x v="3"/>
    <x v="125"/>
    <x v="9"/>
    <n v="0"/>
    <x v="0"/>
  </r>
  <r>
    <x v="3"/>
    <x v="125"/>
    <x v="10"/>
    <n v="0"/>
    <x v="0"/>
  </r>
  <r>
    <x v="3"/>
    <x v="125"/>
    <x v="11"/>
    <n v="0"/>
    <x v="0"/>
  </r>
  <r>
    <x v="4"/>
    <x v="126"/>
    <x v="0"/>
    <n v="4871.8711999999996"/>
    <x v="0"/>
  </r>
  <r>
    <x v="4"/>
    <x v="126"/>
    <x v="1"/>
    <n v="605.10730000000001"/>
    <x v="0"/>
  </r>
  <r>
    <x v="4"/>
    <x v="126"/>
    <x v="2"/>
    <n v="1730.3015"/>
    <x v="0"/>
  </r>
  <r>
    <x v="4"/>
    <x v="126"/>
    <x v="3"/>
    <n v="2349.2618000000002"/>
    <x v="0"/>
  </r>
  <r>
    <x v="4"/>
    <x v="126"/>
    <x v="4"/>
    <n v="769.61699999999996"/>
    <x v="0"/>
  </r>
  <r>
    <x v="4"/>
    <x v="126"/>
    <x v="5"/>
    <n v="565.65769999999998"/>
    <x v="0"/>
  </r>
  <r>
    <x v="4"/>
    <x v="126"/>
    <x v="6"/>
    <n v="4292.9174000000003"/>
    <x v="0"/>
  </r>
  <r>
    <x v="4"/>
    <x v="126"/>
    <x v="7"/>
    <n v="819.05790000000002"/>
    <x v="0"/>
  </r>
  <r>
    <x v="4"/>
    <x v="126"/>
    <x v="8"/>
    <n v="1976.1502"/>
    <x v="0"/>
  </r>
  <r>
    <x v="4"/>
    <x v="126"/>
    <x v="9"/>
    <n v="2227.6062000000002"/>
    <x v="0"/>
  </r>
  <r>
    <x v="4"/>
    <x v="126"/>
    <x v="10"/>
    <n v="12592.8873"/>
    <x v="0"/>
  </r>
  <r>
    <x v="4"/>
    <x v="126"/>
    <x v="11"/>
    <n v="22126.208200000001"/>
    <x v="0"/>
  </r>
  <r>
    <x v="4"/>
    <x v="127"/>
    <x v="0"/>
    <n v="3098.2597000000001"/>
    <x v="0"/>
  </r>
  <r>
    <x v="4"/>
    <x v="127"/>
    <x v="1"/>
    <n v="0"/>
    <x v="0"/>
  </r>
  <r>
    <x v="4"/>
    <x v="127"/>
    <x v="2"/>
    <n v="0"/>
    <x v="0"/>
  </r>
  <r>
    <x v="4"/>
    <x v="127"/>
    <x v="3"/>
    <n v="0"/>
    <x v="0"/>
  </r>
  <r>
    <x v="4"/>
    <x v="127"/>
    <x v="4"/>
    <n v="0"/>
    <x v="0"/>
  </r>
  <r>
    <x v="4"/>
    <x v="127"/>
    <x v="5"/>
    <n v="0"/>
    <x v="0"/>
  </r>
  <r>
    <x v="4"/>
    <x v="127"/>
    <x v="6"/>
    <n v="0"/>
    <x v="0"/>
  </r>
  <r>
    <x v="4"/>
    <x v="127"/>
    <x v="7"/>
    <n v="0"/>
    <x v="0"/>
  </r>
  <r>
    <x v="4"/>
    <x v="127"/>
    <x v="8"/>
    <n v="0"/>
    <x v="0"/>
  </r>
  <r>
    <x v="4"/>
    <x v="127"/>
    <x v="9"/>
    <n v="0"/>
    <x v="0"/>
  </r>
  <r>
    <x v="4"/>
    <x v="127"/>
    <x v="10"/>
    <n v="0"/>
    <x v="0"/>
  </r>
  <r>
    <x v="4"/>
    <x v="127"/>
    <x v="11"/>
    <n v="0"/>
    <x v="0"/>
  </r>
  <r>
    <x v="4"/>
    <x v="128"/>
    <x v="0"/>
    <n v="0"/>
    <x v="0"/>
  </r>
  <r>
    <x v="4"/>
    <x v="128"/>
    <x v="1"/>
    <n v="1831.5225"/>
    <x v="0"/>
  </r>
  <r>
    <x v="4"/>
    <x v="128"/>
    <x v="2"/>
    <n v="1831.5225"/>
    <x v="0"/>
  </r>
  <r>
    <x v="4"/>
    <x v="128"/>
    <x v="3"/>
    <n v="0"/>
    <x v="0"/>
  </r>
  <r>
    <x v="4"/>
    <x v="128"/>
    <x v="4"/>
    <n v="76.609399999999994"/>
    <x v="0"/>
  </r>
  <r>
    <x v="4"/>
    <x v="128"/>
    <x v="5"/>
    <n v="0"/>
    <x v="0"/>
  </r>
  <r>
    <x v="4"/>
    <x v="128"/>
    <x v="6"/>
    <n v="0"/>
    <x v="0"/>
  </r>
  <r>
    <x v="4"/>
    <x v="128"/>
    <x v="7"/>
    <n v="0"/>
    <x v="0"/>
  </r>
  <r>
    <x v="4"/>
    <x v="128"/>
    <x v="8"/>
    <n v="0"/>
    <x v="0"/>
  </r>
  <r>
    <x v="4"/>
    <x v="128"/>
    <x v="9"/>
    <n v="0"/>
    <x v="0"/>
  </r>
  <r>
    <x v="4"/>
    <x v="128"/>
    <x v="10"/>
    <n v="0"/>
    <x v="0"/>
  </r>
  <r>
    <x v="4"/>
    <x v="128"/>
    <x v="11"/>
    <n v="2013.9517000000001"/>
    <x v="0"/>
  </r>
  <r>
    <x v="4"/>
    <x v="129"/>
    <x v="0"/>
    <n v="2313.5729999999999"/>
    <x v="0"/>
  </r>
  <r>
    <x v="4"/>
    <x v="129"/>
    <x v="1"/>
    <n v="0"/>
    <x v="0"/>
  </r>
  <r>
    <x v="4"/>
    <x v="129"/>
    <x v="2"/>
    <n v="0"/>
    <x v="0"/>
  </r>
  <r>
    <x v="4"/>
    <x v="129"/>
    <x v="3"/>
    <n v="0"/>
    <x v="0"/>
  </r>
  <r>
    <x v="4"/>
    <x v="129"/>
    <x v="4"/>
    <n v="0"/>
    <x v="0"/>
  </r>
  <r>
    <x v="4"/>
    <x v="129"/>
    <x v="5"/>
    <n v="0"/>
    <x v="0"/>
  </r>
  <r>
    <x v="4"/>
    <x v="129"/>
    <x v="6"/>
    <n v="0"/>
    <x v="0"/>
  </r>
  <r>
    <x v="4"/>
    <x v="129"/>
    <x v="7"/>
    <n v="0"/>
    <x v="0"/>
  </r>
  <r>
    <x v="4"/>
    <x v="129"/>
    <x v="8"/>
    <n v="0"/>
    <x v="0"/>
  </r>
  <r>
    <x v="4"/>
    <x v="129"/>
    <x v="9"/>
    <n v="0"/>
    <x v="0"/>
  </r>
  <r>
    <x v="4"/>
    <x v="129"/>
    <x v="10"/>
    <n v="0"/>
    <x v="0"/>
  </r>
  <r>
    <x v="4"/>
    <x v="129"/>
    <x v="11"/>
    <n v="0"/>
    <x v="0"/>
  </r>
  <r>
    <x v="4"/>
    <x v="130"/>
    <x v="0"/>
    <n v="1133.7585999999999"/>
    <x v="0"/>
  </r>
  <r>
    <x v="4"/>
    <x v="130"/>
    <x v="1"/>
    <n v="0"/>
    <x v="0"/>
  </r>
  <r>
    <x v="4"/>
    <x v="130"/>
    <x v="2"/>
    <n v="0"/>
    <x v="0"/>
  </r>
  <r>
    <x v="4"/>
    <x v="130"/>
    <x v="3"/>
    <n v="0"/>
    <x v="0"/>
  </r>
  <r>
    <x v="4"/>
    <x v="130"/>
    <x v="4"/>
    <n v="0"/>
    <x v="0"/>
  </r>
  <r>
    <x v="4"/>
    <x v="130"/>
    <x v="5"/>
    <n v="500.93779999999998"/>
    <x v="0"/>
  </r>
  <r>
    <x v="4"/>
    <x v="130"/>
    <x v="6"/>
    <n v="0"/>
    <x v="0"/>
  </r>
  <r>
    <x v="4"/>
    <x v="130"/>
    <x v="7"/>
    <n v="0"/>
    <x v="0"/>
  </r>
  <r>
    <x v="4"/>
    <x v="130"/>
    <x v="8"/>
    <n v="0"/>
    <x v="0"/>
  </r>
  <r>
    <x v="4"/>
    <x v="130"/>
    <x v="9"/>
    <n v="107.2961"/>
    <x v="0"/>
  </r>
  <r>
    <x v="4"/>
    <x v="130"/>
    <x v="10"/>
    <n v="0"/>
    <x v="0"/>
  </r>
  <r>
    <x v="4"/>
    <x v="130"/>
    <x v="11"/>
    <n v="0"/>
    <x v="0"/>
  </r>
  <r>
    <x v="4"/>
    <x v="131"/>
    <x v="0"/>
    <n v="0"/>
    <x v="0"/>
  </r>
  <r>
    <x v="4"/>
    <x v="131"/>
    <x v="1"/>
    <n v="76.609399999999994"/>
    <x v="0"/>
  </r>
  <r>
    <x v="4"/>
    <x v="131"/>
    <x v="2"/>
    <n v="0"/>
    <x v="0"/>
  </r>
  <r>
    <x v="4"/>
    <x v="131"/>
    <x v="3"/>
    <n v="0"/>
    <x v="0"/>
  </r>
  <r>
    <x v="4"/>
    <x v="131"/>
    <x v="4"/>
    <n v="0"/>
    <x v="0"/>
  </r>
  <r>
    <x v="4"/>
    <x v="131"/>
    <x v="5"/>
    <n v="204.29179999999999"/>
    <x v="0"/>
  </r>
  <r>
    <x v="4"/>
    <x v="131"/>
    <x v="6"/>
    <n v="0"/>
    <x v="0"/>
  </r>
  <r>
    <x v="4"/>
    <x v="131"/>
    <x v="7"/>
    <n v="0"/>
    <x v="0"/>
  </r>
  <r>
    <x v="4"/>
    <x v="131"/>
    <x v="8"/>
    <n v="0"/>
    <x v="0"/>
  </r>
  <r>
    <x v="4"/>
    <x v="131"/>
    <x v="9"/>
    <n v="0"/>
    <x v="0"/>
  </r>
  <r>
    <x v="4"/>
    <x v="131"/>
    <x v="10"/>
    <n v="0"/>
    <x v="0"/>
  </r>
  <r>
    <x v="4"/>
    <x v="131"/>
    <x v="11"/>
    <n v="85.695300000000003"/>
    <x v="0"/>
  </r>
  <r>
    <x v="4"/>
    <x v="132"/>
    <x v="0"/>
    <n v="0"/>
    <x v="0"/>
  </r>
  <r>
    <x v="4"/>
    <x v="132"/>
    <x v="1"/>
    <n v="0"/>
    <x v="0"/>
  </r>
  <r>
    <x v="4"/>
    <x v="132"/>
    <x v="2"/>
    <n v="0"/>
    <x v="0"/>
  </r>
  <r>
    <x v="4"/>
    <x v="132"/>
    <x v="3"/>
    <n v="0"/>
    <x v="0"/>
  </r>
  <r>
    <x v="4"/>
    <x v="132"/>
    <x v="4"/>
    <n v="0"/>
    <x v="0"/>
  </r>
  <r>
    <x v="4"/>
    <x v="132"/>
    <x v="5"/>
    <n v="0"/>
    <x v="0"/>
  </r>
  <r>
    <x v="4"/>
    <x v="132"/>
    <x v="6"/>
    <n v="0"/>
    <x v="0"/>
  </r>
  <r>
    <x v="4"/>
    <x v="132"/>
    <x v="7"/>
    <n v="0"/>
    <x v="0"/>
  </r>
  <r>
    <x v="4"/>
    <x v="132"/>
    <x v="8"/>
    <n v="0"/>
    <x v="0"/>
  </r>
  <r>
    <x v="4"/>
    <x v="132"/>
    <x v="9"/>
    <n v="635.85839999999996"/>
    <x v="0"/>
  </r>
  <r>
    <x v="4"/>
    <x v="132"/>
    <x v="10"/>
    <n v="1729.5482999999999"/>
    <x v="0"/>
  </r>
  <r>
    <x v="4"/>
    <x v="132"/>
    <x v="11"/>
    <n v="1093.6887999999999"/>
    <x v="0"/>
  </r>
  <r>
    <x v="4"/>
    <x v="133"/>
    <x v="0"/>
    <n v="0"/>
    <x v="0"/>
  </r>
  <r>
    <x v="4"/>
    <x v="133"/>
    <x v="1"/>
    <n v="2004.4882"/>
    <x v="0"/>
  </r>
  <r>
    <x v="4"/>
    <x v="133"/>
    <x v="2"/>
    <n v="0"/>
    <x v="0"/>
  </r>
  <r>
    <x v="4"/>
    <x v="133"/>
    <x v="3"/>
    <n v="0"/>
    <x v="0"/>
  </r>
  <r>
    <x v="4"/>
    <x v="133"/>
    <x v="4"/>
    <n v="0"/>
    <x v="0"/>
  </r>
  <r>
    <x v="4"/>
    <x v="133"/>
    <x v="5"/>
    <n v="0"/>
    <x v="0"/>
  </r>
  <r>
    <x v="4"/>
    <x v="133"/>
    <x v="6"/>
    <n v="0"/>
    <x v="0"/>
  </r>
  <r>
    <x v="4"/>
    <x v="133"/>
    <x v="7"/>
    <n v="0"/>
    <x v="0"/>
  </r>
  <r>
    <x v="4"/>
    <x v="133"/>
    <x v="8"/>
    <n v="0"/>
    <x v="0"/>
  </r>
  <r>
    <x v="4"/>
    <x v="133"/>
    <x v="9"/>
    <n v="0"/>
    <x v="0"/>
  </r>
  <r>
    <x v="4"/>
    <x v="133"/>
    <x v="10"/>
    <n v="0"/>
    <x v="0"/>
  </r>
  <r>
    <x v="4"/>
    <x v="133"/>
    <x v="11"/>
    <n v="0"/>
    <x v="0"/>
  </r>
  <r>
    <x v="4"/>
    <x v="134"/>
    <x v="0"/>
    <n v="0"/>
    <x v="0"/>
  </r>
  <r>
    <x v="4"/>
    <x v="134"/>
    <x v="1"/>
    <n v="0"/>
    <x v="0"/>
  </r>
  <r>
    <x v="4"/>
    <x v="134"/>
    <x v="2"/>
    <n v="0"/>
    <x v="0"/>
  </r>
  <r>
    <x v="4"/>
    <x v="134"/>
    <x v="3"/>
    <n v="0"/>
    <x v="0"/>
  </r>
  <r>
    <x v="4"/>
    <x v="134"/>
    <x v="4"/>
    <n v="0"/>
    <x v="0"/>
  </r>
  <r>
    <x v="4"/>
    <x v="134"/>
    <x v="5"/>
    <n v="0"/>
    <x v="0"/>
  </r>
  <r>
    <x v="4"/>
    <x v="134"/>
    <x v="6"/>
    <n v="0"/>
    <x v="0"/>
  </r>
  <r>
    <x v="4"/>
    <x v="134"/>
    <x v="7"/>
    <n v="0"/>
    <x v="0"/>
  </r>
  <r>
    <x v="4"/>
    <x v="134"/>
    <x v="8"/>
    <n v="1336.3369"/>
    <x v="0"/>
  </r>
  <r>
    <x v="4"/>
    <x v="134"/>
    <x v="9"/>
    <n v="1322.7897"/>
    <x v="0"/>
  </r>
  <r>
    <x v="4"/>
    <x v="134"/>
    <x v="10"/>
    <n v="1086.2725"/>
    <x v="0"/>
  </r>
  <r>
    <x v="4"/>
    <x v="134"/>
    <x v="11"/>
    <n v="0"/>
    <x v="0"/>
  </r>
  <r>
    <x v="4"/>
    <x v="135"/>
    <x v="0"/>
    <n v="0"/>
    <x v="0"/>
  </r>
  <r>
    <x v="4"/>
    <x v="135"/>
    <x v="1"/>
    <n v="147.1824"/>
    <x v="0"/>
  </r>
  <r>
    <x v="4"/>
    <x v="135"/>
    <x v="2"/>
    <n v="0"/>
    <x v="0"/>
  </r>
  <r>
    <x v="4"/>
    <x v="135"/>
    <x v="3"/>
    <n v="0"/>
    <x v="0"/>
  </r>
  <r>
    <x v="4"/>
    <x v="135"/>
    <x v="4"/>
    <n v="0"/>
    <x v="0"/>
  </r>
  <r>
    <x v="4"/>
    <x v="135"/>
    <x v="5"/>
    <n v="0"/>
    <x v="0"/>
  </r>
  <r>
    <x v="4"/>
    <x v="135"/>
    <x v="6"/>
    <n v="150.42169999999999"/>
    <x v="0"/>
  </r>
  <r>
    <x v="4"/>
    <x v="135"/>
    <x v="7"/>
    <n v="0"/>
    <x v="0"/>
  </r>
  <r>
    <x v="4"/>
    <x v="135"/>
    <x v="8"/>
    <n v="0"/>
    <x v="0"/>
  </r>
  <r>
    <x v="4"/>
    <x v="135"/>
    <x v="9"/>
    <n v="0"/>
    <x v="0"/>
  </r>
  <r>
    <x v="4"/>
    <x v="135"/>
    <x v="10"/>
    <n v="0"/>
    <x v="0"/>
  </r>
  <r>
    <x v="4"/>
    <x v="135"/>
    <x v="11"/>
    <n v="0"/>
    <x v="0"/>
  </r>
  <r>
    <x v="4"/>
    <x v="136"/>
    <x v="0"/>
    <n v="0"/>
    <x v="0"/>
  </r>
  <r>
    <x v="4"/>
    <x v="136"/>
    <x v="1"/>
    <n v="0"/>
    <x v="0"/>
  </r>
  <r>
    <x v="4"/>
    <x v="136"/>
    <x v="2"/>
    <n v="1854.9775"/>
    <x v="0"/>
  </r>
  <r>
    <x v="4"/>
    <x v="136"/>
    <x v="3"/>
    <n v="0"/>
    <x v="0"/>
  </r>
  <r>
    <x v="4"/>
    <x v="136"/>
    <x v="4"/>
    <n v="0"/>
    <x v="0"/>
  </r>
  <r>
    <x v="4"/>
    <x v="136"/>
    <x v="5"/>
    <n v="0"/>
    <x v="0"/>
  </r>
  <r>
    <x v="4"/>
    <x v="136"/>
    <x v="6"/>
    <n v="0"/>
    <x v="0"/>
  </r>
  <r>
    <x v="4"/>
    <x v="136"/>
    <x v="7"/>
    <n v="0"/>
    <x v="0"/>
  </r>
  <r>
    <x v="4"/>
    <x v="136"/>
    <x v="8"/>
    <n v="0"/>
    <x v="0"/>
  </r>
  <r>
    <x v="4"/>
    <x v="136"/>
    <x v="9"/>
    <n v="0"/>
    <x v="0"/>
  </r>
  <r>
    <x v="4"/>
    <x v="136"/>
    <x v="10"/>
    <n v="0"/>
    <x v="0"/>
  </r>
  <r>
    <x v="4"/>
    <x v="136"/>
    <x v="11"/>
    <n v="0"/>
    <x v="0"/>
  </r>
  <r>
    <x v="4"/>
    <x v="137"/>
    <x v="0"/>
    <n v="0"/>
    <x v="0"/>
  </r>
  <r>
    <x v="4"/>
    <x v="137"/>
    <x v="1"/>
    <n v="816.48929999999996"/>
    <x v="0"/>
  </r>
  <r>
    <x v="4"/>
    <x v="137"/>
    <x v="2"/>
    <n v="0"/>
    <x v="0"/>
  </r>
  <r>
    <x v="4"/>
    <x v="137"/>
    <x v="3"/>
    <n v="0"/>
    <x v="0"/>
  </r>
  <r>
    <x v="4"/>
    <x v="137"/>
    <x v="4"/>
    <n v="0"/>
    <x v="0"/>
  </r>
  <r>
    <x v="4"/>
    <x v="137"/>
    <x v="5"/>
    <n v="0"/>
    <x v="0"/>
  </r>
  <r>
    <x v="4"/>
    <x v="137"/>
    <x v="6"/>
    <n v="0"/>
    <x v="0"/>
  </r>
  <r>
    <x v="4"/>
    <x v="137"/>
    <x v="7"/>
    <n v="0"/>
    <x v="0"/>
  </r>
  <r>
    <x v="4"/>
    <x v="137"/>
    <x v="8"/>
    <n v="0"/>
    <x v="0"/>
  </r>
  <r>
    <x v="4"/>
    <x v="137"/>
    <x v="9"/>
    <n v="0"/>
    <x v="0"/>
  </r>
  <r>
    <x v="4"/>
    <x v="137"/>
    <x v="10"/>
    <n v="0"/>
    <x v="0"/>
  </r>
  <r>
    <x v="4"/>
    <x v="137"/>
    <x v="11"/>
    <n v="0"/>
    <x v="0"/>
  </r>
  <r>
    <x v="4"/>
    <x v="138"/>
    <x v="0"/>
    <n v="0"/>
    <x v="0"/>
  </r>
  <r>
    <x v="4"/>
    <x v="138"/>
    <x v="1"/>
    <n v="0"/>
    <x v="0"/>
  </r>
  <r>
    <x v="4"/>
    <x v="138"/>
    <x v="2"/>
    <n v="493.29939999999999"/>
    <x v="0"/>
  </r>
  <r>
    <x v="4"/>
    <x v="138"/>
    <x v="3"/>
    <n v="0"/>
    <x v="0"/>
  </r>
  <r>
    <x v="4"/>
    <x v="138"/>
    <x v="4"/>
    <n v="0"/>
    <x v="0"/>
  </r>
  <r>
    <x v="4"/>
    <x v="138"/>
    <x v="5"/>
    <n v="0"/>
    <x v="0"/>
  </r>
  <r>
    <x v="4"/>
    <x v="138"/>
    <x v="6"/>
    <n v="0"/>
    <x v="0"/>
  </r>
  <r>
    <x v="4"/>
    <x v="138"/>
    <x v="7"/>
    <n v="0"/>
    <x v="0"/>
  </r>
  <r>
    <x v="4"/>
    <x v="138"/>
    <x v="8"/>
    <n v="0"/>
    <x v="0"/>
  </r>
  <r>
    <x v="4"/>
    <x v="138"/>
    <x v="9"/>
    <n v="0"/>
    <x v="0"/>
  </r>
  <r>
    <x v="4"/>
    <x v="138"/>
    <x v="10"/>
    <n v="0"/>
    <x v="0"/>
  </r>
  <r>
    <x v="4"/>
    <x v="138"/>
    <x v="11"/>
    <n v="0"/>
    <x v="0"/>
  </r>
  <r>
    <x v="4"/>
    <x v="139"/>
    <x v="0"/>
    <n v="0"/>
    <x v="0"/>
  </r>
  <r>
    <x v="4"/>
    <x v="139"/>
    <x v="1"/>
    <n v="0"/>
    <x v="0"/>
  </r>
  <r>
    <x v="4"/>
    <x v="139"/>
    <x v="2"/>
    <n v="702.25319999999999"/>
    <x v="0"/>
  </r>
  <r>
    <x v="4"/>
    <x v="139"/>
    <x v="3"/>
    <n v="0"/>
    <x v="0"/>
  </r>
  <r>
    <x v="4"/>
    <x v="139"/>
    <x v="4"/>
    <n v="0"/>
    <x v="0"/>
  </r>
  <r>
    <x v="4"/>
    <x v="139"/>
    <x v="5"/>
    <n v="0"/>
    <x v="0"/>
  </r>
  <r>
    <x v="4"/>
    <x v="139"/>
    <x v="6"/>
    <n v="0"/>
    <x v="0"/>
  </r>
  <r>
    <x v="4"/>
    <x v="139"/>
    <x v="7"/>
    <n v="0"/>
    <x v="0"/>
  </r>
  <r>
    <x v="4"/>
    <x v="139"/>
    <x v="8"/>
    <n v="0"/>
    <x v="0"/>
  </r>
  <r>
    <x v="4"/>
    <x v="139"/>
    <x v="9"/>
    <n v="0"/>
    <x v="0"/>
  </r>
  <r>
    <x v="4"/>
    <x v="139"/>
    <x v="10"/>
    <n v="0"/>
    <x v="0"/>
  </r>
  <r>
    <x v="4"/>
    <x v="139"/>
    <x v="11"/>
    <n v="0"/>
    <x v="0"/>
  </r>
  <r>
    <x v="4"/>
    <x v="140"/>
    <x v="0"/>
    <n v="0"/>
    <x v="0"/>
  </r>
  <r>
    <x v="4"/>
    <x v="140"/>
    <x v="1"/>
    <n v="0"/>
    <x v="0"/>
  </r>
  <r>
    <x v="4"/>
    <x v="140"/>
    <x v="2"/>
    <n v="428.12979999999999"/>
    <x v="0"/>
  </r>
  <r>
    <x v="4"/>
    <x v="140"/>
    <x v="3"/>
    <n v="0"/>
    <x v="0"/>
  </r>
  <r>
    <x v="4"/>
    <x v="140"/>
    <x v="4"/>
    <n v="0"/>
    <x v="0"/>
  </r>
  <r>
    <x v="4"/>
    <x v="140"/>
    <x v="5"/>
    <n v="1916.5408"/>
    <x v="0"/>
  </r>
  <r>
    <x v="4"/>
    <x v="140"/>
    <x v="6"/>
    <n v="0"/>
    <x v="0"/>
  </r>
  <r>
    <x v="4"/>
    <x v="140"/>
    <x v="7"/>
    <n v="0"/>
    <x v="0"/>
  </r>
  <r>
    <x v="4"/>
    <x v="140"/>
    <x v="8"/>
    <n v="1859.9505999999999"/>
    <x v="0"/>
  </r>
  <r>
    <x v="4"/>
    <x v="140"/>
    <x v="9"/>
    <n v="0"/>
    <x v="0"/>
  </r>
  <r>
    <x v="4"/>
    <x v="140"/>
    <x v="10"/>
    <n v="0"/>
    <x v="0"/>
  </r>
  <r>
    <x v="4"/>
    <x v="140"/>
    <x v="11"/>
    <n v="909.38630000000001"/>
    <x v="0"/>
  </r>
  <r>
    <x v="4"/>
    <x v="141"/>
    <x v="0"/>
    <n v="0"/>
    <x v="0"/>
  </r>
  <r>
    <x v="4"/>
    <x v="141"/>
    <x v="1"/>
    <n v="0"/>
    <x v="0"/>
  </r>
  <r>
    <x v="4"/>
    <x v="141"/>
    <x v="2"/>
    <n v="0"/>
    <x v="0"/>
  </r>
  <r>
    <x v="4"/>
    <x v="141"/>
    <x v="3"/>
    <n v="52.9056"/>
    <x v="0"/>
  </r>
  <r>
    <x v="4"/>
    <x v="141"/>
    <x v="4"/>
    <n v="0"/>
    <x v="0"/>
  </r>
  <r>
    <x v="4"/>
    <x v="141"/>
    <x v="5"/>
    <n v="0"/>
    <x v="0"/>
  </r>
  <r>
    <x v="4"/>
    <x v="141"/>
    <x v="6"/>
    <n v="0"/>
    <x v="0"/>
  </r>
  <r>
    <x v="4"/>
    <x v="141"/>
    <x v="7"/>
    <n v="0"/>
    <x v="0"/>
  </r>
  <r>
    <x v="4"/>
    <x v="141"/>
    <x v="8"/>
    <n v="0"/>
    <x v="0"/>
  </r>
  <r>
    <x v="4"/>
    <x v="141"/>
    <x v="9"/>
    <n v="0"/>
    <x v="0"/>
  </r>
  <r>
    <x v="4"/>
    <x v="141"/>
    <x v="10"/>
    <n v="0"/>
    <x v="0"/>
  </r>
  <r>
    <x v="4"/>
    <x v="141"/>
    <x v="11"/>
    <n v="0"/>
    <x v="0"/>
  </r>
  <r>
    <x v="4"/>
    <x v="142"/>
    <x v="0"/>
    <n v="0"/>
    <x v="0"/>
  </r>
  <r>
    <x v="4"/>
    <x v="142"/>
    <x v="1"/>
    <n v="0"/>
    <x v="0"/>
  </r>
  <r>
    <x v="4"/>
    <x v="142"/>
    <x v="2"/>
    <n v="0"/>
    <x v="0"/>
  </r>
  <r>
    <x v="4"/>
    <x v="142"/>
    <x v="3"/>
    <n v="521.41309999999999"/>
    <x v="0"/>
  </r>
  <r>
    <x v="4"/>
    <x v="142"/>
    <x v="4"/>
    <n v="102.1459"/>
    <x v="0"/>
  </r>
  <r>
    <x v="4"/>
    <x v="142"/>
    <x v="5"/>
    <n v="0"/>
    <x v="0"/>
  </r>
  <r>
    <x v="4"/>
    <x v="142"/>
    <x v="6"/>
    <n v="372.73070000000001"/>
    <x v="0"/>
  </r>
  <r>
    <x v="4"/>
    <x v="142"/>
    <x v="7"/>
    <n v="0"/>
    <x v="0"/>
  </r>
  <r>
    <x v="4"/>
    <x v="142"/>
    <x v="8"/>
    <n v="0"/>
    <x v="0"/>
  </r>
  <r>
    <x v="4"/>
    <x v="142"/>
    <x v="9"/>
    <n v="0"/>
    <x v="0"/>
  </r>
  <r>
    <x v="4"/>
    <x v="142"/>
    <x v="10"/>
    <n v="0"/>
    <x v="0"/>
  </r>
  <r>
    <x v="4"/>
    <x v="142"/>
    <x v="11"/>
    <n v="0"/>
    <x v="0"/>
  </r>
  <r>
    <x v="4"/>
    <x v="143"/>
    <x v="0"/>
    <n v="0"/>
    <x v="0"/>
  </r>
  <r>
    <x v="4"/>
    <x v="143"/>
    <x v="1"/>
    <n v="0"/>
    <x v="0"/>
  </r>
  <r>
    <x v="4"/>
    <x v="143"/>
    <x v="2"/>
    <n v="0"/>
    <x v="0"/>
  </r>
  <r>
    <x v="4"/>
    <x v="143"/>
    <x v="3"/>
    <n v="0"/>
    <x v="0"/>
  </r>
  <r>
    <x v="4"/>
    <x v="143"/>
    <x v="4"/>
    <n v="0"/>
    <x v="0"/>
  </r>
  <r>
    <x v="4"/>
    <x v="143"/>
    <x v="5"/>
    <n v="0"/>
    <x v="0"/>
  </r>
  <r>
    <x v="4"/>
    <x v="143"/>
    <x v="6"/>
    <n v="2211.8283000000001"/>
    <x v="0"/>
  </r>
  <r>
    <x v="4"/>
    <x v="143"/>
    <x v="7"/>
    <n v="0"/>
    <x v="0"/>
  </r>
  <r>
    <x v="4"/>
    <x v="143"/>
    <x v="8"/>
    <n v="0"/>
    <x v="0"/>
  </r>
  <r>
    <x v="4"/>
    <x v="143"/>
    <x v="9"/>
    <n v="0"/>
    <x v="0"/>
  </r>
  <r>
    <x v="4"/>
    <x v="143"/>
    <x v="10"/>
    <n v="0"/>
    <x v="0"/>
  </r>
  <r>
    <x v="4"/>
    <x v="143"/>
    <x v="11"/>
    <n v="0"/>
    <x v="0"/>
  </r>
  <r>
    <x v="4"/>
    <x v="144"/>
    <x v="0"/>
    <n v="0"/>
    <x v="0"/>
  </r>
  <r>
    <x v="4"/>
    <x v="144"/>
    <x v="1"/>
    <n v="0"/>
    <x v="0"/>
  </r>
  <r>
    <x v="4"/>
    <x v="144"/>
    <x v="2"/>
    <n v="0"/>
    <x v="0"/>
  </r>
  <r>
    <x v="4"/>
    <x v="144"/>
    <x v="3"/>
    <n v="0"/>
    <x v="0"/>
  </r>
  <r>
    <x v="4"/>
    <x v="144"/>
    <x v="4"/>
    <n v="0"/>
    <x v="0"/>
  </r>
  <r>
    <x v="4"/>
    <x v="144"/>
    <x v="5"/>
    <n v="500.47750000000002"/>
    <x v="0"/>
  </r>
  <r>
    <x v="4"/>
    <x v="144"/>
    <x v="6"/>
    <n v="0"/>
    <x v="0"/>
  </r>
  <r>
    <x v="4"/>
    <x v="144"/>
    <x v="7"/>
    <n v="0"/>
    <x v="0"/>
  </r>
  <r>
    <x v="4"/>
    <x v="144"/>
    <x v="8"/>
    <n v="0"/>
    <x v="0"/>
  </r>
  <r>
    <x v="4"/>
    <x v="144"/>
    <x v="9"/>
    <n v="0"/>
    <x v="0"/>
  </r>
  <r>
    <x v="4"/>
    <x v="144"/>
    <x v="10"/>
    <n v="0"/>
    <x v="0"/>
  </r>
  <r>
    <x v="4"/>
    <x v="144"/>
    <x v="11"/>
    <n v="0"/>
    <x v="0"/>
  </r>
  <r>
    <x v="4"/>
    <x v="145"/>
    <x v="0"/>
    <n v="0"/>
    <x v="0"/>
  </r>
  <r>
    <x v="4"/>
    <x v="145"/>
    <x v="1"/>
    <n v="0"/>
    <x v="0"/>
  </r>
  <r>
    <x v="4"/>
    <x v="145"/>
    <x v="2"/>
    <n v="0"/>
    <x v="0"/>
  </r>
  <r>
    <x v="4"/>
    <x v="145"/>
    <x v="3"/>
    <n v="0"/>
    <x v="0"/>
  </r>
  <r>
    <x v="4"/>
    <x v="145"/>
    <x v="4"/>
    <n v="0"/>
    <x v="0"/>
  </r>
  <r>
    <x v="4"/>
    <x v="145"/>
    <x v="5"/>
    <n v="0"/>
    <x v="0"/>
  </r>
  <r>
    <x v="4"/>
    <x v="145"/>
    <x v="6"/>
    <n v="0"/>
    <x v="0"/>
  </r>
  <r>
    <x v="4"/>
    <x v="145"/>
    <x v="7"/>
    <n v="0"/>
    <x v="0"/>
  </r>
  <r>
    <x v="4"/>
    <x v="145"/>
    <x v="8"/>
    <n v="911.65239999999994"/>
    <x v="0"/>
  </r>
  <r>
    <x v="4"/>
    <x v="145"/>
    <x v="9"/>
    <n v="0"/>
    <x v="0"/>
  </r>
  <r>
    <x v="4"/>
    <x v="145"/>
    <x v="10"/>
    <n v="0"/>
    <x v="0"/>
  </r>
  <r>
    <x v="4"/>
    <x v="145"/>
    <x v="11"/>
    <n v="0"/>
    <x v="0"/>
  </r>
  <r>
    <x v="4"/>
    <x v="146"/>
    <x v="0"/>
    <n v="0"/>
    <x v="0"/>
  </r>
  <r>
    <x v="4"/>
    <x v="146"/>
    <x v="1"/>
    <n v="0"/>
    <x v="0"/>
  </r>
  <r>
    <x v="4"/>
    <x v="146"/>
    <x v="2"/>
    <n v="0"/>
    <x v="0"/>
  </r>
  <r>
    <x v="4"/>
    <x v="146"/>
    <x v="3"/>
    <n v="5375.3391000000001"/>
    <x v="0"/>
  </r>
  <r>
    <x v="4"/>
    <x v="146"/>
    <x v="4"/>
    <n v="0"/>
    <x v="0"/>
  </r>
  <r>
    <x v="4"/>
    <x v="146"/>
    <x v="5"/>
    <n v="0"/>
    <x v="0"/>
  </r>
  <r>
    <x v="4"/>
    <x v="146"/>
    <x v="6"/>
    <n v="0"/>
    <x v="0"/>
  </r>
  <r>
    <x v="4"/>
    <x v="146"/>
    <x v="7"/>
    <n v="2161.9367000000002"/>
    <x v="0"/>
  </r>
  <r>
    <x v="4"/>
    <x v="146"/>
    <x v="8"/>
    <n v="0"/>
    <x v="0"/>
  </r>
  <r>
    <x v="4"/>
    <x v="146"/>
    <x v="9"/>
    <n v="0"/>
    <x v="0"/>
  </r>
  <r>
    <x v="4"/>
    <x v="146"/>
    <x v="10"/>
    <n v="0"/>
    <x v="0"/>
  </r>
  <r>
    <x v="4"/>
    <x v="146"/>
    <x v="11"/>
    <n v="0"/>
    <x v="0"/>
  </r>
  <r>
    <x v="4"/>
    <x v="147"/>
    <x v="0"/>
    <n v="0"/>
    <x v="0"/>
  </r>
  <r>
    <x v="4"/>
    <x v="147"/>
    <x v="1"/>
    <n v="0"/>
    <x v="0"/>
  </r>
  <r>
    <x v="4"/>
    <x v="147"/>
    <x v="2"/>
    <n v="0"/>
    <x v="0"/>
  </r>
  <r>
    <x v="4"/>
    <x v="147"/>
    <x v="3"/>
    <n v="11033.916300000001"/>
    <x v="0"/>
  </r>
  <r>
    <x v="4"/>
    <x v="147"/>
    <x v="4"/>
    <n v="2943.6695"/>
    <x v="0"/>
  </r>
  <r>
    <x v="4"/>
    <x v="147"/>
    <x v="5"/>
    <n v="2419.2746999999999"/>
    <x v="0"/>
  </r>
  <r>
    <x v="4"/>
    <x v="147"/>
    <x v="6"/>
    <n v="319.20600000000002"/>
    <x v="0"/>
  </r>
  <r>
    <x v="4"/>
    <x v="147"/>
    <x v="7"/>
    <n v="0"/>
    <x v="0"/>
  </r>
  <r>
    <x v="4"/>
    <x v="147"/>
    <x v="8"/>
    <n v="0"/>
    <x v="0"/>
  </r>
  <r>
    <x v="4"/>
    <x v="147"/>
    <x v="9"/>
    <n v="0"/>
    <x v="0"/>
  </r>
  <r>
    <x v="4"/>
    <x v="147"/>
    <x v="10"/>
    <n v="0"/>
    <x v="0"/>
  </r>
  <r>
    <x v="4"/>
    <x v="147"/>
    <x v="11"/>
    <n v="0"/>
    <x v="0"/>
  </r>
  <r>
    <x v="4"/>
    <x v="148"/>
    <x v="0"/>
    <n v="0"/>
    <x v="0"/>
  </r>
  <r>
    <x v="4"/>
    <x v="148"/>
    <x v="1"/>
    <n v="0"/>
    <x v="0"/>
  </r>
  <r>
    <x v="4"/>
    <x v="148"/>
    <x v="2"/>
    <n v="0"/>
    <x v="0"/>
  </r>
  <r>
    <x v="4"/>
    <x v="148"/>
    <x v="3"/>
    <n v="2842.4677999999999"/>
    <x v="0"/>
  </r>
  <r>
    <x v="4"/>
    <x v="148"/>
    <x v="4"/>
    <n v="0"/>
    <x v="0"/>
  </r>
  <r>
    <x v="4"/>
    <x v="148"/>
    <x v="5"/>
    <n v="0"/>
    <x v="0"/>
  </r>
  <r>
    <x v="4"/>
    <x v="148"/>
    <x v="6"/>
    <n v="0"/>
    <x v="0"/>
  </r>
  <r>
    <x v="4"/>
    <x v="148"/>
    <x v="7"/>
    <n v="0"/>
    <x v="0"/>
  </r>
  <r>
    <x v="4"/>
    <x v="148"/>
    <x v="8"/>
    <n v="0"/>
    <x v="0"/>
  </r>
  <r>
    <x v="4"/>
    <x v="148"/>
    <x v="9"/>
    <n v="0"/>
    <x v="0"/>
  </r>
  <r>
    <x v="4"/>
    <x v="148"/>
    <x v="10"/>
    <n v="0"/>
    <x v="0"/>
  </r>
  <r>
    <x v="4"/>
    <x v="148"/>
    <x v="11"/>
    <n v="0"/>
    <x v="0"/>
  </r>
  <r>
    <x v="4"/>
    <x v="149"/>
    <x v="0"/>
    <n v="0"/>
    <x v="0"/>
  </r>
  <r>
    <x v="4"/>
    <x v="149"/>
    <x v="1"/>
    <n v="0"/>
    <x v="0"/>
  </r>
  <r>
    <x v="4"/>
    <x v="149"/>
    <x v="2"/>
    <n v="0"/>
    <x v="0"/>
  </r>
  <r>
    <x v="4"/>
    <x v="149"/>
    <x v="3"/>
    <n v="0"/>
    <x v="0"/>
  </r>
  <r>
    <x v="4"/>
    <x v="149"/>
    <x v="4"/>
    <n v="0"/>
    <x v="0"/>
  </r>
  <r>
    <x v="4"/>
    <x v="149"/>
    <x v="5"/>
    <n v="0"/>
    <x v="0"/>
  </r>
  <r>
    <x v="4"/>
    <x v="149"/>
    <x v="6"/>
    <n v="10996.1373"/>
    <x v="0"/>
  </r>
  <r>
    <x v="4"/>
    <x v="149"/>
    <x v="7"/>
    <n v="0"/>
    <x v="0"/>
  </r>
  <r>
    <x v="4"/>
    <x v="149"/>
    <x v="8"/>
    <n v="0"/>
    <x v="0"/>
  </r>
  <r>
    <x v="4"/>
    <x v="149"/>
    <x v="9"/>
    <n v="0"/>
    <x v="0"/>
  </r>
  <r>
    <x v="4"/>
    <x v="149"/>
    <x v="10"/>
    <n v="0"/>
    <x v="0"/>
  </r>
  <r>
    <x v="4"/>
    <x v="149"/>
    <x v="11"/>
    <n v="0"/>
    <x v="0"/>
  </r>
  <r>
    <x v="4"/>
    <x v="150"/>
    <x v="0"/>
    <n v="0"/>
    <x v="0"/>
  </r>
  <r>
    <x v="4"/>
    <x v="150"/>
    <x v="1"/>
    <n v="0"/>
    <x v="0"/>
  </r>
  <r>
    <x v="4"/>
    <x v="150"/>
    <x v="2"/>
    <n v="0"/>
    <x v="0"/>
  </r>
  <r>
    <x v="4"/>
    <x v="150"/>
    <x v="3"/>
    <n v="0"/>
    <x v="0"/>
  </r>
  <r>
    <x v="4"/>
    <x v="150"/>
    <x v="4"/>
    <n v="0"/>
    <x v="0"/>
  </r>
  <r>
    <x v="4"/>
    <x v="150"/>
    <x v="5"/>
    <n v="0"/>
    <x v="0"/>
  </r>
  <r>
    <x v="4"/>
    <x v="150"/>
    <x v="6"/>
    <n v="0"/>
    <x v="0"/>
  </r>
  <r>
    <x v="4"/>
    <x v="150"/>
    <x v="7"/>
    <n v="0"/>
    <x v="0"/>
  </r>
  <r>
    <x v="4"/>
    <x v="150"/>
    <x v="8"/>
    <n v="214.59229999999999"/>
    <x v="0"/>
  </r>
  <r>
    <x v="4"/>
    <x v="150"/>
    <x v="9"/>
    <n v="0"/>
    <x v="0"/>
  </r>
  <r>
    <x v="4"/>
    <x v="150"/>
    <x v="10"/>
    <n v="0"/>
    <x v="0"/>
  </r>
  <r>
    <x v="4"/>
    <x v="150"/>
    <x v="11"/>
    <n v="0"/>
    <x v="0"/>
  </r>
  <r>
    <x v="4"/>
    <x v="151"/>
    <x v="0"/>
    <n v="0"/>
    <x v="0"/>
  </r>
  <r>
    <x v="4"/>
    <x v="151"/>
    <x v="1"/>
    <n v="0"/>
    <x v="0"/>
  </r>
  <r>
    <x v="4"/>
    <x v="151"/>
    <x v="2"/>
    <n v="0"/>
    <x v="0"/>
  </r>
  <r>
    <x v="4"/>
    <x v="151"/>
    <x v="3"/>
    <n v="0"/>
    <x v="0"/>
  </r>
  <r>
    <x v="4"/>
    <x v="151"/>
    <x v="4"/>
    <n v="0"/>
    <x v="0"/>
  </r>
  <r>
    <x v="4"/>
    <x v="151"/>
    <x v="5"/>
    <n v="0"/>
    <x v="0"/>
  </r>
  <r>
    <x v="4"/>
    <x v="151"/>
    <x v="6"/>
    <n v="729.61369999999999"/>
    <x v="0"/>
  </r>
  <r>
    <x v="4"/>
    <x v="151"/>
    <x v="7"/>
    <n v="0"/>
    <x v="0"/>
  </r>
  <r>
    <x v="4"/>
    <x v="151"/>
    <x v="8"/>
    <n v="0"/>
    <x v="0"/>
  </r>
  <r>
    <x v="4"/>
    <x v="151"/>
    <x v="9"/>
    <n v="0"/>
    <x v="0"/>
  </r>
  <r>
    <x v="4"/>
    <x v="151"/>
    <x v="10"/>
    <n v="0"/>
    <x v="0"/>
  </r>
  <r>
    <x v="4"/>
    <x v="151"/>
    <x v="11"/>
    <n v="0"/>
    <x v="0"/>
  </r>
  <r>
    <x v="4"/>
    <x v="152"/>
    <x v="0"/>
    <n v="0"/>
    <x v="0"/>
  </r>
  <r>
    <x v="4"/>
    <x v="152"/>
    <x v="1"/>
    <n v="0"/>
    <x v="0"/>
  </r>
  <r>
    <x v="4"/>
    <x v="152"/>
    <x v="2"/>
    <n v="0"/>
    <x v="0"/>
  </r>
  <r>
    <x v="4"/>
    <x v="152"/>
    <x v="3"/>
    <n v="0"/>
    <x v="0"/>
  </r>
  <r>
    <x v="4"/>
    <x v="152"/>
    <x v="4"/>
    <n v="0"/>
    <x v="0"/>
  </r>
  <r>
    <x v="4"/>
    <x v="152"/>
    <x v="5"/>
    <n v="0"/>
    <x v="0"/>
  </r>
  <r>
    <x v="4"/>
    <x v="152"/>
    <x v="6"/>
    <n v="0"/>
    <x v="0"/>
  </r>
  <r>
    <x v="4"/>
    <x v="152"/>
    <x v="7"/>
    <n v="574.57079999999996"/>
    <x v="0"/>
  </r>
  <r>
    <x v="4"/>
    <x v="152"/>
    <x v="8"/>
    <n v="0"/>
    <x v="0"/>
  </r>
  <r>
    <x v="4"/>
    <x v="152"/>
    <x v="9"/>
    <n v="0"/>
    <x v="0"/>
  </r>
  <r>
    <x v="4"/>
    <x v="152"/>
    <x v="10"/>
    <n v="0"/>
    <x v="0"/>
  </r>
  <r>
    <x v="4"/>
    <x v="152"/>
    <x v="11"/>
    <n v="0"/>
    <x v="0"/>
  </r>
  <r>
    <x v="4"/>
    <x v="153"/>
    <x v="0"/>
    <n v="0"/>
    <x v="0"/>
  </r>
  <r>
    <x v="4"/>
    <x v="153"/>
    <x v="1"/>
    <n v="0"/>
    <x v="0"/>
  </r>
  <r>
    <x v="4"/>
    <x v="153"/>
    <x v="2"/>
    <n v="0"/>
    <x v="0"/>
  </r>
  <r>
    <x v="4"/>
    <x v="153"/>
    <x v="3"/>
    <n v="0"/>
    <x v="0"/>
  </r>
  <r>
    <x v="4"/>
    <x v="153"/>
    <x v="4"/>
    <n v="0"/>
    <x v="0"/>
  </r>
  <r>
    <x v="4"/>
    <x v="153"/>
    <x v="5"/>
    <n v="0"/>
    <x v="0"/>
  </r>
  <r>
    <x v="4"/>
    <x v="153"/>
    <x v="6"/>
    <n v="0"/>
    <x v="0"/>
  </r>
  <r>
    <x v="4"/>
    <x v="153"/>
    <x v="7"/>
    <n v="0"/>
    <x v="0"/>
  </r>
  <r>
    <x v="4"/>
    <x v="153"/>
    <x v="8"/>
    <n v="5076.0138999999999"/>
    <x v="0"/>
  </r>
  <r>
    <x v="4"/>
    <x v="153"/>
    <x v="9"/>
    <n v="0"/>
    <x v="0"/>
  </r>
  <r>
    <x v="4"/>
    <x v="153"/>
    <x v="10"/>
    <n v="0"/>
    <x v="0"/>
  </r>
  <r>
    <x v="4"/>
    <x v="153"/>
    <x v="11"/>
    <n v="0"/>
    <x v="0"/>
  </r>
  <r>
    <x v="4"/>
    <x v="154"/>
    <x v="0"/>
    <n v="0"/>
    <x v="0"/>
  </r>
  <r>
    <x v="4"/>
    <x v="154"/>
    <x v="1"/>
    <n v="0"/>
    <x v="0"/>
  </r>
  <r>
    <x v="4"/>
    <x v="154"/>
    <x v="2"/>
    <n v="0"/>
    <x v="0"/>
  </r>
  <r>
    <x v="4"/>
    <x v="154"/>
    <x v="3"/>
    <n v="0"/>
    <x v="0"/>
  </r>
  <r>
    <x v="4"/>
    <x v="154"/>
    <x v="4"/>
    <n v="0"/>
    <x v="0"/>
  </r>
  <r>
    <x v="4"/>
    <x v="154"/>
    <x v="5"/>
    <n v="0"/>
    <x v="0"/>
  </r>
  <r>
    <x v="4"/>
    <x v="154"/>
    <x v="6"/>
    <n v="0"/>
    <x v="0"/>
  </r>
  <r>
    <x v="4"/>
    <x v="154"/>
    <x v="7"/>
    <n v="510.7296"/>
    <x v="0"/>
  </r>
  <r>
    <x v="4"/>
    <x v="154"/>
    <x v="8"/>
    <n v="0"/>
    <x v="0"/>
  </r>
  <r>
    <x v="4"/>
    <x v="154"/>
    <x v="9"/>
    <n v="0"/>
    <x v="0"/>
  </r>
  <r>
    <x v="4"/>
    <x v="154"/>
    <x v="10"/>
    <n v="0"/>
    <x v="0"/>
  </r>
  <r>
    <x v="4"/>
    <x v="154"/>
    <x v="11"/>
    <n v="0"/>
    <x v="0"/>
  </r>
  <r>
    <x v="4"/>
    <x v="155"/>
    <x v="0"/>
    <n v="0"/>
    <x v="0"/>
  </r>
  <r>
    <x v="4"/>
    <x v="155"/>
    <x v="1"/>
    <n v="0"/>
    <x v="0"/>
  </r>
  <r>
    <x v="4"/>
    <x v="155"/>
    <x v="2"/>
    <n v="0"/>
    <x v="0"/>
  </r>
  <r>
    <x v="4"/>
    <x v="155"/>
    <x v="3"/>
    <n v="0"/>
    <x v="0"/>
  </r>
  <r>
    <x v="4"/>
    <x v="155"/>
    <x v="4"/>
    <n v="0"/>
    <x v="0"/>
  </r>
  <r>
    <x v="4"/>
    <x v="155"/>
    <x v="5"/>
    <n v="1947.5461"/>
    <x v="0"/>
  </r>
  <r>
    <x v="4"/>
    <x v="155"/>
    <x v="6"/>
    <n v="0"/>
    <x v="0"/>
  </r>
  <r>
    <x v="4"/>
    <x v="155"/>
    <x v="7"/>
    <n v="0"/>
    <x v="0"/>
  </r>
  <r>
    <x v="4"/>
    <x v="155"/>
    <x v="8"/>
    <n v="0"/>
    <x v="0"/>
  </r>
  <r>
    <x v="4"/>
    <x v="155"/>
    <x v="9"/>
    <n v="0"/>
    <x v="0"/>
  </r>
  <r>
    <x v="4"/>
    <x v="155"/>
    <x v="10"/>
    <n v="0"/>
    <x v="0"/>
  </r>
  <r>
    <x v="4"/>
    <x v="155"/>
    <x v="11"/>
    <n v="891.44209999999998"/>
    <x v="0"/>
  </r>
  <r>
    <x v="4"/>
    <x v="156"/>
    <x v="0"/>
    <n v="0"/>
    <x v="0"/>
  </r>
  <r>
    <x v="4"/>
    <x v="156"/>
    <x v="1"/>
    <n v="0"/>
    <x v="0"/>
  </r>
  <r>
    <x v="4"/>
    <x v="156"/>
    <x v="2"/>
    <n v="0"/>
    <x v="0"/>
  </r>
  <r>
    <x v="4"/>
    <x v="156"/>
    <x v="3"/>
    <n v="0"/>
    <x v="0"/>
  </r>
  <r>
    <x v="4"/>
    <x v="156"/>
    <x v="4"/>
    <n v="0"/>
    <x v="0"/>
  </r>
  <r>
    <x v="4"/>
    <x v="156"/>
    <x v="5"/>
    <n v="0"/>
    <x v="0"/>
  </r>
  <r>
    <x v="4"/>
    <x v="156"/>
    <x v="6"/>
    <n v="0"/>
    <x v="0"/>
  </r>
  <r>
    <x v="4"/>
    <x v="156"/>
    <x v="7"/>
    <n v="0"/>
    <x v="0"/>
  </r>
  <r>
    <x v="4"/>
    <x v="156"/>
    <x v="8"/>
    <n v="0"/>
    <x v="0"/>
  </r>
  <r>
    <x v="4"/>
    <x v="156"/>
    <x v="9"/>
    <n v="537.4914"/>
    <x v="0"/>
  </r>
  <r>
    <x v="4"/>
    <x v="156"/>
    <x v="10"/>
    <n v="0"/>
    <x v="0"/>
  </r>
  <r>
    <x v="4"/>
    <x v="156"/>
    <x v="11"/>
    <n v="0"/>
    <x v="0"/>
  </r>
  <r>
    <x v="4"/>
    <x v="157"/>
    <x v="0"/>
    <n v="0"/>
    <x v="0"/>
  </r>
  <r>
    <x v="4"/>
    <x v="157"/>
    <x v="1"/>
    <n v="0"/>
    <x v="0"/>
  </r>
  <r>
    <x v="4"/>
    <x v="157"/>
    <x v="2"/>
    <n v="0"/>
    <x v="0"/>
  </r>
  <r>
    <x v="4"/>
    <x v="157"/>
    <x v="3"/>
    <n v="0"/>
    <x v="0"/>
  </r>
  <r>
    <x v="4"/>
    <x v="157"/>
    <x v="4"/>
    <n v="0"/>
    <x v="0"/>
  </r>
  <r>
    <x v="4"/>
    <x v="157"/>
    <x v="5"/>
    <n v="0"/>
    <x v="0"/>
  </r>
  <r>
    <x v="4"/>
    <x v="157"/>
    <x v="6"/>
    <n v="0"/>
    <x v="0"/>
  </r>
  <r>
    <x v="4"/>
    <x v="157"/>
    <x v="7"/>
    <n v="0"/>
    <x v="0"/>
  </r>
  <r>
    <x v="4"/>
    <x v="157"/>
    <x v="8"/>
    <n v="0"/>
    <x v="0"/>
  </r>
  <r>
    <x v="4"/>
    <x v="157"/>
    <x v="9"/>
    <n v="1051.5020999999999"/>
    <x v="0"/>
  </r>
  <r>
    <x v="4"/>
    <x v="157"/>
    <x v="10"/>
    <n v="144.84979999999999"/>
    <x v="0"/>
  </r>
  <r>
    <x v="4"/>
    <x v="157"/>
    <x v="11"/>
    <n v="3701.5880000000002"/>
    <x v="0"/>
  </r>
  <r>
    <x v="4"/>
    <x v="158"/>
    <x v="0"/>
    <n v="0"/>
    <x v="0"/>
  </r>
  <r>
    <x v="4"/>
    <x v="158"/>
    <x v="1"/>
    <n v="0"/>
    <x v="0"/>
  </r>
  <r>
    <x v="4"/>
    <x v="158"/>
    <x v="2"/>
    <n v="0"/>
    <x v="0"/>
  </r>
  <r>
    <x v="4"/>
    <x v="158"/>
    <x v="3"/>
    <n v="0"/>
    <x v="0"/>
  </r>
  <r>
    <x v="4"/>
    <x v="158"/>
    <x v="4"/>
    <n v="0"/>
    <x v="0"/>
  </r>
  <r>
    <x v="4"/>
    <x v="158"/>
    <x v="5"/>
    <n v="0"/>
    <x v="0"/>
  </r>
  <r>
    <x v="4"/>
    <x v="158"/>
    <x v="6"/>
    <n v="0"/>
    <x v="0"/>
  </r>
  <r>
    <x v="4"/>
    <x v="158"/>
    <x v="7"/>
    <n v="0"/>
    <x v="0"/>
  </r>
  <r>
    <x v="4"/>
    <x v="158"/>
    <x v="8"/>
    <n v="0"/>
    <x v="0"/>
  </r>
  <r>
    <x v="4"/>
    <x v="158"/>
    <x v="9"/>
    <n v="10473.6996"/>
    <x v="0"/>
  </r>
  <r>
    <x v="4"/>
    <x v="158"/>
    <x v="10"/>
    <n v="-866.57299999999998"/>
    <x v="0"/>
  </r>
  <r>
    <x v="4"/>
    <x v="158"/>
    <x v="11"/>
    <n v="0"/>
    <x v="0"/>
  </r>
  <r>
    <x v="4"/>
    <x v="159"/>
    <x v="0"/>
    <n v="0"/>
    <x v="0"/>
  </r>
  <r>
    <x v="4"/>
    <x v="159"/>
    <x v="1"/>
    <n v="0"/>
    <x v="0"/>
  </r>
  <r>
    <x v="4"/>
    <x v="159"/>
    <x v="2"/>
    <n v="0"/>
    <x v="0"/>
  </r>
  <r>
    <x v="4"/>
    <x v="159"/>
    <x v="3"/>
    <n v="0"/>
    <x v="0"/>
  </r>
  <r>
    <x v="4"/>
    <x v="159"/>
    <x v="4"/>
    <n v="0"/>
    <x v="0"/>
  </r>
  <r>
    <x v="4"/>
    <x v="159"/>
    <x v="5"/>
    <n v="0"/>
    <x v="0"/>
  </r>
  <r>
    <x v="4"/>
    <x v="159"/>
    <x v="6"/>
    <n v="0"/>
    <x v="0"/>
  </r>
  <r>
    <x v="4"/>
    <x v="159"/>
    <x v="7"/>
    <n v="0"/>
    <x v="0"/>
  </r>
  <r>
    <x v="4"/>
    <x v="159"/>
    <x v="8"/>
    <n v="0"/>
    <x v="0"/>
  </r>
  <r>
    <x v="4"/>
    <x v="159"/>
    <x v="9"/>
    <n v="2239.3883999999998"/>
    <x v="0"/>
  </r>
  <r>
    <x v="4"/>
    <x v="159"/>
    <x v="10"/>
    <n v="0"/>
    <x v="0"/>
  </r>
  <r>
    <x v="4"/>
    <x v="159"/>
    <x v="11"/>
    <n v="0"/>
    <x v="0"/>
  </r>
  <r>
    <x v="4"/>
    <x v="160"/>
    <x v="0"/>
    <n v="0"/>
    <x v="0"/>
  </r>
  <r>
    <x v="4"/>
    <x v="160"/>
    <x v="1"/>
    <n v="0"/>
    <x v="0"/>
  </r>
  <r>
    <x v="4"/>
    <x v="160"/>
    <x v="2"/>
    <n v="0"/>
    <x v="0"/>
  </r>
  <r>
    <x v="4"/>
    <x v="160"/>
    <x v="3"/>
    <n v="0"/>
    <x v="0"/>
  </r>
  <r>
    <x v="4"/>
    <x v="160"/>
    <x v="4"/>
    <n v="0"/>
    <x v="0"/>
  </r>
  <r>
    <x v="4"/>
    <x v="160"/>
    <x v="5"/>
    <n v="0"/>
    <x v="0"/>
  </r>
  <r>
    <x v="4"/>
    <x v="160"/>
    <x v="6"/>
    <n v="0"/>
    <x v="0"/>
  </r>
  <r>
    <x v="4"/>
    <x v="160"/>
    <x v="7"/>
    <n v="0"/>
    <x v="0"/>
  </r>
  <r>
    <x v="4"/>
    <x v="160"/>
    <x v="8"/>
    <n v="0"/>
    <x v="0"/>
  </r>
  <r>
    <x v="4"/>
    <x v="160"/>
    <x v="9"/>
    <n v="177.84870000000001"/>
    <x v="0"/>
  </r>
  <r>
    <x v="4"/>
    <x v="160"/>
    <x v="10"/>
    <n v="-172.9024"/>
    <x v="0"/>
  </r>
  <r>
    <x v="4"/>
    <x v="160"/>
    <x v="11"/>
    <n v="0"/>
    <x v="0"/>
  </r>
  <r>
    <x v="4"/>
    <x v="161"/>
    <x v="0"/>
    <n v="0"/>
    <x v="0"/>
  </r>
  <r>
    <x v="4"/>
    <x v="161"/>
    <x v="1"/>
    <n v="0"/>
    <x v="0"/>
  </r>
  <r>
    <x v="4"/>
    <x v="161"/>
    <x v="2"/>
    <n v="0"/>
    <x v="0"/>
  </r>
  <r>
    <x v="4"/>
    <x v="161"/>
    <x v="3"/>
    <n v="0"/>
    <x v="0"/>
  </r>
  <r>
    <x v="4"/>
    <x v="161"/>
    <x v="4"/>
    <n v="0"/>
    <x v="0"/>
  </r>
  <r>
    <x v="4"/>
    <x v="161"/>
    <x v="5"/>
    <n v="0"/>
    <x v="0"/>
  </r>
  <r>
    <x v="4"/>
    <x v="161"/>
    <x v="6"/>
    <n v="0"/>
    <x v="0"/>
  </r>
  <r>
    <x v="4"/>
    <x v="161"/>
    <x v="7"/>
    <n v="0"/>
    <x v="0"/>
  </r>
  <r>
    <x v="4"/>
    <x v="161"/>
    <x v="8"/>
    <n v="0"/>
    <x v="0"/>
  </r>
  <r>
    <x v="4"/>
    <x v="161"/>
    <x v="9"/>
    <n v="275.84440000000001"/>
    <x v="0"/>
  </r>
  <r>
    <x v="4"/>
    <x v="161"/>
    <x v="10"/>
    <n v="0"/>
    <x v="0"/>
  </r>
  <r>
    <x v="4"/>
    <x v="161"/>
    <x v="11"/>
    <n v="0"/>
    <x v="0"/>
  </r>
  <r>
    <x v="4"/>
    <x v="162"/>
    <x v="0"/>
    <n v="0"/>
    <x v="0"/>
  </r>
  <r>
    <x v="4"/>
    <x v="162"/>
    <x v="1"/>
    <n v="0"/>
    <x v="0"/>
  </r>
  <r>
    <x v="4"/>
    <x v="162"/>
    <x v="2"/>
    <n v="0"/>
    <x v="0"/>
  </r>
  <r>
    <x v="4"/>
    <x v="162"/>
    <x v="3"/>
    <n v="287.28539999999998"/>
    <x v="0"/>
  </r>
  <r>
    <x v="4"/>
    <x v="162"/>
    <x v="4"/>
    <n v="287.28539999999998"/>
    <x v="0"/>
  </r>
  <r>
    <x v="4"/>
    <x v="162"/>
    <x v="5"/>
    <n v="0"/>
    <x v="0"/>
  </r>
  <r>
    <x v="4"/>
    <x v="162"/>
    <x v="6"/>
    <n v="0"/>
    <x v="0"/>
  </r>
  <r>
    <x v="4"/>
    <x v="162"/>
    <x v="7"/>
    <n v="0"/>
    <x v="0"/>
  </r>
  <r>
    <x v="4"/>
    <x v="162"/>
    <x v="8"/>
    <n v="0"/>
    <x v="0"/>
  </r>
  <r>
    <x v="4"/>
    <x v="162"/>
    <x v="9"/>
    <n v="0"/>
    <x v="0"/>
  </r>
  <r>
    <x v="4"/>
    <x v="162"/>
    <x v="10"/>
    <n v="0"/>
    <x v="0"/>
  </r>
  <r>
    <x v="4"/>
    <x v="162"/>
    <x v="11"/>
    <n v="0"/>
    <x v="0"/>
  </r>
  <r>
    <x v="3"/>
    <x v="163"/>
    <x v="0"/>
    <n v="3523.4870999999998"/>
    <x v="0"/>
  </r>
  <r>
    <x v="3"/>
    <x v="163"/>
    <x v="1"/>
    <n v="0"/>
    <x v="0"/>
  </r>
  <r>
    <x v="3"/>
    <x v="163"/>
    <x v="2"/>
    <n v="0"/>
    <x v="0"/>
  </r>
  <r>
    <x v="3"/>
    <x v="163"/>
    <x v="3"/>
    <n v="0"/>
    <x v="0"/>
  </r>
  <r>
    <x v="3"/>
    <x v="163"/>
    <x v="4"/>
    <n v="9619.3143999999993"/>
    <x v="0"/>
  </r>
  <r>
    <x v="3"/>
    <x v="163"/>
    <x v="5"/>
    <n v="0"/>
    <x v="0"/>
  </r>
  <r>
    <x v="3"/>
    <x v="163"/>
    <x v="6"/>
    <n v="0"/>
    <x v="0"/>
  </r>
  <r>
    <x v="3"/>
    <x v="163"/>
    <x v="7"/>
    <n v="8910.8829999999998"/>
    <x v="0"/>
  </r>
  <r>
    <x v="3"/>
    <x v="163"/>
    <x v="8"/>
    <n v="0"/>
    <x v="0"/>
  </r>
  <r>
    <x v="3"/>
    <x v="163"/>
    <x v="9"/>
    <n v="0"/>
    <x v="0"/>
  </r>
  <r>
    <x v="3"/>
    <x v="163"/>
    <x v="10"/>
    <n v="0"/>
    <x v="0"/>
  </r>
  <r>
    <x v="3"/>
    <x v="163"/>
    <x v="11"/>
    <n v="0"/>
    <x v="0"/>
  </r>
  <r>
    <x v="0"/>
    <x v="164"/>
    <x v="0"/>
    <n v="778.86699999999996"/>
    <x v="0"/>
  </r>
  <r>
    <x v="0"/>
    <x v="164"/>
    <x v="1"/>
    <n v="802.29179999999997"/>
    <x v="0"/>
  </r>
  <r>
    <x v="0"/>
    <x v="164"/>
    <x v="2"/>
    <n v="802.29179999999997"/>
    <x v="0"/>
  </r>
  <r>
    <x v="0"/>
    <x v="164"/>
    <x v="3"/>
    <n v="855.93989999999997"/>
    <x v="0"/>
  </r>
  <r>
    <x v="0"/>
    <x v="164"/>
    <x v="4"/>
    <n v="855.93989999999997"/>
    <x v="0"/>
  </r>
  <r>
    <x v="0"/>
    <x v="164"/>
    <x v="5"/>
    <n v="855.93989999999997"/>
    <x v="0"/>
  </r>
  <r>
    <x v="0"/>
    <x v="164"/>
    <x v="6"/>
    <n v="855.93989999999997"/>
    <x v="0"/>
  </r>
  <r>
    <x v="0"/>
    <x v="164"/>
    <x v="7"/>
    <n v="855.93989999999997"/>
    <x v="0"/>
  </r>
  <r>
    <x v="0"/>
    <x v="164"/>
    <x v="8"/>
    <n v="861.71460000000002"/>
    <x v="0"/>
  </r>
  <r>
    <x v="0"/>
    <x v="164"/>
    <x v="9"/>
    <n v="861.71460000000002"/>
    <x v="0"/>
  </r>
  <r>
    <x v="0"/>
    <x v="164"/>
    <x v="10"/>
    <n v="861.71460000000002"/>
    <x v="0"/>
  </r>
  <r>
    <x v="0"/>
    <x v="164"/>
    <x v="11"/>
    <n v="861.71460000000002"/>
    <x v="0"/>
  </r>
  <r>
    <x v="0"/>
    <x v="165"/>
    <x v="0"/>
    <n v="2789.7757999999999"/>
    <x v="0"/>
  </r>
  <r>
    <x v="0"/>
    <x v="165"/>
    <x v="1"/>
    <n v="2792.8948"/>
    <x v="0"/>
  </r>
  <r>
    <x v="0"/>
    <x v="165"/>
    <x v="2"/>
    <n v="2794.2768000000001"/>
    <x v="0"/>
  </r>
  <r>
    <x v="0"/>
    <x v="165"/>
    <x v="3"/>
    <n v="2794.7842999999998"/>
    <x v="0"/>
  </r>
  <r>
    <x v="0"/>
    <x v="165"/>
    <x v="4"/>
    <n v="2795.4227000000001"/>
    <x v="0"/>
  </r>
  <r>
    <x v="0"/>
    <x v="165"/>
    <x v="5"/>
    <n v="2795.6792"/>
    <x v="0"/>
  </r>
  <r>
    <x v="0"/>
    <x v="165"/>
    <x v="6"/>
    <n v="2840.0578999999998"/>
    <x v="0"/>
  </r>
  <r>
    <x v="0"/>
    <x v="165"/>
    <x v="7"/>
    <n v="2801.2424999999998"/>
    <x v="0"/>
  </r>
  <r>
    <x v="0"/>
    <x v="165"/>
    <x v="8"/>
    <n v="2809.2671999999998"/>
    <x v="0"/>
  </r>
  <r>
    <x v="0"/>
    <x v="165"/>
    <x v="9"/>
    <n v="2808.6104999999998"/>
    <x v="0"/>
  </r>
  <r>
    <x v="0"/>
    <x v="165"/>
    <x v="10"/>
    <n v="2808.8573000000001"/>
    <x v="0"/>
  </r>
  <r>
    <x v="0"/>
    <x v="165"/>
    <x v="11"/>
    <n v="5718.2327999999998"/>
    <x v="0"/>
  </r>
  <r>
    <x v="0"/>
    <x v="166"/>
    <x v="0"/>
    <n v="0"/>
    <x v="0"/>
  </r>
  <r>
    <x v="0"/>
    <x v="166"/>
    <x v="1"/>
    <n v="0"/>
    <x v="0"/>
  </r>
  <r>
    <x v="0"/>
    <x v="166"/>
    <x v="2"/>
    <n v="0"/>
    <x v="0"/>
  </r>
  <r>
    <x v="0"/>
    <x v="166"/>
    <x v="3"/>
    <n v="0"/>
    <x v="0"/>
  </r>
  <r>
    <x v="0"/>
    <x v="166"/>
    <x v="4"/>
    <n v="0"/>
    <x v="0"/>
  </r>
  <r>
    <x v="0"/>
    <x v="166"/>
    <x v="5"/>
    <n v="0"/>
    <x v="0"/>
  </r>
  <r>
    <x v="0"/>
    <x v="166"/>
    <x v="6"/>
    <n v="1497.4677999999999"/>
    <x v="0"/>
  </r>
  <r>
    <x v="0"/>
    <x v="166"/>
    <x v="7"/>
    <n v="1963.3594000000001"/>
    <x v="0"/>
  </r>
  <r>
    <x v="0"/>
    <x v="166"/>
    <x v="8"/>
    <n v="1963.9495999999999"/>
    <x v="0"/>
  </r>
  <r>
    <x v="0"/>
    <x v="166"/>
    <x v="9"/>
    <n v="2607.7264"/>
    <x v="0"/>
  </r>
  <r>
    <x v="0"/>
    <x v="166"/>
    <x v="10"/>
    <n v="1320.3326"/>
    <x v="0"/>
  </r>
  <r>
    <x v="0"/>
    <x v="166"/>
    <x v="11"/>
    <n v="4922.6727000000001"/>
    <x v="0"/>
  </r>
  <r>
    <x v="5"/>
    <x v="167"/>
    <x v="0"/>
    <n v="4579.9763999999996"/>
    <x v="0"/>
  </r>
  <r>
    <x v="5"/>
    <x v="167"/>
    <x v="1"/>
    <n v="2789.6995999999999"/>
    <x v="0"/>
  </r>
  <r>
    <x v="5"/>
    <x v="167"/>
    <x v="2"/>
    <n v="1716.7382"/>
    <x v="0"/>
  </r>
  <r>
    <x v="5"/>
    <x v="167"/>
    <x v="3"/>
    <n v="1716.7382"/>
    <x v="0"/>
  </r>
  <r>
    <x v="5"/>
    <x v="167"/>
    <x v="4"/>
    <n v="0"/>
    <x v="0"/>
  </r>
  <r>
    <x v="5"/>
    <x v="167"/>
    <x v="5"/>
    <n v="0"/>
    <x v="0"/>
  </r>
  <r>
    <x v="5"/>
    <x v="167"/>
    <x v="6"/>
    <n v="0"/>
    <x v="0"/>
  </r>
  <r>
    <x v="5"/>
    <x v="167"/>
    <x v="7"/>
    <n v="2682.4034000000001"/>
    <x v="0"/>
  </r>
  <r>
    <x v="5"/>
    <x v="167"/>
    <x v="8"/>
    <n v="2682.4034000000001"/>
    <x v="0"/>
  </r>
  <r>
    <x v="5"/>
    <x v="167"/>
    <x v="9"/>
    <n v="0"/>
    <x v="0"/>
  </r>
  <r>
    <x v="5"/>
    <x v="167"/>
    <x v="10"/>
    <n v="0"/>
    <x v="0"/>
  </r>
  <r>
    <x v="5"/>
    <x v="167"/>
    <x v="11"/>
    <n v="0"/>
    <x v="0"/>
  </r>
  <r>
    <x v="0"/>
    <x v="168"/>
    <x v="0"/>
    <n v="2682.4034000000001"/>
    <x v="0"/>
  </r>
  <r>
    <x v="0"/>
    <x v="168"/>
    <x v="1"/>
    <n v="2682.4034000000001"/>
    <x v="0"/>
  </r>
  <r>
    <x v="0"/>
    <x v="168"/>
    <x v="2"/>
    <n v="2682.4034000000001"/>
    <x v="0"/>
  </r>
  <r>
    <x v="0"/>
    <x v="168"/>
    <x v="3"/>
    <n v="2682.4034000000001"/>
    <x v="0"/>
  </r>
  <r>
    <x v="0"/>
    <x v="168"/>
    <x v="4"/>
    <n v="606.22320000000002"/>
    <x v="0"/>
  </r>
  <r>
    <x v="0"/>
    <x v="168"/>
    <x v="5"/>
    <n v="0"/>
    <x v="0"/>
  </r>
  <r>
    <x v="0"/>
    <x v="168"/>
    <x v="6"/>
    <n v="0"/>
    <x v="0"/>
  </r>
  <r>
    <x v="0"/>
    <x v="168"/>
    <x v="7"/>
    <n v="0"/>
    <x v="0"/>
  </r>
  <r>
    <x v="0"/>
    <x v="168"/>
    <x v="8"/>
    <n v="0"/>
    <x v="0"/>
  </r>
  <r>
    <x v="0"/>
    <x v="168"/>
    <x v="9"/>
    <n v="0"/>
    <x v="0"/>
  </r>
  <r>
    <x v="0"/>
    <x v="168"/>
    <x v="10"/>
    <n v="0"/>
    <x v="0"/>
  </r>
  <r>
    <x v="0"/>
    <x v="168"/>
    <x v="11"/>
    <n v="0"/>
    <x v="0"/>
  </r>
  <r>
    <x v="0"/>
    <x v="169"/>
    <x v="0"/>
    <n v="0"/>
    <x v="0"/>
  </r>
  <r>
    <x v="0"/>
    <x v="169"/>
    <x v="1"/>
    <n v="0"/>
    <x v="0"/>
  </r>
  <r>
    <x v="0"/>
    <x v="169"/>
    <x v="2"/>
    <n v="0"/>
    <x v="0"/>
  </r>
  <r>
    <x v="0"/>
    <x v="169"/>
    <x v="3"/>
    <n v="0"/>
    <x v="0"/>
  </r>
  <r>
    <x v="0"/>
    <x v="169"/>
    <x v="4"/>
    <n v="1609.4421"/>
    <x v="0"/>
  </r>
  <r>
    <x v="0"/>
    <x v="169"/>
    <x v="5"/>
    <n v="1609.4421"/>
    <x v="0"/>
  </r>
  <r>
    <x v="0"/>
    <x v="169"/>
    <x v="6"/>
    <n v="1609.4421"/>
    <x v="0"/>
  </r>
  <r>
    <x v="0"/>
    <x v="169"/>
    <x v="7"/>
    <n v="1609.4421"/>
    <x v="0"/>
  </r>
  <r>
    <x v="0"/>
    <x v="169"/>
    <x v="8"/>
    <n v="1609.4421"/>
    <x v="0"/>
  </r>
  <r>
    <x v="0"/>
    <x v="169"/>
    <x v="9"/>
    <n v="1609.4421"/>
    <x v="0"/>
  </r>
  <r>
    <x v="0"/>
    <x v="169"/>
    <x v="10"/>
    <n v="1609.4421"/>
    <x v="0"/>
  </r>
  <r>
    <x v="0"/>
    <x v="169"/>
    <x v="11"/>
    <n v="3279.0772999999999"/>
    <x v="0"/>
  </r>
  <r>
    <x v="0"/>
    <x v="170"/>
    <x v="0"/>
    <n v="0"/>
    <x v="0"/>
  </r>
  <r>
    <x v="0"/>
    <x v="170"/>
    <x v="1"/>
    <n v="0"/>
    <x v="0"/>
  </r>
  <r>
    <x v="0"/>
    <x v="170"/>
    <x v="2"/>
    <n v="0"/>
    <x v="0"/>
  </r>
  <r>
    <x v="0"/>
    <x v="170"/>
    <x v="3"/>
    <n v="0"/>
    <x v="0"/>
  </r>
  <r>
    <x v="0"/>
    <x v="170"/>
    <x v="4"/>
    <n v="0"/>
    <x v="0"/>
  </r>
  <r>
    <x v="0"/>
    <x v="170"/>
    <x v="5"/>
    <n v="0"/>
    <x v="0"/>
  </r>
  <r>
    <x v="0"/>
    <x v="170"/>
    <x v="6"/>
    <n v="0"/>
    <x v="0"/>
  </r>
  <r>
    <x v="0"/>
    <x v="170"/>
    <x v="7"/>
    <n v="0"/>
    <x v="0"/>
  </r>
  <r>
    <x v="0"/>
    <x v="170"/>
    <x v="8"/>
    <n v="0"/>
    <x v="0"/>
  </r>
  <r>
    <x v="0"/>
    <x v="170"/>
    <x v="9"/>
    <n v="0"/>
    <x v="0"/>
  </r>
  <r>
    <x v="0"/>
    <x v="170"/>
    <x v="10"/>
    <n v="0"/>
    <x v="0"/>
  </r>
  <r>
    <x v="0"/>
    <x v="170"/>
    <x v="11"/>
    <n v="11624.678099999999"/>
    <x v="0"/>
  </r>
  <r>
    <x v="3"/>
    <x v="171"/>
    <x v="0"/>
    <n v="0"/>
    <x v="0"/>
  </r>
  <r>
    <x v="3"/>
    <x v="171"/>
    <x v="1"/>
    <n v="0"/>
    <x v="0"/>
  </r>
  <r>
    <x v="3"/>
    <x v="171"/>
    <x v="2"/>
    <n v="0"/>
    <x v="0"/>
  </r>
  <r>
    <x v="3"/>
    <x v="171"/>
    <x v="3"/>
    <n v="0"/>
    <x v="0"/>
  </r>
  <r>
    <x v="3"/>
    <x v="171"/>
    <x v="4"/>
    <n v="0"/>
    <x v="0"/>
  </r>
  <r>
    <x v="3"/>
    <x v="171"/>
    <x v="5"/>
    <n v="0"/>
    <x v="0"/>
  </r>
  <r>
    <x v="3"/>
    <x v="171"/>
    <x v="6"/>
    <n v="0"/>
    <x v="0"/>
  </r>
  <r>
    <x v="3"/>
    <x v="171"/>
    <x v="7"/>
    <n v="0"/>
    <x v="0"/>
  </r>
  <r>
    <x v="3"/>
    <x v="171"/>
    <x v="8"/>
    <n v="0"/>
    <x v="0"/>
  </r>
  <r>
    <x v="3"/>
    <x v="171"/>
    <x v="9"/>
    <n v="0"/>
    <x v="0"/>
  </r>
  <r>
    <x v="3"/>
    <x v="171"/>
    <x v="10"/>
    <n v="0"/>
    <x v="0"/>
  </r>
  <r>
    <x v="3"/>
    <x v="171"/>
    <x v="11"/>
    <n v="4560.0869000000002"/>
    <x v="0"/>
  </r>
  <r>
    <x v="0"/>
    <x v="172"/>
    <x v="0"/>
    <n v="0"/>
    <x v="0"/>
  </r>
  <r>
    <x v="0"/>
    <x v="172"/>
    <x v="1"/>
    <n v="366.95710000000003"/>
    <x v="0"/>
  </r>
  <r>
    <x v="0"/>
    <x v="172"/>
    <x v="2"/>
    <n v="0"/>
    <x v="0"/>
  </r>
  <r>
    <x v="0"/>
    <x v="172"/>
    <x v="3"/>
    <n v="0"/>
    <x v="0"/>
  </r>
  <r>
    <x v="0"/>
    <x v="172"/>
    <x v="4"/>
    <n v="0"/>
    <x v="0"/>
  </r>
  <r>
    <x v="0"/>
    <x v="172"/>
    <x v="5"/>
    <n v="0"/>
    <x v="0"/>
  </r>
  <r>
    <x v="0"/>
    <x v="172"/>
    <x v="6"/>
    <n v="0"/>
    <x v="0"/>
  </r>
  <r>
    <x v="0"/>
    <x v="172"/>
    <x v="7"/>
    <n v="0"/>
    <x v="0"/>
  </r>
  <r>
    <x v="0"/>
    <x v="172"/>
    <x v="8"/>
    <n v="0"/>
    <x v="0"/>
  </r>
  <r>
    <x v="0"/>
    <x v="172"/>
    <x v="9"/>
    <n v="0"/>
    <x v="0"/>
  </r>
  <r>
    <x v="0"/>
    <x v="172"/>
    <x v="10"/>
    <n v="0"/>
    <x v="0"/>
  </r>
  <r>
    <x v="0"/>
    <x v="172"/>
    <x v="11"/>
    <n v="0"/>
    <x v="0"/>
  </r>
  <r>
    <x v="0"/>
    <x v="173"/>
    <x v="0"/>
    <n v="458.69099999999997"/>
    <x v="0"/>
  </r>
  <r>
    <x v="0"/>
    <x v="173"/>
    <x v="1"/>
    <n v="458.69099999999997"/>
    <x v="0"/>
  </r>
  <r>
    <x v="0"/>
    <x v="173"/>
    <x v="2"/>
    <n v="321.88839999999999"/>
    <x v="0"/>
  </r>
  <r>
    <x v="0"/>
    <x v="173"/>
    <x v="3"/>
    <n v="0"/>
    <x v="0"/>
  </r>
  <r>
    <x v="0"/>
    <x v="173"/>
    <x v="4"/>
    <n v="0"/>
    <x v="0"/>
  </r>
  <r>
    <x v="0"/>
    <x v="173"/>
    <x v="5"/>
    <n v="0"/>
    <x v="0"/>
  </r>
  <r>
    <x v="0"/>
    <x v="173"/>
    <x v="6"/>
    <n v="0"/>
    <x v="0"/>
  </r>
  <r>
    <x v="0"/>
    <x v="173"/>
    <x v="7"/>
    <n v="0"/>
    <x v="0"/>
  </r>
  <r>
    <x v="0"/>
    <x v="173"/>
    <x v="8"/>
    <n v="0"/>
    <x v="0"/>
  </r>
  <r>
    <x v="0"/>
    <x v="173"/>
    <x v="9"/>
    <n v="0"/>
    <x v="0"/>
  </r>
  <r>
    <x v="0"/>
    <x v="173"/>
    <x v="10"/>
    <n v="0"/>
    <x v="0"/>
  </r>
  <r>
    <x v="0"/>
    <x v="173"/>
    <x v="11"/>
    <n v="0"/>
    <x v="0"/>
  </r>
  <r>
    <x v="0"/>
    <x v="174"/>
    <x v="0"/>
    <n v="1834.7638999999999"/>
    <x v="0"/>
  </r>
  <r>
    <x v="0"/>
    <x v="174"/>
    <x v="1"/>
    <n v="1834.7638999999999"/>
    <x v="0"/>
  </r>
  <r>
    <x v="0"/>
    <x v="174"/>
    <x v="2"/>
    <n v="1834.7638999999999"/>
    <x v="0"/>
  </r>
  <r>
    <x v="0"/>
    <x v="174"/>
    <x v="3"/>
    <n v="1914.2467999999999"/>
    <x v="0"/>
  </r>
  <r>
    <x v="0"/>
    <x v="174"/>
    <x v="4"/>
    <n v="0"/>
    <x v="0"/>
  </r>
  <r>
    <x v="0"/>
    <x v="174"/>
    <x v="5"/>
    <n v="0"/>
    <x v="0"/>
  </r>
  <r>
    <x v="0"/>
    <x v="174"/>
    <x v="6"/>
    <n v="0"/>
    <x v="0"/>
  </r>
  <r>
    <x v="0"/>
    <x v="174"/>
    <x v="7"/>
    <n v="0"/>
    <x v="0"/>
  </r>
  <r>
    <x v="0"/>
    <x v="174"/>
    <x v="8"/>
    <n v="0"/>
    <x v="0"/>
  </r>
  <r>
    <x v="0"/>
    <x v="174"/>
    <x v="9"/>
    <n v="0"/>
    <x v="0"/>
  </r>
  <r>
    <x v="0"/>
    <x v="174"/>
    <x v="10"/>
    <n v="0"/>
    <x v="0"/>
  </r>
  <r>
    <x v="0"/>
    <x v="174"/>
    <x v="11"/>
    <n v="0"/>
    <x v="0"/>
  </r>
  <r>
    <x v="0"/>
    <x v="175"/>
    <x v="0"/>
    <n v="0"/>
    <x v="0"/>
  </r>
  <r>
    <x v="0"/>
    <x v="175"/>
    <x v="1"/>
    <n v="962.08910000000003"/>
    <x v="0"/>
  </r>
  <r>
    <x v="0"/>
    <x v="175"/>
    <x v="2"/>
    <n v="300.42919999999998"/>
    <x v="0"/>
  </r>
  <r>
    <x v="0"/>
    <x v="175"/>
    <x v="3"/>
    <n v="0"/>
    <x v="0"/>
  </r>
  <r>
    <x v="0"/>
    <x v="175"/>
    <x v="4"/>
    <n v="0"/>
    <x v="0"/>
  </r>
  <r>
    <x v="0"/>
    <x v="175"/>
    <x v="5"/>
    <n v="0"/>
    <x v="0"/>
  </r>
  <r>
    <x v="0"/>
    <x v="175"/>
    <x v="6"/>
    <n v="0"/>
    <x v="0"/>
  </r>
  <r>
    <x v="0"/>
    <x v="175"/>
    <x v="7"/>
    <n v="0"/>
    <x v="0"/>
  </r>
  <r>
    <x v="0"/>
    <x v="175"/>
    <x v="8"/>
    <n v="0"/>
    <x v="0"/>
  </r>
  <r>
    <x v="0"/>
    <x v="175"/>
    <x v="9"/>
    <n v="0"/>
    <x v="0"/>
  </r>
  <r>
    <x v="0"/>
    <x v="175"/>
    <x v="10"/>
    <n v="0"/>
    <x v="0"/>
  </r>
  <r>
    <x v="0"/>
    <x v="175"/>
    <x v="11"/>
    <n v="0"/>
    <x v="0"/>
  </r>
  <r>
    <x v="6"/>
    <x v="176"/>
    <x v="0"/>
    <n v="0"/>
    <x v="0"/>
  </r>
  <r>
    <x v="6"/>
    <x v="176"/>
    <x v="1"/>
    <n v="13948.4979"/>
    <x v="0"/>
  </r>
  <r>
    <x v="6"/>
    <x v="176"/>
    <x v="2"/>
    <n v="13948.4979"/>
    <x v="0"/>
  </r>
  <r>
    <x v="6"/>
    <x v="176"/>
    <x v="3"/>
    <n v="13948.4979"/>
    <x v="0"/>
  </r>
  <r>
    <x v="6"/>
    <x v="176"/>
    <x v="4"/>
    <n v="13948.4979"/>
    <x v="0"/>
  </r>
  <r>
    <x v="6"/>
    <x v="176"/>
    <x v="5"/>
    <n v="13948.4979"/>
    <x v="0"/>
  </r>
  <r>
    <x v="6"/>
    <x v="176"/>
    <x v="6"/>
    <n v="13948.4979"/>
    <x v="0"/>
  </r>
  <r>
    <x v="6"/>
    <x v="176"/>
    <x v="7"/>
    <n v="13948.4979"/>
    <x v="0"/>
  </r>
  <r>
    <x v="6"/>
    <x v="176"/>
    <x v="8"/>
    <n v="13948.4979"/>
    <x v="0"/>
  </r>
  <r>
    <x v="6"/>
    <x v="176"/>
    <x v="9"/>
    <n v="0"/>
    <x v="0"/>
  </r>
  <r>
    <x v="6"/>
    <x v="176"/>
    <x v="10"/>
    <n v="0"/>
    <x v="0"/>
  </r>
  <r>
    <x v="6"/>
    <x v="176"/>
    <x v="11"/>
    <n v="0"/>
    <x v="0"/>
  </r>
  <r>
    <x v="0"/>
    <x v="177"/>
    <x v="0"/>
    <n v="0"/>
    <x v="0"/>
  </r>
  <r>
    <x v="0"/>
    <x v="177"/>
    <x v="1"/>
    <n v="15021.459199999999"/>
    <x v="0"/>
  </r>
  <r>
    <x v="0"/>
    <x v="177"/>
    <x v="2"/>
    <n v="15021.459199999999"/>
    <x v="0"/>
  </r>
  <r>
    <x v="0"/>
    <x v="177"/>
    <x v="3"/>
    <n v="15021.459199999999"/>
    <x v="0"/>
  </r>
  <r>
    <x v="0"/>
    <x v="177"/>
    <x v="4"/>
    <n v="15021.459199999999"/>
    <x v="0"/>
  </r>
  <r>
    <x v="0"/>
    <x v="177"/>
    <x v="5"/>
    <n v="15021.459199999999"/>
    <x v="0"/>
  </r>
  <r>
    <x v="0"/>
    <x v="177"/>
    <x v="6"/>
    <n v="15021.459199999999"/>
    <x v="0"/>
  </r>
  <r>
    <x v="0"/>
    <x v="177"/>
    <x v="7"/>
    <n v="15021.459199999999"/>
    <x v="0"/>
  </r>
  <r>
    <x v="0"/>
    <x v="177"/>
    <x v="8"/>
    <n v="15021.459199999999"/>
    <x v="0"/>
  </r>
  <r>
    <x v="0"/>
    <x v="177"/>
    <x v="9"/>
    <n v="0"/>
    <x v="0"/>
  </r>
  <r>
    <x v="0"/>
    <x v="177"/>
    <x v="10"/>
    <n v="0"/>
    <x v="0"/>
  </r>
  <r>
    <x v="0"/>
    <x v="177"/>
    <x v="11"/>
    <n v="0"/>
    <x v="0"/>
  </r>
  <r>
    <x v="0"/>
    <x v="178"/>
    <x v="0"/>
    <n v="0"/>
    <x v="0"/>
  </r>
  <r>
    <x v="0"/>
    <x v="178"/>
    <x v="1"/>
    <n v="0"/>
    <x v="0"/>
  </r>
  <r>
    <x v="0"/>
    <x v="178"/>
    <x v="2"/>
    <n v="0"/>
    <x v="0"/>
  </r>
  <r>
    <x v="0"/>
    <x v="178"/>
    <x v="3"/>
    <n v="0"/>
    <x v="0"/>
  </r>
  <r>
    <x v="0"/>
    <x v="178"/>
    <x v="4"/>
    <n v="0"/>
    <x v="0"/>
  </r>
  <r>
    <x v="0"/>
    <x v="178"/>
    <x v="5"/>
    <n v="0"/>
    <x v="0"/>
  </r>
  <r>
    <x v="0"/>
    <x v="178"/>
    <x v="6"/>
    <n v="0"/>
    <x v="0"/>
  </r>
  <r>
    <x v="0"/>
    <x v="178"/>
    <x v="7"/>
    <n v="0"/>
    <x v="0"/>
  </r>
  <r>
    <x v="0"/>
    <x v="178"/>
    <x v="8"/>
    <n v="697.42489999999998"/>
    <x v="0"/>
  </r>
  <r>
    <x v="0"/>
    <x v="178"/>
    <x v="9"/>
    <n v="0"/>
    <x v="0"/>
  </r>
  <r>
    <x v="0"/>
    <x v="178"/>
    <x v="10"/>
    <n v="0"/>
    <x v="0"/>
  </r>
  <r>
    <x v="0"/>
    <x v="178"/>
    <x v="11"/>
    <n v="1486.0515"/>
    <x v="0"/>
  </r>
  <r>
    <x v="5"/>
    <x v="179"/>
    <x v="0"/>
    <n v="636.5933"/>
    <x v="0"/>
  </r>
  <r>
    <x v="5"/>
    <x v="179"/>
    <x v="1"/>
    <n v="372.87020000000001"/>
    <x v="0"/>
  </r>
  <r>
    <x v="5"/>
    <x v="179"/>
    <x v="2"/>
    <n v="814.75969999999995"/>
    <x v="0"/>
  </r>
  <r>
    <x v="5"/>
    <x v="179"/>
    <x v="3"/>
    <n v="490.75749999999999"/>
    <x v="0"/>
  </r>
  <r>
    <x v="5"/>
    <x v="179"/>
    <x v="4"/>
    <n v="300.52679999999998"/>
    <x v="0"/>
  </r>
  <r>
    <x v="5"/>
    <x v="179"/>
    <x v="5"/>
    <n v="207.65450000000001"/>
    <x v="0"/>
  </r>
  <r>
    <x v="5"/>
    <x v="179"/>
    <x v="6"/>
    <n v="289.14269999999999"/>
    <x v="0"/>
  </r>
  <r>
    <x v="5"/>
    <x v="179"/>
    <x v="7"/>
    <n v="378.25639999999999"/>
    <x v="0"/>
  </r>
  <r>
    <x v="5"/>
    <x v="179"/>
    <x v="8"/>
    <n v="230.00749999999999"/>
    <x v="0"/>
  </r>
  <r>
    <x v="5"/>
    <x v="179"/>
    <x v="9"/>
    <n v="1189.3584000000001"/>
    <x v="0"/>
  </r>
  <r>
    <x v="5"/>
    <x v="179"/>
    <x v="10"/>
    <n v="430.6234"/>
    <x v="0"/>
  </r>
  <r>
    <x v="5"/>
    <x v="179"/>
    <x v="11"/>
    <n v="356.67700000000002"/>
    <x v="0"/>
  </r>
  <r>
    <x v="5"/>
    <x v="180"/>
    <x v="0"/>
    <n v="0"/>
    <x v="0"/>
  </r>
  <r>
    <x v="5"/>
    <x v="180"/>
    <x v="1"/>
    <n v="3960.6052"/>
    <x v="0"/>
  </r>
  <r>
    <x v="5"/>
    <x v="180"/>
    <x v="2"/>
    <n v="1925.7843"/>
    <x v="0"/>
  </r>
  <r>
    <x v="5"/>
    <x v="180"/>
    <x v="3"/>
    <n v="1875.941"/>
    <x v="0"/>
  </r>
  <r>
    <x v="5"/>
    <x v="180"/>
    <x v="4"/>
    <n v="1853.5687"/>
    <x v="0"/>
  </r>
  <r>
    <x v="5"/>
    <x v="180"/>
    <x v="5"/>
    <n v="1767.0494000000001"/>
    <x v="0"/>
  </r>
  <r>
    <x v="5"/>
    <x v="180"/>
    <x v="6"/>
    <n v="1779.5020999999999"/>
    <x v="0"/>
  </r>
  <r>
    <x v="5"/>
    <x v="180"/>
    <x v="7"/>
    <n v="1823.3702000000001"/>
    <x v="0"/>
  </r>
  <r>
    <x v="5"/>
    <x v="180"/>
    <x v="8"/>
    <n v="1829.0354"/>
    <x v="0"/>
  </r>
  <r>
    <x v="5"/>
    <x v="180"/>
    <x v="9"/>
    <n v="1815.7489"/>
    <x v="0"/>
  </r>
  <r>
    <x v="5"/>
    <x v="180"/>
    <x v="10"/>
    <n v="1825.3820000000001"/>
    <x v="0"/>
  </r>
  <r>
    <x v="5"/>
    <x v="180"/>
    <x v="11"/>
    <n v="1854.0858000000001"/>
    <x v="0"/>
  </r>
  <r>
    <x v="5"/>
    <x v="181"/>
    <x v="0"/>
    <n v="107.2961"/>
    <x v="0"/>
  </r>
  <r>
    <x v="5"/>
    <x v="181"/>
    <x v="1"/>
    <n v="269.66309999999999"/>
    <x v="0"/>
  </r>
  <r>
    <x v="5"/>
    <x v="181"/>
    <x v="2"/>
    <n v="330.09550000000002"/>
    <x v="0"/>
  </r>
  <r>
    <x v="5"/>
    <x v="181"/>
    <x v="3"/>
    <n v="424.7328"/>
    <x v="0"/>
  </r>
  <r>
    <x v="5"/>
    <x v="181"/>
    <x v="4"/>
    <n v="152.38200000000001"/>
    <x v="0"/>
  </r>
  <r>
    <x v="5"/>
    <x v="181"/>
    <x v="5"/>
    <n v="363.3777"/>
    <x v="0"/>
  </r>
  <r>
    <x v="5"/>
    <x v="181"/>
    <x v="6"/>
    <n v="329.37979999999999"/>
    <x v="0"/>
  </r>
  <r>
    <x v="5"/>
    <x v="181"/>
    <x v="7"/>
    <n v="163.34549999999999"/>
    <x v="0"/>
  </r>
  <r>
    <x v="5"/>
    <x v="181"/>
    <x v="8"/>
    <n v="161.20169999999999"/>
    <x v="0"/>
  </r>
  <r>
    <x v="5"/>
    <x v="181"/>
    <x v="9"/>
    <n v="420.39699999999999"/>
    <x v="0"/>
  </r>
  <r>
    <x v="5"/>
    <x v="181"/>
    <x v="10"/>
    <n v="285.07510000000002"/>
    <x v="0"/>
  </r>
  <r>
    <x v="5"/>
    <x v="181"/>
    <x v="11"/>
    <n v="239.9571"/>
    <x v="0"/>
  </r>
  <r>
    <x v="5"/>
    <x v="182"/>
    <x v="0"/>
    <n v="0"/>
    <x v="0"/>
  </r>
  <r>
    <x v="5"/>
    <x v="182"/>
    <x v="1"/>
    <n v="487.53969999999998"/>
    <x v="0"/>
  </r>
  <r>
    <x v="5"/>
    <x v="182"/>
    <x v="2"/>
    <n v="516.90880000000004"/>
    <x v="0"/>
  </r>
  <r>
    <x v="5"/>
    <x v="182"/>
    <x v="3"/>
    <n v="1007.8733999999999"/>
    <x v="0"/>
  </r>
  <r>
    <x v="5"/>
    <x v="182"/>
    <x v="4"/>
    <n v="0"/>
    <x v="0"/>
  </r>
  <r>
    <x v="5"/>
    <x v="182"/>
    <x v="5"/>
    <n v="0"/>
    <x v="0"/>
  </r>
  <r>
    <x v="5"/>
    <x v="182"/>
    <x v="6"/>
    <n v="1217.5912000000001"/>
    <x v="0"/>
  </r>
  <r>
    <x v="5"/>
    <x v="182"/>
    <x v="7"/>
    <n v="617.81219999999996"/>
    <x v="0"/>
  </r>
  <r>
    <x v="5"/>
    <x v="182"/>
    <x v="8"/>
    <n v="0"/>
    <x v="0"/>
  </r>
  <r>
    <x v="5"/>
    <x v="182"/>
    <x v="9"/>
    <n v="1170.1502"/>
    <x v="0"/>
  </r>
  <r>
    <x v="5"/>
    <x v="182"/>
    <x v="10"/>
    <n v="0"/>
    <x v="0"/>
  </r>
  <r>
    <x v="5"/>
    <x v="182"/>
    <x v="11"/>
    <n v="571.74570000000006"/>
    <x v="0"/>
  </r>
  <r>
    <x v="5"/>
    <x v="183"/>
    <x v="0"/>
    <n v="0"/>
    <x v="0"/>
  </r>
  <r>
    <x v="5"/>
    <x v="183"/>
    <x v="1"/>
    <n v="122.2758"/>
    <x v="0"/>
  </r>
  <r>
    <x v="5"/>
    <x v="183"/>
    <x v="2"/>
    <n v="122.7586"/>
    <x v="0"/>
  </r>
  <r>
    <x v="5"/>
    <x v="183"/>
    <x v="3"/>
    <n v="244.5515"/>
    <x v="0"/>
  </r>
  <r>
    <x v="5"/>
    <x v="183"/>
    <x v="4"/>
    <n v="122.2758"/>
    <x v="0"/>
  </r>
  <r>
    <x v="5"/>
    <x v="183"/>
    <x v="5"/>
    <n v="0"/>
    <x v="0"/>
  </r>
  <r>
    <x v="5"/>
    <x v="183"/>
    <x v="6"/>
    <n v="245.0343"/>
    <x v="0"/>
  </r>
  <r>
    <x v="5"/>
    <x v="183"/>
    <x v="7"/>
    <n v="122.2758"/>
    <x v="0"/>
  </r>
  <r>
    <x v="5"/>
    <x v="183"/>
    <x v="8"/>
    <n v="0"/>
    <x v="0"/>
  </r>
  <r>
    <x v="5"/>
    <x v="183"/>
    <x v="9"/>
    <n v="287.3852"/>
    <x v="0"/>
  </r>
  <r>
    <x v="5"/>
    <x v="183"/>
    <x v="10"/>
    <n v="122.2758"/>
    <x v="0"/>
  </r>
  <r>
    <x v="5"/>
    <x v="183"/>
    <x v="11"/>
    <n v="0"/>
    <x v="0"/>
  </r>
  <r>
    <x v="5"/>
    <x v="184"/>
    <x v="0"/>
    <n v="0"/>
    <x v="0"/>
  </r>
  <r>
    <x v="5"/>
    <x v="184"/>
    <x v="1"/>
    <n v="197.71889999999999"/>
    <x v="0"/>
  </r>
  <r>
    <x v="5"/>
    <x v="184"/>
    <x v="2"/>
    <n v="186.2972"/>
    <x v="0"/>
  </r>
  <r>
    <x v="5"/>
    <x v="184"/>
    <x v="3"/>
    <n v="376.32400000000001"/>
    <x v="0"/>
  </r>
  <r>
    <x v="5"/>
    <x v="184"/>
    <x v="4"/>
    <n v="217.05690000000001"/>
    <x v="0"/>
  </r>
  <r>
    <x v="5"/>
    <x v="184"/>
    <x v="5"/>
    <n v="0"/>
    <x v="0"/>
  </r>
  <r>
    <x v="5"/>
    <x v="184"/>
    <x v="6"/>
    <n v="380.07729999999998"/>
    <x v="0"/>
  </r>
  <r>
    <x v="5"/>
    <x v="184"/>
    <x v="7"/>
    <n v="328.68239999999997"/>
    <x v="0"/>
  </r>
  <r>
    <x v="5"/>
    <x v="184"/>
    <x v="8"/>
    <n v="0"/>
    <x v="0"/>
  </r>
  <r>
    <x v="5"/>
    <x v="184"/>
    <x v="9"/>
    <n v="191.13839999999999"/>
    <x v="0"/>
  </r>
  <r>
    <x v="5"/>
    <x v="184"/>
    <x v="10"/>
    <n v="191.7715"/>
    <x v="0"/>
  </r>
  <r>
    <x v="5"/>
    <x v="184"/>
    <x v="11"/>
    <n v="0.72850000000000004"/>
    <x v="0"/>
  </r>
  <r>
    <x v="5"/>
    <x v="185"/>
    <x v="0"/>
    <n v="0"/>
    <x v="0"/>
  </r>
  <r>
    <x v="5"/>
    <x v="185"/>
    <x v="1"/>
    <n v="705.38300000000004"/>
    <x v="0"/>
  </r>
  <r>
    <x v="5"/>
    <x v="185"/>
    <x v="2"/>
    <n v="116.3895"/>
    <x v="0"/>
  </r>
  <r>
    <x v="5"/>
    <x v="185"/>
    <x v="3"/>
    <n v="0"/>
    <x v="0"/>
  </r>
  <r>
    <x v="5"/>
    <x v="185"/>
    <x v="4"/>
    <n v="0"/>
    <x v="0"/>
  </r>
  <r>
    <x v="5"/>
    <x v="185"/>
    <x v="5"/>
    <n v="0"/>
    <x v="0"/>
  </r>
  <r>
    <x v="5"/>
    <x v="185"/>
    <x v="6"/>
    <n v="153.28649999999999"/>
    <x v="0"/>
  </r>
  <r>
    <x v="5"/>
    <x v="185"/>
    <x v="7"/>
    <n v="0"/>
    <x v="0"/>
  </r>
  <r>
    <x v="5"/>
    <x v="185"/>
    <x v="8"/>
    <n v="0"/>
    <x v="0"/>
  </r>
  <r>
    <x v="5"/>
    <x v="185"/>
    <x v="9"/>
    <n v="109.5676"/>
    <x v="0"/>
  </r>
  <r>
    <x v="5"/>
    <x v="185"/>
    <x v="10"/>
    <n v="0"/>
    <x v="0"/>
  </r>
  <r>
    <x v="5"/>
    <x v="185"/>
    <x v="11"/>
    <n v="0"/>
    <x v="0"/>
  </r>
  <r>
    <x v="5"/>
    <x v="186"/>
    <x v="0"/>
    <n v="0"/>
    <x v="0"/>
  </r>
  <r>
    <x v="5"/>
    <x v="186"/>
    <x v="1"/>
    <n v="1639.309"/>
    <x v="0"/>
  </r>
  <r>
    <x v="5"/>
    <x v="186"/>
    <x v="2"/>
    <n v="829.67920000000004"/>
    <x v="0"/>
  </r>
  <r>
    <x v="5"/>
    <x v="186"/>
    <x v="3"/>
    <n v="834.74459999999999"/>
    <x v="0"/>
  </r>
  <r>
    <x v="5"/>
    <x v="186"/>
    <x v="4"/>
    <n v="847.45060000000001"/>
    <x v="0"/>
  </r>
  <r>
    <x v="5"/>
    <x v="186"/>
    <x v="5"/>
    <n v="841.029"/>
    <x v="0"/>
  </r>
  <r>
    <x v="5"/>
    <x v="186"/>
    <x v="6"/>
    <n v="842.69740000000002"/>
    <x v="0"/>
  </r>
  <r>
    <x v="5"/>
    <x v="186"/>
    <x v="7"/>
    <n v="840.64269999999999"/>
    <x v="0"/>
  </r>
  <r>
    <x v="5"/>
    <x v="186"/>
    <x v="8"/>
    <n v="845.37450000000001"/>
    <x v="0"/>
  </r>
  <r>
    <x v="5"/>
    <x v="186"/>
    <x v="9"/>
    <n v="847.33150000000001"/>
    <x v="0"/>
  </r>
  <r>
    <x v="5"/>
    <x v="186"/>
    <x v="10"/>
    <n v="849.84439999999995"/>
    <x v="0"/>
  </r>
  <r>
    <x v="5"/>
    <x v="186"/>
    <x v="11"/>
    <n v="850.721"/>
    <x v="0"/>
  </r>
  <r>
    <x v="5"/>
    <x v="187"/>
    <x v="0"/>
    <n v="0"/>
    <x v="0"/>
  </r>
  <r>
    <x v="5"/>
    <x v="187"/>
    <x v="1"/>
    <n v="0"/>
    <x v="0"/>
  </r>
  <r>
    <x v="5"/>
    <x v="187"/>
    <x v="2"/>
    <n v="0"/>
    <x v="0"/>
  </r>
  <r>
    <x v="5"/>
    <x v="187"/>
    <x v="3"/>
    <n v="0"/>
    <x v="0"/>
  </r>
  <r>
    <x v="5"/>
    <x v="187"/>
    <x v="4"/>
    <n v="0"/>
    <x v="0"/>
  </r>
  <r>
    <x v="5"/>
    <x v="187"/>
    <x v="5"/>
    <n v="420.3519"/>
    <x v="0"/>
  </r>
  <r>
    <x v="5"/>
    <x v="187"/>
    <x v="6"/>
    <n v="0"/>
    <x v="0"/>
  </r>
  <r>
    <x v="5"/>
    <x v="187"/>
    <x v="7"/>
    <n v="421.1019"/>
    <x v="0"/>
  </r>
  <r>
    <x v="5"/>
    <x v="187"/>
    <x v="8"/>
    <n v="0"/>
    <x v="0"/>
  </r>
  <r>
    <x v="5"/>
    <x v="187"/>
    <x v="9"/>
    <n v="233.44739999999999"/>
    <x v="0"/>
  </r>
  <r>
    <x v="5"/>
    <x v="187"/>
    <x v="10"/>
    <n v="0"/>
    <x v="0"/>
  </r>
  <r>
    <x v="5"/>
    <x v="187"/>
    <x v="11"/>
    <n v="0"/>
    <x v="0"/>
  </r>
  <r>
    <x v="5"/>
    <x v="188"/>
    <x v="0"/>
    <n v="1521.0408"/>
    <x v="0"/>
  </r>
  <r>
    <x v="5"/>
    <x v="188"/>
    <x v="1"/>
    <n v="1420.8154999999999"/>
    <x v="0"/>
  </r>
  <r>
    <x v="5"/>
    <x v="188"/>
    <x v="2"/>
    <n v="1436.4453000000001"/>
    <x v="0"/>
  </r>
  <r>
    <x v="5"/>
    <x v="188"/>
    <x v="3"/>
    <n v="1442.1921"/>
    <x v="0"/>
  </r>
  <r>
    <x v="5"/>
    <x v="188"/>
    <x v="4"/>
    <n v="1987.4753000000001"/>
    <x v="0"/>
  </r>
  <r>
    <x v="5"/>
    <x v="188"/>
    <x v="5"/>
    <n v="2174.6685000000002"/>
    <x v="0"/>
  </r>
  <r>
    <x v="5"/>
    <x v="188"/>
    <x v="6"/>
    <n v="2178.9828000000002"/>
    <x v="0"/>
  </r>
  <r>
    <x v="5"/>
    <x v="188"/>
    <x v="7"/>
    <n v="2045.1641999999999"/>
    <x v="0"/>
  </r>
  <r>
    <x v="5"/>
    <x v="188"/>
    <x v="8"/>
    <n v="2177.8197"/>
    <x v="0"/>
  </r>
  <r>
    <x v="5"/>
    <x v="188"/>
    <x v="9"/>
    <n v="2626.3820000000001"/>
    <x v="0"/>
  </r>
  <r>
    <x v="5"/>
    <x v="188"/>
    <x v="10"/>
    <n v="2546.8841000000002"/>
    <x v="0"/>
  </r>
  <r>
    <x v="5"/>
    <x v="188"/>
    <x v="11"/>
    <n v="2550"/>
    <x v="0"/>
  </r>
  <r>
    <x v="5"/>
    <x v="189"/>
    <x v="0"/>
    <n v="0"/>
    <x v="0"/>
  </r>
  <r>
    <x v="5"/>
    <x v="189"/>
    <x v="1"/>
    <n v="396.56650000000002"/>
    <x v="0"/>
  </r>
  <r>
    <x v="5"/>
    <x v="189"/>
    <x v="2"/>
    <n v="198.2833"/>
    <x v="0"/>
  </r>
  <r>
    <x v="5"/>
    <x v="189"/>
    <x v="3"/>
    <n v="198.2833"/>
    <x v="0"/>
  </r>
  <r>
    <x v="5"/>
    <x v="189"/>
    <x v="4"/>
    <n v="198.2833"/>
    <x v="0"/>
  </r>
  <r>
    <x v="5"/>
    <x v="189"/>
    <x v="5"/>
    <n v="198.2833"/>
    <x v="0"/>
  </r>
  <r>
    <x v="5"/>
    <x v="189"/>
    <x v="6"/>
    <n v="198.2833"/>
    <x v="0"/>
  </r>
  <r>
    <x v="5"/>
    <x v="189"/>
    <x v="7"/>
    <n v="198.2833"/>
    <x v="0"/>
  </r>
  <r>
    <x v="5"/>
    <x v="189"/>
    <x v="8"/>
    <n v="198.2833"/>
    <x v="0"/>
  </r>
  <r>
    <x v="5"/>
    <x v="189"/>
    <x v="9"/>
    <n v="198.2833"/>
    <x v="0"/>
  </r>
  <r>
    <x v="5"/>
    <x v="189"/>
    <x v="10"/>
    <n v="198.2833"/>
    <x v="0"/>
  </r>
  <r>
    <x v="5"/>
    <x v="189"/>
    <x v="11"/>
    <n v="198.2833"/>
    <x v="0"/>
  </r>
  <r>
    <x v="5"/>
    <x v="190"/>
    <x v="0"/>
    <n v="0"/>
    <x v="0"/>
  </r>
  <r>
    <x v="5"/>
    <x v="190"/>
    <x v="1"/>
    <n v="1427.8240000000001"/>
    <x v="0"/>
  </r>
  <r>
    <x v="5"/>
    <x v="190"/>
    <x v="2"/>
    <n v="236.4571"/>
    <x v="0"/>
  </r>
  <r>
    <x v="5"/>
    <x v="190"/>
    <x v="3"/>
    <n v="196.1996"/>
    <x v="0"/>
  </r>
  <r>
    <x v="5"/>
    <x v="190"/>
    <x v="4"/>
    <n v="240.12549999999999"/>
    <x v="0"/>
  </r>
  <r>
    <x v="5"/>
    <x v="190"/>
    <x v="5"/>
    <n v="227.42920000000001"/>
    <x v="0"/>
  </r>
  <r>
    <x v="5"/>
    <x v="190"/>
    <x v="6"/>
    <n v="289.87880000000001"/>
    <x v="0"/>
  </r>
  <r>
    <x v="5"/>
    <x v="190"/>
    <x v="7"/>
    <n v="326.64909999999998"/>
    <x v="0"/>
  </r>
  <r>
    <x v="5"/>
    <x v="190"/>
    <x v="8"/>
    <n v="232.8133"/>
    <x v="0"/>
  </r>
  <r>
    <x v="5"/>
    <x v="190"/>
    <x v="9"/>
    <n v="260.39909999999998"/>
    <x v="0"/>
  </r>
  <r>
    <x v="5"/>
    <x v="190"/>
    <x v="10"/>
    <n v="299.78859999999997"/>
    <x v="0"/>
  </r>
  <r>
    <x v="5"/>
    <x v="190"/>
    <x v="11"/>
    <n v="489.66419999999999"/>
    <x v="0"/>
  </r>
  <r>
    <x v="5"/>
    <x v="191"/>
    <x v="0"/>
    <n v="295.39699999999999"/>
    <x v="0"/>
  </r>
  <r>
    <x v="5"/>
    <x v="191"/>
    <x v="1"/>
    <n v="295.39699999999999"/>
    <x v="0"/>
  </r>
  <r>
    <x v="5"/>
    <x v="191"/>
    <x v="2"/>
    <n v="488.04719999999998"/>
    <x v="0"/>
  </r>
  <r>
    <x v="5"/>
    <x v="191"/>
    <x v="3"/>
    <n v="295.39699999999999"/>
    <x v="0"/>
  </r>
  <r>
    <x v="5"/>
    <x v="191"/>
    <x v="4"/>
    <n v="295.39699999999999"/>
    <x v="0"/>
  </r>
  <r>
    <x v="5"/>
    <x v="191"/>
    <x v="5"/>
    <n v="295.39699999999999"/>
    <x v="0"/>
  </r>
  <r>
    <x v="5"/>
    <x v="191"/>
    <x v="6"/>
    <n v="295.39699999999999"/>
    <x v="0"/>
  </r>
  <r>
    <x v="5"/>
    <x v="191"/>
    <x v="7"/>
    <n v="295.39699999999999"/>
    <x v="0"/>
  </r>
  <r>
    <x v="5"/>
    <x v="191"/>
    <x v="8"/>
    <n v="295.39699999999999"/>
    <x v="0"/>
  </r>
  <r>
    <x v="5"/>
    <x v="191"/>
    <x v="9"/>
    <n v="295.39699999999999"/>
    <x v="0"/>
  </r>
  <r>
    <x v="5"/>
    <x v="191"/>
    <x v="10"/>
    <n v="0"/>
    <x v="0"/>
  </r>
  <r>
    <x v="5"/>
    <x v="191"/>
    <x v="11"/>
    <n v="0"/>
    <x v="0"/>
  </r>
  <r>
    <x v="5"/>
    <x v="192"/>
    <x v="0"/>
    <n v="0"/>
    <x v="0"/>
  </r>
  <r>
    <x v="5"/>
    <x v="192"/>
    <x v="1"/>
    <n v="1647.9861000000001"/>
    <x v="0"/>
  </r>
  <r>
    <x v="5"/>
    <x v="192"/>
    <x v="2"/>
    <n v="622.74570000000006"/>
    <x v="0"/>
  </r>
  <r>
    <x v="5"/>
    <x v="192"/>
    <x v="3"/>
    <n v="656.6105"/>
    <x v="0"/>
  </r>
  <r>
    <x v="5"/>
    <x v="192"/>
    <x v="4"/>
    <n v="629.41849999999999"/>
    <x v="0"/>
  </r>
  <r>
    <x v="5"/>
    <x v="192"/>
    <x v="5"/>
    <n v="630.81219999999996"/>
    <x v="0"/>
  </r>
  <r>
    <x v="5"/>
    <x v="192"/>
    <x v="6"/>
    <n v="632.02250000000004"/>
    <x v="0"/>
  </r>
  <r>
    <x v="5"/>
    <x v="192"/>
    <x v="7"/>
    <n v="630.48180000000002"/>
    <x v="0"/>
  </r>
  <r>
    <x v="5"/>
    <x v="192"/>
    <x v="8"/>
    <n v="634.03"/>
    <x v="0"/>
  </r>
  <r>
    <x v="5"/>
    <x v="192"/>
    <x v="9"/>
    <n v="635.49789999999996"/>
    <x v="0"/>
  </r>
  <r>
    <x v="5"/>
    <x v="192"/>
    <x v="10"/>
    <n v="637.30150000000003"/>
    <x v="0"/>
  </r>
  <r>
    <x v="5"/>
    <x v="192"/>
    <x v="11"/>
    <n v="638.03970000000004"/>
    <x v="0"/>
  </r>
  <r>
    <x v="5"/>
    <x v="193"/>
    <x v="0"/>
    <n v="501.07190000000003"/>
    <x v="0"/>
  </r>
  <r>
    <x v="5"/>
    <x v="193"/>
    <x v="1"/>
    <n v="500.69310000000002"/>
    <x v="0"/>
  </r>
  <r>
    <x v="5"/>
    <x v="193"/>
    <x v="2"/>
    <n v="505.73820000000001"/>
    <x v="0"/>
  </r>
  <r>
    <x v="5"/>
    <x v="193"/>
    <x v="3"/>
    <n v="744.94420000000002"/>
    <x v="0"/>
  </r>
  <r>
    <x v="5"/>
    <x v="193"/>
    <x v="4"/>
    <n v="666.83910000000003"/>
    <x v="0"/>
  </r>
  <r>
    <x v="5"/>
    <x v="193"/>
    <x v="5"/>
    <n v="611.28110000000004"/>
    <x v="0"/>
  </r>
  <r>
    <x v="5"/>
    <x v="193"/>
    <x v="6"/>
    <n v="574.82190000000003"/>
    <x v="0"/>
  </r>
  <r>
    <x v="5"/>
    <x v="193"/>
    <x v="7"/>
    <n v="655.94849999999997"/>
    <x v="0"/>
  </r>
  <r>
    <x v="5"/>
    <x v="193"/>
    <x v="8"/>
    <n v="640.79179999999997"/>
    <x v="0"/>
  </r>
  <r>
    <x v="5"/>
    <x v="193"/>
    <x v="9"/>
    <n v="615.90020000000004"/>
    <x v="0"/>
  </r>
  <r>
    <x v="5"/>
    <x v="193"/>
    <x v="10"/>
    <n v="617.96349999999995"/>
    <x v="0"/>
  </r>
  <r>
    <x v="5"/>
    <x v="193"/>
    <x v="11"/>
    <n v="618.04510000000005"/>
    <x v="0"/>
  </r>
  <r>
    <x v="5"/>
    <x v="194"/>
    <x v="0"/>
    <n v="0"/>
    <x v="0"/>
  </r>
  <r>
    <x v="5"/>
    <x v="194"/>
    <x v="1"/>
    <n v="588.93669999999997"/>
    <x v="0"/>
  </r>
  <r>
    <x v="5"/>
    <x v="194"/>
    <x v="2"/>
    <n v="300.05470000000003"/>
    <x v="0"/>
  </r>
  <r>
    <x v="5"/>
    <x v="194"/>
    <x v="3"/>
    <n v="300.05360000000002"/>
    <x v="0"/>
  </r>
  <r>
    <x v="5"/>
    <x v="194"/>
    <x v="4"/>
    <n v="300.05470000000003"/>
    <x v="0"/>
  </r>
  <r>
    <x v="5"/>
    <x v="194"/>
    <x v="5"/>
    <n v="300.05470000000003"/>
    <x v="0"/>
  </r>
  <r>
    <x v="5"/>
    <x v="194"/>
    <x v="6"/>
    <n v="300.05470000000003"/>
    <x v="0"/>
  </r>
  <r>
    <x v="5"/>
    <x v="194"/>
    <x v="7"/>
    <n v="300.05470000000003"/>
    <x v="0"/>
  </r>
  <r>
    <x v="5"/>
    <x v="194"/>
    <x v="8"/>
    <n v="300.05470000000003"/>
    <x v="0"/>
  </r>
  <r>
    <x v="5"/>
    <x v="194"/>
    <x v="9"/>
    <n v="300.05470000000003"/>
    <x v="0"/>
  </r>
  <r>
    <x v="5"/>
    <x v="194"/>
    <x v="10"/>
    <n v="300.05360000000002"/>
    <x v="0"/>
  </r>
  <r>
    <x v="5"/>
    <x v="194"/>
    <x v="11"/>
    <n v="300.05360000000002"/>
    <x v="0"/>
  </r>
  <r>
    <x v="5"/>
    <x v="195"/>
    <x v="0"/>
    <n v="0"/>
    <x v="0"/>
  </r>
  <r>
    <x v="5"/>
    <x v="195"/>
    <x v="1"/>
    <n v="0"/>
    <x v="0"/>
  </r>
  <r>
    <x v="5"/>
    <x v="195"/>
    <x v="2"/>
    <n v="150.6652"/>
    <x v="0"/>
  </r>
  <r>
    <x v="5"/>
    <x v="195"/>
    <x v="3"/>
    <n v="150.6652"/>
    <x v="0"/>
  </r>
  <r>
    <x v="5"/>
    <x v="195"/>
    <x v="4"/>
    <n v="143.0043"/>
    <x v="0"/>
  </r>
  <r>
    <x v="5"/>
    <x v="195"/>
    <x v="5"/>
    <n v="0"/>
    <x v="0"/>
  </r>
  <r>
    <x v="5"/>
    <x v="195"/>
    <x v="6"/>
    <n v="0"/>
    <x v="0"/>
  </r>
  <r>
    <x v="5"/>
    <x v="195"/>
    <x v="7"/>
    <n v="150.6652"/>
    <x v="0"/>
  </r>
  <r>
    <x v="5"/>
    <x v="195"/>
    <x v="8"/>
    <n v="0"/>
    <x v="0"/>
  </r>
  <r>
    <x v="5"/>
    <x v="195"/>
    <x v="9"/>
    <n v="0"/>
    <x v="0"/>
  </r>
  <r>
    <x v="5"/>
    <x v="195"/>
    <x v="10"/>
    <n v="0"/>
    <x v="0"/>
  </r>
  <r>
    <x v="5"/>
    <x v="195"/>
    <x v="11"/>
    <n v="0"/>
    <x v="0"/>
  </r>
  <r>
    <x v="5"/>
    <x v="196"/>
    <x v="0"/>
    <n v="422.01819999999998"/>
    <x v="0"/>
  </r>
  <r>
    <x v="5"/>
    <x v="196"/>
    <x v="1"/>
    <n v="0"/>
    <x v="0"/>
  </r>
  <r>
    <x v="5"/>
    <x v="196"/>
    <x v="2"/>
    <n v="0"/>
    <x v="0"/>
  </r>
  <r>
    <x v="5"/>
    <x v="196"/>
    <x v="3"/>
    <n v="0"/>
    <x v="0"/>
  </r>
  <r>
    <x v="5"/>
    <x v="196"/>
    <x v="4"/>
    <n v="0"/>
    <x v="0"/>
  </r>
  <r>
    <x v="5"/>
    <x v="196"/>
    <x v="5"/>
    <n v="0"/>
    <x v="0"/>
  </r>
  <r>
    <x v="5"/>
    <x v="196"/>
    <x v="6"/>
    <n v="0"/>
    <x v="0"/>
  </r>
  <r>
    <x v="5"/>
    <x v="196"/>
    <x v="7"/>
    <n v="0"/>
    <x v="0"/>
  </r>
  <r>
    <x v="5"/>
    <x v="196"/>
    <x v="8"/>
    <n v="0"/>
    <x v="0"/>
  </r>
  <r>
    <x v="5"/>
    <x v="196"/>
    <x v="9"/>
    <n v="0"/>
    <x v="0"/>
  </r>
  <r>
    <x v="5"/>
    <x v="196"/>
    <x v="10"/>
    <n v="0"/>
    <x v="0"/>
  </r>
  <r>
    <x v="5"/>
    <x v="196"/>
    <x v="11"/>
    <n v="0"/>
    <x v="0"/>
  </r>
  <r>
    <x v="5"/>
    <x v="197"/>
    <x v="0"/>
    <n v="0"/>
    <x v="0"/>
  </r>
  <r>
    <x v="5"/>
    <x v="197"/>
    <x v="1"/>
    <n v="247.6652"/>
    <x v="0"/>
  </r>
  <r>
    <x v="5"/>
    <x v="197"/>
    <x v="2"/>
    <n v="0"/>
    <x v="0"/>
  </r>
  <r>
    <x v="5"/>
    <x v="197"/>
    <x v="3"/>
    <n v="0"/>
    <x v="0"/>
  </r>
  <r>
    <x v="5"/>
    <x v="197"/>
    <x v="4"/>
    <n v="0"/>
    <x v="0"/>
  </r>
  <r>
    <x v="5"/>
    <x v="197"/>
    <x v="5"/>
    <n v="0"/>
    <x v="0"/>
  </r>
  <r>
    <x v="5"/>
    <x v="197"/>
    <x v="6"/>
    <n v="0"/>
    <x v="0"/>
  </r>
  <r>
    <x v="5"/>
    <x v="197"/>
    <x v="7"/>
    <n v="0"/>
    <x v="0"/>
  </r>
  <r>
    <x v="5"/>
    <x v="197"/>
    <x v="8"/>
    <n v="0"/>
    <x v="0"/>
  </r>
  <r>
    <x v="5"/>
    <x v="197"/>
    <x v="9"/>
    <n v="0"/>
    <x v="0"/>
  </r>
  <r>
    <x v="5"/>
    <x v="197"/>
    <x v="10"/>
    <n v="0"/>
    <x v="0"/>
  </r>
  <r>
    <x v="5"/>
    <x v="197"/>
    <x v="11"/>
    <n v="0"/>
    <x v="0"/>
  </r>
  <r>
    <x v="5"/>
    <x v="198"/>
    <x v="0"/>
    <n v="457.26609999999999"/>
    <x v="0"/>
  </r>
  <r>
    <x v="5"/>
    <x v="198"/>
    <x v="1"/>
    <n v="0"/>
    <x v="0"/>
  </r>
  <r>
    <x v="5"/>
    <x v="198"/>
    <x v="2"/>
    <n v="0"/>
    <x v="0"/>
  </r>
  <r>
    <x v="5"/>
    <x v="198"/>
    <x v="3"/>
    <n v="0"/>
    <x v="0"/>
  </r>
  <r>
    <x v="5"/>
    <x v="198"/>
    <x v="4"/>
    <n v="0"/>
    <x v="0"/>
  </r>
  <r>
    <x v="5"/>
    <x v="198"/>
    <x v="5"/>
    <n v="0"/>
    <x v="0"/>
  </r>
  <r>
    <x v="5"/>
    <x v="198"/>
    <x v="6"/>
    <n v="577.03539999999998"/>
    <x v="0"/>
  </r>
  <r>
    <x v="5"/>
    <x v="198"/>
    <x v="7"/>
    <n v="0"/>
    <x v="0"/>
  </r>
  <r>
    <x v="5"/>
    <x v="198"/>
    <x v="8"/>
    <n v="0"/>
    <x v="0"/>
  </r>
  <r>
    <x v="5"/>
    <x v="198"/>
    <x v="9"/>
    <n v="0"/>
    <x v="0"/>
  </r>
  <r>
    <x v="5"/>
    <x v="198"/>
    <x v="10"/>
    <n v="0"/>
    <x v="0"/>
  </r>
  <r>
    <x v="5"/>
    <x v="198"/>
    <x v="11"/>
    <n v="0"/>
    <x v="0"/>
  </r>
  <r>
    <x v="5"/>
    <x v="199"/>
    <x v="0"/>
    <n v="0"/>
    <x v="0"/>
  </r>
  <r>
    <x v="5"/>
    <x v="199"/>
    <x v="1"/>
    <n v="0"/>
    <x v="0"/>
  </r>
  <r>
    <x v="5"/>
    <x v="199"/>
    <x v="2"/>
    <n v="0"/>
    <x v="0"/>
  </r>
  <r>
    <x v="5"/>
    <x v="199"/>
    <x v="3"/>
    <n v="2378.3723"/>
    <x v="0"/>
  </r>
  <r>
    <x v="5"/>
    <x v="199"/>
    <x v="4"/>
    <n v="0"/>
    <x v="0"/>
  </r>
  <r>
    <x v="5"/>
    <x v="199"/>
    <x v="5"/>
    <n v="2378.3723"/>
    <x v="0"/>
  </r>
  <r>
    <x v="5"/>
    <x v="199"/>
    <x v="6"/>
    <n v="0"/>
    <x v="0"/>
  </r>
  <r>
    <x v="5"/>
    <x v="199"/>
    <x v="7"/>
    <n v="0"/>
    <x v="0"/>
  </r>
  <r>
    <x v="5"/>
    <x v="199"/>
    <x v="8"/>
    <n v="2423.5632999999998"/>
    <x v="0"/>
  </r>
  <r>
    <x v="5"/>
    <x v="199"/>
    <x v="9"/>
    <n v="99.094399999999993"/>
    <x v="0"/>
  </r>
  <r>
    <x v="5"/>
    <x v="199"/>
    <x v="10"/>
    <n v="2423.5632999999998"/>
    <x v="0"/>
  </r>
  <r>
    <x v="5"/>
    <x v="199"/>
    <x v="11"/>
    <n v="0"/>
    <x v="0"/>
  </r>
  <r>
    <x v="5"/>
    <x v="200"/>
    <x v="0"/>
    <n v="0"/>
    <x v="0"/>
  </r>
  <r>
    <x v="5"/>
    <x v="200"/>
    <x v="1"/>
    <n v="1348.6459"/>
    <x v="0"/>
  </r>
  <r>
    <x v="5"/>
    <x v="200"/>
    <x v="2"/>
    <n v="1348.6459"/>
    <x v="0"/>
  </r>
  <r>
    <x v="5"/>
    <x v="200"/>
    <x v="3"/>
    <n v="0"/>
    <x v="0"/>
  </r>
  <r>
    <x v="5"/>
    <x v="200"/>
    <x v="4"/>
    <n v="0"/>
    <x v="0"/>
  </r>
  <r>
    <x v="5"/>
    <x v="200"/>
    <x v="5"/>
    <n v="0"/>
    <x v="0"/>
  </r>
  <r>
    <x v="5"/>
    <x v="200"/>
    <x v="6"/>
    <n v="0"/>
    <x v="0"/>
  </r>
  <r>
    <x v="5"/>
    <x v="200"/>
    <x v="7"/>
    <n v="3527.2275"/>
    <x v="0"/>
  </r>
  <r>
    <x v="5"/>
    <x v="200"/>
    <x v="8"/>
    <n v="0"/>
    <x v="0"/>
  </r>
  <r>
    <x v="5"/>
    <x v="200"/>
    <x v="9"/>
    <n v="0"/>
    <x v="0"/>
  </r>
  <r>
    <x v="5"/>
    <x v="200"/>
    <x v="10"/>
    <n v="0"/>
    <x v="0"/>
  </r>
  <r>
    <x v="5"/>
    <x v="200"/>
    <x v="11"/>
    <n v="0"/>
    <x v="0"/>
  </r>
  <r>
    <x v="5"/>
    <x v="201"/>
    <x v="0"/>
    <n v="0"/>
    <x v="0"/>
  </r>
  <r>
    <x v="5"/>
    <x v="201"/>
    <x v="1"/>
    <n v="0"/>
    <x v="0"/>
  </r>
  <r>
    <x v="5"/>
    <x v="201"/>
    <x v="2"/>
    <n v="0"/>
    <x v="0"/>
  </r>
  <r>
    <x v="5"/>
    <x v="201"/>
    <x v="3"/>
    <n v="0"/>
    <x v="0"/>
  </r>
  <r>
    <x v="5"/>
    <x v="201"/>
    <x v="4"/>
    <n v="0"/>
    <x v="0"/>
  </r>
  <r>
    <x v="5"/>
    <x v="201"/>
    <x v="5"/>
    <n v="0"/>
    <x v="0"/>
  </r>
  <r>
    <x v="5"/>
    <x v="201"/>
    <x v="6"/>
    <n v="0"/>
    <x v="0"/>
  </r>
  <r>
    <x v="5"/>
    <x v="201"/>
    <x v="7"/>
    <n v="0"/>
    <x v="0"/>
  </r>
  <r>
    <x v="5"/>
    <x v="201"/>
    <x v="8"/>
    <n v="0"/>
    <x v="0"/>
  </r>
  <r>
    <x v="5"/>
    <x v="201"/>
    <x v="9"/>
    <n v="0"/>
    <x v="0"/>
  </r>
  <r>
    <x v="5"/>
    <x v="201"/>
    <x v="10"/>
    <n v="85.6631"/>
    <x v="0"/>
  </r>
  <r>
    <x v="5"/>
    <x v="201"/>
    <x v="11"/>
    <n v="0"/>
    <x v="0"/>
  </r>
  <r>
    <x v="5"/>
    <x v="202"/>
    <x v="0"/>
    <n v="0"/>
    <x v="0"/>
  </r>
  <r>
    <x v="5"/>
    <x v="202"/>
    <x v="1"/>
    <n v="337.78859999999997"/>
    <x v="0"/>
  </r>
  <r>
    <x v="5"/>
    <x v="202"/>
    <x v="2"/>
    <n v="0"/>
    <x v="0"/>
  </r>
  <r>
    <x v="5"/>
    <x v="202"/>
    <x v="3"/>
    <n v="0"/>
    <x v="0"/>
  </r>
  <r>
    <x v="5"/>
    <x v="202"/>
    <x v="4"/>
    <n v="0"/>
    <x v="0"/>
  </r>
  <r>
    <x v="5"/>
    <x v="202"/>
    <x v="5"/>
    <n v="0"/>
    <x v="0"/>
  </r>
  <r>
    <x v="5"/>
    <x v="202"/>
    <x v="6"/>
    <n v="0"/>
    <x v="0"/>
  </r>
  <r>
    <x v="5"/>
    <x v="202"/>
    <x v="7"/>
    <n v="0"/>
    <x v="0"/>
  </r>
  <r>
    <x v="5"/>
    <x v="202"/>
    <x v="8"/>
    <n v="0"/>
    <x v="0"/>
  </r>
  <r>
    <x v="5"/>
    <x v="202"/>
    <x v="9"/>
    <n v="0"/>
    <x v="0"/>
  </r>
  <r>
    <x v="5"/>
    <x v="202"/>
    <x v="10"/>
    <n v="0"/>
    <x v="0"/>
  </r>
  <r>
    <x v="5"/>
    <x v="202"/>
    <x v="11"/>
    <n v="590.12879999999996"/>
    <x v="0"/>
  </r>
  <r>
    <x v="5"/>
    <x v="203"/>
    <x v="0"/>
    <n v="0"/>
    <x v="0"/>
  </r>
  <r>
    <x v="5"/>
    <x v="203"/>
    <x v="1"/>
    <n v="279.82830000000001"/>
    <x v="0"/>
  </r>
  <r>
    <x v="5"/>
    <x v="203"/>
    <x v="2"/>
    <n v="396.88839999999999"/>
    <x v="0"/>
  </r>
  <r>
    <x v="5"/>
    <x v="203"/>
    <x v="3"/>
    <n v="0"/>
    <x v="0"/>
  </r>
  <r>
    <x v="5"/>
    <x v="203"/>
    <x v="4"/>
    <n v="379.32400000000001"/>
    <x v="0"/>
  </r>
  <r>
    <x v="5"/>
    <x v="203"/>
    <x v="5"/>
    <n v="358.7876"/>
    <x v="0"/>
  </r>
  <r>
    <x v="5"/>
    <x v="203"/>
    <x v="6"/>
    <n v="524.45280000000002"/>
    <x v="0"/>
  </r>
  <r>
    <x v="5"/>
    <x v="203"/>
    <x v="7"/>
    <n v="595.32190000000003"/>
    <x v="0"/>
  </r>
  <r>
    <x v="5"/>
    <x v="203"/>
    <x v="8"/>
    <n v="0"/>
    <x v="0"/>
  </r>
  <r>
    <x v="5"/>
    <x v="203"/>
    <x v="9"/>
    <n v="0"/>
    <x v="0"/>
  </r>
  <r>
    <x v="5"/>
    <x v="203"/>
    <x v="10"/>
    <n v="0"/>
    <x v="0"/>
  </r>
  <r>
    <x v="5"/>
    <x v="203"/>
    <x v="11"/>
    <n v="0"/>
    <x v="0"/>
  </r>
  <r>
    <x v="3"/>
    <x v="204"/>
    <x v="0"/>
    <n v="0"/>
    <x v="0"/>
  </r>
  <r>
    <x v="3"/>
    <x v="204"/>
    <x v="1"/>
    <n v="8505.8572999999997"/>
    <x v="0"/>
  </r>
  <r>
    <x v="3"/>
    <x v="204"/>
    <x v="2"/>
    <n v="3545.8400999999999"/>
    <x v="0"/>
  </r>
  <r>
    <x v="3"/>
    <x v="204"/>
    <x v="3"/>
    <n v="3563.1513"/>
    <x v="0"/>
  </r>
  <r>
    <x v="3"/>
    <x v="204"/>
    <x v="4"/>
    <n v="3573.6844999999998"/>
    <x v="0"/>
  </r>
  <r>
    <x v="3"/>
    <x v="204"/>
    <x v="5"/>
    <n v="3581.2242000000001"/>
    <x v="0"/>
  </r>
  <r>
    <x v="3"/>
    <x v="204"/>
    <x v="6"/>
    <n v="3573.6556"/>
    <x v="0"/>
  </r>
  <r>
    <x v="3"/>
    <x v="204"/>
    <x v="7"/>
    <n v="3600.4099000000001"/>
    <x v="0"/>
  </r>
  <r>
    <x v="3"/>
    <x v="204"/>
    <x v="8"/>
    <n v="3601.1588000000002"/>
    <x v="0"/>
  </r>
  <r>
    <x v="3"/>
    <x v="204"/>
    <x v="9"/>
    <n v="3610.4463999999998"/>
    <x v="0"/>
  </r>
  <r>
    <x v="3"/>
    <x v="204"/>
    <x v="10"/>
    <n v="3615.5632999999998"/>
    <x v="0"/>
  </r>
  <r>
    <x v="3"/>
    <x v="204"/>
    <x v="11"/>
    <n v="3622.9077000000002"/>
    <x v="0"/>
  </r>
  <r>
    <x v="3"/>
    <x v="205"/>
    <x v="0"/>
    <n v="185.7157"/>
    <x v="0"/>
  </r>
  <r>
    <x v="3"/>
    <x v="205"/>
    <x v="1"/>
    <n v="1168.5998"/>
    <x v="0"/>
  </r>
  <r>
    <x v="3"/>
    <x v="205"/>
    <x v="2"/>
    <n v="2007.0333000000001"/>
    <x v="0"/>
  </r>
  <r>
    <x v="3"/>
    <x v="205"/>
    <x v="3"/>
    <n v="2062.1813000000002"/>
    <x v="0"/>
  </r>
  <r>
    <x v="3"/>
    <x v="205"/>
    <x v="4"/>
    <n v="2188.8454999999999"/>
    <x v="0"/>
  </r>
  <r>
    <x v="3"/>
    <x v="205"/>
    <x v="5"/>
    <n v="1786.6803"/>
    <x v="0"/>
  </r>
  <r>
    <x v="3"/>
    <x v="205"/>
    <x v="6"/>
    <n v="2724.5236"/>
    <x v="0"/>
  </r>
  <r>
    <x v="3"/>
    <x v="205"/>
    <x v="7"/>
    <n v="1799.5740000000001"/>
    <x v="0"/>
  </r>
  <r>
    <x v="3"/>
    <x v="205"/>
    <x v="8"/>
    <n v="1878.6599000000001"/>
    <x v="0"/>
  </r>
  <r>
    <x v="3"/>
    <x v="205"/>
    <x v="9"/>
    <n v="2905.5086000000001"/>
    <x v="0"/>
  </r>
  <r>
    <x v="3"/>
    <x v="205"/>
    <x v="10"/>
    <n v="1802.2371000000001"/>
    <x v="0"/>
  </r>
  <r>
    <x v="3"/>
    <x v="205"/>
    <x v="11"/>
    <n v="1625.2961"/>
    <x v="0"/>
  </r>
  <r>
    <x v="3"/>
    <x v="206"/>
    <x v="0"/>
    <n v="1001.1642000000001"/>
    <x v="0"/>
  </r>
  <r>
    <x v="3"/>
    <x v="206"/>
    <x v="1"/>
    <n v="0"/>
    <x v="0"/>
  </r>
  <r>
    <x v="3"/>
    <x v="206"/>
    <x v="2"/>
    <n v="0"/>
    <x v="0"/>
  </r>
  <r>
    <x v="3"/>
    <x v="206"/>
    <x v="3"/>
    <n v="0"/>
    <x v="0"/>
  </r>
  <r>
    <x v="3"/>
    <x v="206"/>
    <x v="4"/>
    <n v="0"/>
    <x v="0"/>
  </r>
  <r>
    <x v="3"/>
    <x v="206"/>
    <x v="5"/>
    <n v="0"/>
    <x v="0"/>
  </r>
  <r>
    <x v="3"/>
    <x v="206"/>
    <x v="6"/>
    <n v="0"/>
    <x v="0"/>
  </r>
  <r>
    <x v="3"/>
    <x v="206"/>
    <x v="7"/>
    <n v="0"/>
    <x v="0"/>
  </r>
  <r>
    <x v="3"/>
    <x v="206"/>
    <x v="8"/>
    <n v="0"/>
    <x v="0"/>
  </r>
  <r>
    <x v="3"/>
    <x v="206"/>
    <x v="9"/>
    <n v="0"/>
    <x v="0"/>
  </r>
  <r>
    <x v="3"/>
    <x v="206"/>
    <x v="10"/>
    <n v="0"/>
    <x v="0"/>
  </r>
  <r>
    <x v="3"/>
    <x v="206"/>
    <x v="11"/>
    <n v="0"/>
    <x v="0"/>
  </r>
  <r>
    <x v="4"/>
    <x v="207"/>
    <x v="0"/>
    <n v="0"/>
    <x v="0"/>
  </r>
  <r>
    <x v="4"/>
    <x v="207"/>
    <x v="1"/>
    <n v="0"/>
    <x v="0"/>
  </r>
  <r>
    <x v="4"/>
    <x v="207"/>
    <x v="2"/>
    <n v="0"/>
    <x v="0"/>
  </r>
  <r>
    <x v="4"/>
    <x v="207"/>
    <x v="3"/>
    <n v="0"/>
    <x v="0"/>
  </r>
  <r>
    <x v="4"/>
    <x v="207"/>
    <x v="4"/>
    <n v="0"/>
    <x v="0"/>
  </r>
  <r>
    <x v="4"/>
    <x v="207"/>
    <x v="5"/>
    <n v="0"/>
    <x v="0"/>
  </r>
  <r>
    <x v="4"/>
    <x v="207"/>
    <x v="6"/>
    <n v="0"/>
    <x v="0"/>
  </r>
  <r>
    <x v="4"/>
    <x v="207"/>
    <x v="7"/>
    <n v="0"/>
    <x v="0"/>
  </r>
  <r>
    <x v="4"/>
    <x v="207"/>
    <x v="8"/>
    <n v="315.55900000000003"/>
    <x v="0"/>
  </r>
  <r>
    <x v="4"/>
    <x v="207"/>
    <x v="9"/>
    <n v="0"/>
    <x v="0"/>
  </r>
  <r>
    <x v="4"/>
    <x v="207"/>
    <x v="10"/>
    <n v="0"/>
    <x v="0"/>
  </r>
  <r>
    <x v="4"/>
    <x v="207"/>
    <x v="11"/>
    <n v="0"/>
    <x v="0"/>
  </r>
  <r>
    <x v="5"/>
    <x v="208"/>
    <x v="0"/>
    <n v="142.58260000000001"/>
    <x v="0"/>
  </r>
  <r>
    <x v="5"/>
    <x v="208"/>
    <x v="1"/>
    <n v="254.70920000000001"/>
    <x v="0"/>
  </r>
  <r>
    <x v="5"/>
    <x v="208"/>
    <x v="2"/>
    <n v="325.90879999999999"/>
    <x v="0"/>
  </r>
  <r>
    <x v="5"/>
    <x v="208"/>
    <x v="3"/>
    <n v="901.73820000000001"/>
    <x v="0"/>
  </r>
  <r>
    <x v="5"/>
    <x v="208"/>
    <x v="4"/>
    <n v="993.19640000000004"/>
    <x v="0"/>
  </r>
  <r>
    <x v="5"/>
    <x v="208"/>
    <x v="5"/>
    <n v="145.7285"/>
    <x v="0"/>
  </r>
  <r>
    <x v="5"/>
    <x v="208"/>
    <x v="6"/>
    <n v="1646.6405999999999"/>
    <x v="0"/>
  </r>
  <r>
    <x v="5"/>
    <x v="208"/>
    <x v="7"/>
    <n v="594.45820000000003"/>
    <x v="0"/>
  </r>
  <r>
    <x v="5"/>
    <x v="208"/>
    <x v="8"/>
    <n v="322.77359999999999"/>
    <x v="0"/>
  </r>
  <r>
    <x v="5"/>
    <x v="208"/>
    <x v="9"/>
    <n v="1158.9045000000001"/>
    <x v="0"/>
  </r>
  <r>
    <x v="5"/>
    <x v="208"/>
    <x v="10"/>
    <n v="275.20819999999998"/>
    <x v="0"/>
  </r>
  <r>
    <x v="5"/>
    <x v="208"/>
    <x v="11"/>
    <n v="1745.3046999999999"/>
    <x v="0"/>
  </r>
  <r>
    <x v="5"/>
    <x v="209"/>
    <x v="0"/>
    <n v="42.476399999999998"/>
    <x v="0"/>
  </r>
  <r>
    <x v="5"/>
    <x v="209"/>
    <x v="1"/>
    <n v="42.6524"/>
    <x v="0"/>
  </r>
  <r>
    <x v="5"/>
    <x v="209"/>
    <x v="2"/>
    <n v="42.611600000000003"/>
    <x v="0"/>
  </r>
  <r>
    <x v="5"/>
    <x v="209"/>
    <x v="3"/>
    <n v="42.9238"/>
    <x v="0"/>
  </r>
  <r>
    <x v="5"/>
    <x v="209"/>
    <x v="4"/>
    <n v="43.185600000000001"/>
    <x v="0"/>
  </r>
  <r>
    <x v="5"/>
    <x v="209"/>
    <x v="5"/>
    <n v="43.388399999999997"/>
    <x v="0"/>
  </r>
  <r>
    <x v="5"/>
    <x v="209"/>
    <x v="6"/>
    <n v="43.5107"/>
    <x v="0"/>
  </r>
  <r>
    <x v="5"/>
    <x v="209"/>
    <x v="7"/>
    <n v="43.596600000000002"/>
    <x v="0"/>
  </r>
  <r>
    <x v="5"/>
    <x v="209"/>
    <x v="8"/>
    <n v="43.491399999999999"/>
    <x v="0"/>
  </r>
  <r>
    <x v="5"/>
    <x v="209"/>
    <x v="9"/>
    <n v="43.7361"/>
    <x v="0"/>
  </r>
  <r>
    <x v="5"/>
    <x v="209"/>
    <x v="10"/>
    <n v="43.8369"/>
    <x v="0"/>
  </r>
  <r>
    <x v="5"/>
    <x v="209"/>
    <x v="11"/>
    <n v="43.966700000000003"/>
    <x v="0"/>
  </r>
  <r>
    <x v="5"/>
    <x v="210"/>
    <x v="0"/>
    <n v="0"/>
    <x v="0"/>
  </r>
  <r>
    <x v="5"/>
    <x v="210"/>
    <x v="1"/>
    <n v="285.28859999999997"/>
    <x v="0"/>
  </r>
  <r>
    <x v="5"/>
    <x v="210"/>
    <x v="2"/>
    <n v="0"/>
    <x v="0"/>
  </r>
  <r>
    <x v="5"/>
    <x v="210"/>
    <x v="3"/>
    <n v="0"/>
    <x v="0"/>
  </r>
  <r>
    <x v="5"/>
    <x v="210"/>
    <x v="4"/>
    <n v="0"/>
    <x v="0"/>
  </r>
  <r>
    <x v="5"/>
    <x v="210"/>
    <x v="5"/>
    <n v="0"/>
    <x v="0"/>
  </r>
  <r>
    <x v="5"/>
    <x v="210"/>
    <x v="6"/>
    <n v="500.15989999999999"/>
    <x v="0"/>
  </r>
  <r>
    <x v="5"/>
    <x v="210"/>
    <x v="7"/>
    <n v="270.23930000000001"/>
    <x v="0"/>
  </r>
  <r>
    <x v="5"/>
    <x v="210"/>
    <x v="8"/>
    <n v="540.52359999999999"/>
    <x v="0"/>
  </r>
  <r>
    <x v="5"/>
    <x v="210"/>
    <x v="9"/>
    <n v="271.74360000000001"/>
    <x v="0"/>
  </r>
  <r>
    <x v="5"/>
    <x v="210"/>
    <x v="10"/>
    <n v="261.25749999999999"/>
    <x v="0"/>
  </r>
  <r>
    <x v="5"/>
    <x v="210"/>
    <x v="11"/>
    <n v="256.1266"/>
    <x v="0"/>
  </r>
  <r>
    <x v="5"/>
    <x v="211"/>
    <x v="0"/>
    <n v="0"/>
    <x v="0"/>
  </r>
  <r>
    <x v="5"/>
    <x v="211"/>
    <x v="1"/>
    <n v="0"/>
    <x v="0"/>
  </r>
  <r>
    <x v="5"/>
    <x v="211"/>
    <x v="2"/>
    <n v="334.59980000000002"/>
    <x v="0"/>
  </r>
  <r>
    <x v="5"/>
    <x v="211"/>
    <x v="3"/>
    <n v="125.7586"/>
    <x v="0"/>
  </r>
  <r>
    <x v="5"/>
    <x v="211"/>
    <x v="4"/>
    <n v="126.1298"/>
    <x v="0"/>
  </r>
  <r>
    <x v="5"/>
    <x v="211"/>
    <x v="5"/>
    <n v="126.3959"/>
    <x v="0"/>
  </r>
  <r>
    <x v="5"/>
    <x v="211"/>
    <x v="6"/>
    <n v="126.1288"/>
    <x v="0"/>
  </r>
  <r>
    <x v="5"/>
    <x v="211"/>
    <x v="7"/>
    <n v="126.8058"/>
    <x v="0"/>
  </r>
  <r>
    <x v="5"/>
    <x v="211"/>
    <x v="8"/>
    <n v="127.0998"/>
    <x v="0"/>
  </r>
  <r>
    <x v="5"/>
    <x v="211"/>
    <x v="9"/>
    <n v="127.42700000000001"/>
    <x v="0"/>
  </r>
  <r>
    <x v="5"/>
    <x v="211"/>
    <x v="10"/>
    <n v="127.6084"/>
    <x v="0"/>
  </r>
  <r>
    <x v="5"/>
    <x v="211"/>
    <x v="11"/>
    <n v="127.867"/>
    <x v="0"/>
  </r>
  <r>
    <x v="5"/>
    <x v="212"/>
    <x v="0"/>
    <n v="0"/>
    <x v="0"/>
  </r>
  <r>
    <x v="5"/>
    <x v="212"/>
    <x v="1"/>
    <n v="0"/>
    <x v="0"/>
  </r>
  <r>
    <x v="5"/>
    <x v="212"/>
    <x v="2"/>
    <n v="0"/>
    <x v="0"/>
  </r>
  <r>
    <x v="5"/>
    <x v="212"/>
    <x v="3"/>
    <n v="0"/>
    <x v="0"/>
  </r>
  <r>
    <x v="5"/>
    <x v="212"/>
    <x v="4"/>
    <n v="0"/>
    <x v="0"/>
  </r>
  <r>
    <x v="5"/>
    <x v="212"/>
    <x v="5"/>
    <n v="0"/>
    <x v="0"/>
  </r>
  <r>
    <x v="5"/>
    <x v="212"/>
    <x v="6"/>
    <n v="0"/>
    <x v="0"/>
  </r>
  <r>
    <x v="5"/>
    <x v="212"/>
    <x v="7"/>
    <n v="0"/>
    <x v="0"/>
  </r>
  <r>
    <x v="5"/>
    <x v="212"/>
    <x v="8"/>
    <n v="0"/>
    <x v="0"/>
  </r>
  <r>
    <x v="5"/>
    <x v="212"/>
    <x v="9"/>
    <n v="0"/>
    <x v="0"/>
  </r>
  <r>
    <x v="5"/>
    <x v="212"/>
    <x v="10"/>
    <n v="0"/>
    <x v="0"/>
  </r>
  <r>
    <x v="5"/>
    <x v="212"/>
    <x v="11"/>
    <n v="192.3509"/>
    <x v="0"/>
  </r>
  <r>
    <x v="5"/>
    <x v="213"/>
    <x v="0"/>
    <n v="0"/>
    <x v="0"/>
  </r>
  <r>
    <x v="5"/>
    <x v="213"/>
    <x v="1"/>
    <n v="0"/>
    <x v="0"/>
  </r>
  <r>
    <x v="5"/>
    <x v="213"/>
    <x v="2"/>
    <n v="160.67599999999999"/>
    <x v="0"/>
  </r>
  <r>
    <x v="5"/>
    <x v="213"/>
    <x v="3"/>
    <n v="480.65449999999998"/>
    <x v="0"/>
  </r>
  <r>
    <x v="5"/>
    <x v="213"/>
    <x v="4"/>
    <n v="0"/>
    <x v="0"/>
  </r>
  <r>
    <x v="5"/>
    <x v="213"/>
    <x v="5"/>
    <n v="0"/>
    <x v="0"/>
  </r>
  <r>
    <x v="5"/>
    <x v="213"/>
    <x v="6"/>
    <n v="0"/>
    <x v="0"/>
  </r>
  <r>
    <x v="5"/>
    <x v="213"/>
    <x v="7"/>
    <n v="0"/>
    <x v="0"/>
  </r>
  <r>
    <x v="5"/>
    <x v="213"/>
    <x v="8"/>
    <n v="0"/>
    <x v="0"/>
  </r>
  <r>
    <x v="5"/>
    <x v="213"/>
    <x v="9"/>
    <n v="0"/>
    <x v="0"/>
  </r>
  <r>
    <x v="5"/>
    <x v="213"/>
    <x v="10"/>
    <n v="0"/>
    <x v="0"/>
  </r>
  <r>
    <x v="5"/>
    <x v="213"/>
    <x v="11"/>
    <n v="0"/>
    <x v="0"/>
  </r>
  <r>
    <x v="3"/>
    <x v="214"/>
    <x v="0"/>
    <n v="0"/>
    <x v="0"/>
  </r>
  <r>
    <x v="3"/>
    <x v="214"/>
    <x v="1"/>
    <n v="0"/>
    <x v="0"/>
  </r>
  <r>
    <x v="3"/>
    <x v="214"/>
    <x v="2"/>
    <n v="0"/>
    <x v="0"/>
  </r>
  <r>
    <x v="3"/>
    <x v="214"/>
    <x v="3"/>
    <n v="0"/>
    <x v="0"/>
  </r>
  <r>
    <x v="3"/>
    <x v="214"/>
    <x v="4"/>
    <n v="0"/>
    <x v="0"/>
  </r>
  <r>
    <x v="3"/>
    <x v="214"/>
    <x v="5"/>
    <n v="0"/>
    <x v="0"/>
  </r>
  <r>
    <x v="3"/>
    <x v="214"/>
    <x v="6"/>
    <n v="0"/>
    <x v="0"/>
  </r>
  <r>
    <x v="3"/>
    <x v="214"/>
    <x v="7"/>
    <n v="0"/>
    <x v="0"/>
  </r>
  <r>
    <x v="3"/>
    <x v="214"/>
    <x v="8"/>
    <n v="0"/>
    <x v="0"/>
  </r>
  <r>
    <x v="3"/>
    <x v="214"/>
    <x v="9"/>
    <n v="0"/>
    <x v="0"/>
  </r>
  <r>
    <x v="3"/>
    <x v="214"/>
    <x v="10"/>
    <n v="0"/>
    <x v="0"/>
  </r>
  <r>
    <x v="3"/>
    <x v="214"/>
    <x v="11"/>
    <n v="1112.8187"/>
    <x v="0"/>
  </r>
  <r>
    <x v="3"/>
    <x v="215"/>
    <x v="0"/>
    <n v="0"/>
    <x v="0"/>
  </r>
  <r>
    <x v="3"/>
    <x v="215"/>
    <x v="1"/>
    <n v="0"/>
    <x v="0"/>
  </r>
  <r>
    <x v="3"/>
    <x v="215"/>
    <x v="2"/>
    <n v="0"/>
    <x v="0"/>
  </r>
  <r>
    <x v="3"/>
    <x v="215"/>
    <x v="3"/>
    <n v="0"/>
    <x v="0"/>
  </r>
  <r>
    <x v="3"/>
    <x v="215"/>
    <x v="4"/>
    <n v="0"/>
    <x v="0"/>
  </r>
  <r>
    <x v="3"/>
    <x v="215"/>
    <x v="5"/>
    <n v="0"/>
    <x v="0"/>
  </r>
  <r>
    <x v="3"/>
    <x v="215"/>
    <x v="6"/>
    <n v="0"/>
    <x v="0"/>
  </r>
  <r>
    <x v="3"/>
    <x v="215"/>
    <x v="7"/>
    <n v="0"/>
    <x v="0"/>
  </r>
  <r>
    <x v="3"/>
    <x v="215"/>
    <x v="8"/>
    <n v="0"/>
    <x v="0"/>
  </r>
  <r>
    <x v="3"/>
    <x v="215"/>
    <x v="9"/>
    <n v="25240.8959"/>
    <x v="0"/>
  </r>
  <r>
    <x v="3"/>
    <x v="215"/>
    <x v="10"/>
    <n v="12040.4506"/>
    <x v="0"/>
  </r>
  <r>
    <x v="3"/>
    <x v="215"/>
    <x v="11"/>
    <n v="4960.0783000000001"/>
    <x v="0"/>
  </r>
  <r>
    <x v="3"/>
    <x v="216"/>
    <x v="0"/>
    <n v="0"/>
    <x v="0"/>
  </r>
  <r>
    <x v="3"/>
    <x v="216"/>
    <x v="1"/>
    <n v="0"/>
    <x v="0"/>
  </r>
  <r>
    <x v="3"/>
    <x v="216"/>
    <x v="2"/>
    <n v="0"/>
    <x v="0"/>
  </r>
  <r>
    <x v="3"/>
    <x v="216"/>
    <x v="3"/>
    <n v="0"/>
    <x v="0"/>
  </r>
  <r>
    <x v="3"/>
    <x v="216"/>
    <x v="4"/>
    <n v="0"/>
    <x v="0"/>
  </r>
  <r>
    <x v="3"/>
    <x v="216"/>
    <x v="5"/>
    <n v="0"/>
    <x v="0"/>
  </r>
  <r>
    <x v="3"/>
    <x v="216"/>
    <x v="6"/>
    <n v="0"/>
    <x v="0"/>
  </r>
  <r>
    <x v="3"/>
    <x v="216"/>
    <x v="7"/>
    <n v="0"/>
    <x v="0"/>
  </r>
  <r>
    <x v="3"/>
    <x v="216"/>
    <x v="8"/>
    <n v="0"/>
    <x v="0"/>
  </r>
  <r>
    <x v="3"/>
    <x v="216"/>
    <x v="9"/>
    <n v="0"/>
    <x v="0"/>
  </r>
  <r>
    <x v="3"/>
    <x v="216"/>
    <x v="10"/>
    <n v="2233.1084000000001"/>
    <x v="0"/>
  </r>
  <r>
    <x v="3"/>
    <x v="216"/>
    <x v="11"/>
    <n v="851.2876"/>
    <x v="0"/>
  </r>
  <r>
    <x v="7"/>
    <x v="217"/>
    <x v="0"/>
    <n v="0"/>
    <x v="0"/>
  </r>
  <r>
    <x v="7"/>
    <x v="217"/>
    <x v="1"/>
    <n v="0"/>
    <x v="0"/>
  </r>
  <r>
    <x v="7"/>
    <x v="217"/>
    <x v="2"/>
    <n v="0"/>
    <x v="0"/>
  </r>
  <r>
    <x v="7"/>
    <x v="217"/>
    <x v="3"/>
    <n v="0"/>
    <x v="0"/>
  </r>
  <r>
    <x v="7"/>
    <x v="217"/>
    <x v="4"/>
    <n v="0"/>
    <x v="0"/>
  </r>
  <r>
    <x v="7"/>
    <x v="217"/>
    <x v="5"/>
    <n v="0"/>
    <x v="0"/>
  </r>
  <r>
    <x v="7"/>
    <x v="217"/>
    <x v="6"/>
    <n v="0"/>
    <x v="0"/>
  </r>
  <r>
    <x v="7"/>
    <x v="217"/>
    <x v="7"/>
    <n v="0"/>
    <x v="0"/>
  </r>
  <r>
    <x v="7"/>
    <x v="217"/>
    <x v="8"/>
    <n v="0"/>
    <x v="0"/>
  </r>
  <r>
    <x v="7"/>
    <x v="217"/>
    <x v="9"/>
    <n v="0"/>
    <x v="0"/>
  </r>
  <r>
    <x v="7"/>
    <x v="217"/>
    <x v="10"/>
    <n v="0"/>
    <x v="0"/>
  </r>
  <r>
    <x v="7"/>
    <x v="217"/>
    <x v="11"/>
    <n v="0"/>
    <x v="0"/>
  </r>
  <r>
    <x v="5"/>
    <x v="218"/>
    <x v="0"/>
    <n v="0"/>
    <x v="0"/>
  </r>
  <r>
    <x v="5"/>
    <x v="218"/>
    <x v="1"/>
    <n v="0"/>
    <x v="0"/>
  </r>
  <r>
    <x v="5"/>
    <x v="218"/>
    <x v="2"/>
    <n v="0"/>
    <x v="0"/>
  </r>
  <r>
    <x v="5"/>
    <x v="218"/>
    <x v="3"/>
    <n v="0"/>
    <x v="0"/>
  </r>
  <r>
    <x v="5"/>
    <x v="218"/>
    <x v="4"/>
    <n v="0"/>
    <x v="0"/>
  </r>
  <r>
    <x v="5"/>
    <x v="218"/>
    <x v="5"/>
    <n v="5364.8068999999996"/>
    <x v="0"/>
  </r>
  <r>
    <x v="5"/>
    <x v="218"/>
    <x v="6"/>
    <n v="5364.8068999999996"/>
    <x v="0"/>
  </r>
  <r>
    <x v="5"/>
    <x v="218"/>
    <x v="7"/>
    <n v="3755.3647999999998"/>
    <x v="0"/>
  </r>
  <r>
    <x v="5"/>
    <x v="218"/>
    <x v="8"/>
    <n v="2196.3519000000001"/>
    <x v="0"/>
  </r>
  <r>
    <x v="5"/>
    <x v="218"/>
    <x v="9"/>
    <n v="0"/>
    <x v="0"/>
  </r>
  <r>
    <x v="5"/>
    <x v="218"/>
    <x v="10"/>
    <n v="0"/>
    <x v="0"/>
  </r>
  <r>
    <x v="5"/>
    <x v="218"/>
    <x v="11"/>
    <n v="1287.5536"/>
    <x v="0"/>
  </r>
  <r>
    <x v="3"/>
    <x v="219"/>
    <x v="0"/>
    <n v="0"/>
    <x v="0"/>
  </r>
  <r>
    <x v="3"/>
    <x v="219"/>
    <x v="1"/>
    <n v="0"/>
    <x v="0"/>
  </r>
  <r>
    <x v="3"/>
    <x v="219"/>
    <x v="2"/>
    <n v="0"/>
    <x v="0"/>
  </r>
  <r>
    <x v="3"/>
    <x v="219"/>
    <x v="3"/>
    <n v="0"/>
    <x v="0"/>
  </r>
  <r>
    <x v="3"/>
    <x v="219"/>
    <x v="4"/>
    <n v="0"/>
    <x v="0"/>
  </r>
  <r>
    <x v="3"/>
    <x v="219"/>
    <x v="5"/>
    <n v="0"/>
    <x v="0"/>
  </r>
  <r>
    <x v="3"/>
    <x v="219"/>
    <x v="6"/>
    <n v="0"/>
    <x v="0"/>
  </r>
  <r>
    <x v="3"/>
    <x v="219"/>
    <x v="7"/>
    <n v="0"/>
    <x v="0"/>
  </r>
  <r>
    <x v="3"/>
    <x v="219"/>
    <x v="8"/>
    <n v="0"/>
    <x v="0"/>
  </r>
  <r>
    <x v="3"/>
    <x v="219"/>
    <x v="9"/>
    <n v="0"/>
    <x v="0"/>
  </r>
  <r>
    <x v="3"/>
    <x v="219"/>
    <x v="10"/>
    <n v="1912.5546999999999"/>
    <x v="0"/>
  </r>
  <r>
    <x v="3"/>
    <x v="219"/>
    <x v="11"/>
    <n v="446.88839999999999"/>
    <x v="0"/>
  </r>
  <r>
    <x v="5"/>
    <x v="220"/>
    <x v="0"/>
    <n v="0"/>
    <x v="0"/>
  </r>
  <r>
    <x v="5"/>
    <x v="220"/>
    <x v="1"/>
    <n v="0"/>
    <x v="0"/>
  </r>
  <r>
    <x v="5"/>
    <x v="220"/>
    <x v="2"/>
    <n v="0"/>
    <x v="0"/>
  </r>
  <r>
    <x v="5"/>
    <x v="220"/>
    <x v="3"/>
    <n v="3796.6233999999999"/>
    <x v="0"/>
  </r>
  <r>
    <x v="5"/>
    <x v="220"/>
    <x v="4"/>
    <n v="0"/>
    <x v="0"/>
  </r>
  <r>
    <x v="5"/>
    <x v="220"/>
    <x v="5"/>
    <n v="0"/>
    <x v="0"/>
  </r>
  <r>
    <x v="5"/>
    <x v="220"/>
    <x v="6"/>
    <n v="0"/>
    <x v="0"/>
  </r>
  <r>
    <x v="5"/>
    <x v="220"/>
    <x v="7"/>
    <n v="0"/>
    <x v="0"/>
  </r>
  <r>
    <x v="5"/>
    <x v="220"/>
    <x v="8"/>
    <n v="0"/>
    <x v="0"/>
  </r>
  <r>
    <x v="5"/>
    <x v="220"/>
    <x v="9"/>
    <n v="0"/>
    <x v="0"/>
  </r>
  <r>
    <x v="5"/>
    <x v="220"/>
    <x v="10"/>
    <n v="0"/>
    <x v="0"/>
  </r>
  <r>
    <x v="5"/>
    <x v="220"/>
    <x v="11"/>
    <n v="0"/>
    <x v="0"/>
  </r>
  <r>
    <x v="8"/>
    <x v="221"/>
    <x v="0"/>
    <n v="34979.333700000003"/>
    <x v="0"/>
  </r>
  <r>
    <x v="8"/>
    <x v="221"/>
    <x v="1"/>
    <n v="63266.451699999998"/>
    <x v="0"/>
  </r>
  <r>
    <x v="8"/>
    <x v="221"/>
    <x v="2"/>
    <n v="11122.3541"/>
    <x v="0"/>
  </r>
  <r>
    <x v="8"/>
    <x v="221"/>
    <x v="3"/>
    <n v="31108.297200000001"/>
    <x v="0"/>
  </r>
  <r>
    <x v="8"/>
    <x v="221"/>
    <x v="4"/>
    <n v="64748.260699999999"/>
    <x v="0"/>
  </r>
  <r>
    <x v="8"/>
    <x v="221"/>
    <x v="5"/>
    <n v="41468.266100000001"/>
    <x v="0"/>
  </r>
  <r>
    <x v="8"/>
    <x v="221"/>
    <x v="6"/>
    <n v="8316.4195"/>
    <x v="0"/>
  </r>
  <r>
    <x v="8"/>
    <x v="221"/>
    <x v="7"/>
    <n v="85646.887300000002"/>
    <x v="0"/>
  </r>
  <r>
    <x v="8"/>
    <x v="221"/>
    <x v="8"/>
    <n v="27284.614799999999"/>
    <x v="0"/>
  </r>
  <r>
    <x v="8"/>
    <x v="221"/>
    <x v="9"/>
    <n v="47578.377699999997"/>
    <x v="0"/>
  </r>
  <r>
    <x v="8"/>
    <x v="221"/>
    <x v="10"/>
    <n v="44587.298300000002"/>
    <x v="0"/>
  </r>
  <r>
    <x v="8"/>
    <x v="221"/>
    <x v="11"/>
    <n v="23954.5461"/>
    <x v="0"/>
  </r>
  <r>
    <x v="8"/>
    <x v="222"/>
    <x v="0"/>
    <n v="0"/>
    <x v="0"/>
  </r>
  <r>
    <x v="8"/>
    <x v="222"/>
    <x v="1"/>
    <n v="0"/>
    <x v="0"/>
  </r>
  <r>
    <x v="8"/>
    <x v="222"/>
    <x v="2"/>
    <n v="823.99360000000001"/>
    <x v="0"/>
  </r>
  <r>
    <x v="8"/>
    <x v="222"/>
    <x v="3"/>
    <n v="558.029"/>
    <x v="0"/>
  </r>
  <r>
    <x v="8"/>
    <x v="222"/>
    <x v="4"/>
    <n v="1138.1899000000001"/>
    <x v="0"/>
  </r>
  <r>
    <x v="8"/>
    <x v="222"/>
    <x v="5"/>
    <n v="0"/>
    <x v="0"/>
  </r>
  <r>
    <x v="8"/>
    <x v="222"/>
    <x v="6"/>
    <n v="567.66849999999999"/>
    <x v="0"/>
  </r>
  <r>
    <x v="8"/>
    <x v="222"/>
    <x v="7"/>
    <n v="740.58690000000001"/>
    <x v="0"/>
  </r>
  <r>
    <x v="8"/>
    <x v="222"/>
    <x v="8"/>
    <n v="0"/>
    <x v="0"/>
  </r>
  <r>
    <x v="8"/>
    <x v="222"/>
    <x v="9"/>
    <n v="313.56119999999999"/>
    <x v="0"/>
  </r>
  <r>
    <x v="8"/>
    <x v="222"/>
    <x v="10"/>
    <n v="612.88199999999995"/>
    <x v="0"/>
  </r>
  <r>
    <x v="8"/>
    <x v="222"/>
    <x v="11"/>
    <n v="299.07940000000002"/>
    <x v="0"/>
  </r>
  <r>
    <x v="9"/>
    <x v="223"/>
    <x v="0"/>
    <n v="7459.9184999999998"/>
    <x v="0"/>
  </r>
  <r>
    <x v="9"/>
    <x v="223"/>
    <x v="1"/>
    <n v="7447.9721"/>
    <x v="0"/>
  </r>
  <r>
    <x v="9"/>
    <x v="223"/>
    <x v="2"/>
    <n v="7527.5020999999997"/>
    <x v="0"/>
  </r>
  <r>
    <x v="9"/>
    <x v="223"/>
    <x v="3"/>
    <n v="7557.47"/>
    <x v="0"/>
  </r>
  <r>
    <x v="9"/>
    <x v="223"/>
    <x v="4"/>
    <n v="7593.5632999999998"/>
    <x v="0"/>
  </r>
  <r>
    <x v="9"/>
    <x v="223"/>
    <x v="5"/>
    <n v="7608.8283000000001"/>
    <x v="0"/>
  </r>
  <r>
    <x v="9"/>
    <x v="223"/>
    <x v="6"/>
    <n v="7622.1136999999999"/>
    <x v="0"/>
  </r>
  <r>
    <x v="9"/>
    <x v="223"/>
    <x v="7"/>
    <n v="7593.1608999999999"/>
    <x v="0"/>
  </r>
  <r>
    <x v="9"/>
    <x v="223"/>
    <x v="8"/>
    <n v="7660.0676000000003"/>
    <x v="0"/>
  </r>
  <r>
    <x v="9"/>
    <x v="223"/>
    <x v="9"/>
    <n v="7660.6148000000003"/>
    <x v="0"/>
  </r>
  <r>
    <x v="9"/>
    <x v="223"/>
    <x v="10"/>
    <n v="7689.8230000000003"/>
    <x v="0"/>
  </r>
  <r>
    <x v="9"/>
    <x v="223"/>
    <x v="11"/>
    <n v="7690.1234000000004"/>
    <x v="0"/>
  </r>
  <r>
    <x v="9"/>
    <x v="224"/>
    <x v="0"/>
    <n v="20139.616999999998"/>
    <x v="0"/>
  </r>
  <r>
    <x v="9"/>
    <x v="224"/>
    <x v="1"/>
    <n v="20125.995699999999"/>
    <x v="0"/>
  </r>
  <r>
    <x v="9"/>
    <x v="224"/>
    <x v="2"/>
    <n v="20113.2307"/>
    <x v="0"/>
  </r>
  <r>
    <x v="9"/>
    <x v="224"/>
    <x v="3"/>
    <n v="20118.032200000001"/>
    <x v="0"/>
  </r>
  <r>
    <x v="9"/>
    <x v="224"/>
    <x v="4"/>
    <n v="20099.052599999999"/>
    <x v="0"/>
  </r>
  <r>
    <x v="9"/>
    <x v="224"/>
    <x v="5"/>
    <n v="20097.424900000002"/>
    <x v="0"/>
  </r>
  <r>
    <x v="9"/>
    <x v="224"/>
    <x v="6"/>
    <n v="20091.003199999999"/>
    <x v="0"/>
  </r>
  <r>
    <x v="9"/>
    <x v="224"/>
    <x v="7"/>
    <n v="20078.588"/>
    <x v="0"/>
  </r>
  <r>
    <x v="9"/>
    <x v="224"/>
    <x v="8"/>
    <n v="20073.063300000002"/>
    <x v="0"/>
  </r>
  <r>
    <x v="9"/>
    <x v="224"/>
    <x v="9"/>
    <n v="20064.778999999999"/>
    <x v="0"/>
  </r>
  <r>
    <x v="9"/>
    <x v="224"/>
    <x v="10"/>
    <n v="20055.862700000001"/>
    <x v="0"/>
  </r>
  <r>
    <x v="9"/>
    <x v="224"/>
    <x v="11"/>
    <n v="20047.678100000001"/>
    <x v="0"/>
  </r>
  <r>
    <x v="9"/>
    <x v="225"/>
    <x v="0"/>
    <n v="0"/>
    <x v="0"/>
  </r>
  <r>
    <x v="9"/>
    <x v="225"/>
    <x v="1"/>
    <n v="11057.3133"/>
    <x v="0"/>
  </r>
  <r>
    <x v="9"/>
    <x v="225"/>
    <x v="2"/>
    <n v="3045.9935999999998"/>
    <x v="0"/>
  </r>
  <r>
    <x v="9"/>
    <x v="225"/>
    <x v="3"/>
    <n v="4191.3883999999998"/>
    <x v="0"/>
  </r>
  <r>
    <x v="9"/>
    <x v="225"/>
    <x v="4"/>
    <n v="4968.3144000000002"/>
    <x v="0"/>
  </r>
  <r>
    <x v="9"/>
    <x v="225"/>
    <x v="5"/>
    <n v="0"/>
    <x v="0"/>
  </r>
  <r>
    <x v="9"/>
    <x v="225"/>
    <x v="6"/>
    <n v="4169.6662999999999"/>
    <x v="0"/>
  </r>
  <r>
    <x v="9"/>
    <x v="225"/>
    <x v="7"/>
    <n v="3045.9935999999998"/>
    <x v="0"/>
  </r>
  <r>
    <x v="9"/>
    <x v="225"/>
    <x v="8"/>
    <n v="1922.3208"/>
    <x v="0"/>
  </r>
  <r>
    <x v="9"/>
    <x v="225"/>
    <x v="9"/>
    <n v="4169.6662999999999"/>
    <x v="0"/>
  </r>
  <r>
    <x v="9"/>
    <x v="225"/>
    <x v="10"/>
    <n v="1922.3208"/>
    <x v="0"/>
  </r>
  <r>
    <x v="9"/>
    <x v="225"/>
    <x v="11"/>
    <n v="3046.3164999999999"/>
    <x v="0"/>
  </r>
  <r>
    <x v="7"/>
    <x v="226"/>
    <x v="0"/>
    <n v="21128.810099999999"/>
    <x v="0"/>
  </r>
  <r>
    <x v="7"/>
    <x v="226"/>
    <x v="1"/>
    <n v="0"/>
    <x v="0"/>
  </r>
  <r>
    <x v="7"/>
    <x v="226"/>
    <x v="2"/>
    <n v="15004.8444"/>
    <x v="0"/>
  </r>
  <r>
    <x v="7"/>
    <x v="226"/>
    <x v="3"/>
    <n v="63157.351900000001"/>
    <x v="0"/>
  </r>
  <r>
    <x v="7"/>
    <x v="226"/>
    <x v="4"/>
    <n v="21578.8734"/>
    <x v="0"/>
  </r>
  <r>
    <x v="7"/>
    <x v="226"/>
    <x v="5"/>
    <n v="19313.304700000001"/>
    <x v="0"/>
  </r>
  <r>
    <x v="7"/>
    <x v="226"/>
    <x v="6"/>
    <n v="56691.817600000002"/>
    <x v="0"/>
  </r>
  <r>
    <x v="7"/>
    <x v="226"/>
    <x v="7"/>
    <n v="7645.6223"/>
    <x v="0"/>
  </r>
  <r>
    <x v="7"/>
    <x v="226"/>
    <x v="8"/>
    <n v="0"/>
    <x v="0"/>
  </r>
  <r>
    <x v="7"/>
    <x v="226"/>
    <x v="9"/>
    <n v="0"/>
    <x v="0"/>
  </r>
  <r>
    <x v="7"/>
    <x v="226"/>
    <x v="10"/>
    <n v="0"/>
    <x v="0"/>
  </r>
  <r>
    <x v="7"/>
    <x v="226"/>
    <x v="11"/>
    <n v="0"/>
    <x v="0"/>
  </r>
  <r>
    <x v="7"/>
    <x v="227"/>
    <x v="0"/>
    <n v="24259.6567"/>
    <x v="0"/>
  </r>
  <r>
    <x v="7"/>
    <x v="227"/>
    <x v="1"/>
    <n v="113524.19960000001"/>
    <x v="0"/>
  </r>
  <r>
    <x v="7"/>
    <x v="227"/>
    <x v="2"/>
    <n v="57052.603000000003"/>
    <x v="0"/>
  </r>
  <r>
    <x v="7"/>
    <x v="227"/>
    <x v="3"/>
    <n v="140964.70920000001"/>
    <x v="0"/>
  </r>
  <r>
    <x v="7"/>
    <x v="227"/>
    <x v="4"/>
    <n v="9291.9935999999998"/>
    <x v="0"/>
  </r>
  <r>
    <x v="7"/>
    <x v="227"/>
    <x v="5"/>
    <n v="0"/>
    <x v="0"/>
  </r>
  <r>
    <x v="7"/>
    <x v="227"/>
    <x v="6"/>
    <n v="0"/>
    <x v="0"/>
  </r>
  <r>
    <x v="7"/>
    <x v="227"/>
    <x v="7"/>
    <n v="0"/>
    <x v="0"/>
  </r>
  <r>
    <x v="7"/>
    <x v="227"/>
    <x v="8"/>
    <n v="27214.363700000002"/>
    <x v="0"/>
  </r>
  <r>
    <x v="7"/>
    <x v="227"/>
    <x v="9"/>
    <n v="0"/>
    <x v="0"/>
  </r>
  <r>
    <x v="7"/>
    <x v="227"/>
    <x v="10"/>
    <n v="0"/>
    <x v="0"/>
  </r>
  <r>
    <x v="7"/>
    <x v="227"/>
    <x v="11"/>
    <n v="388.07729999999998"/>
    <x v="0"/>
  </r>
  <r>
    <x v="7"/>
    <x v="228"/>
    <x v="0"/>
    <n v="0"/>
    <x v="0"/>
  </r>
  <r>
    <x v="7"/>
    <x v="228"/>
    <x v="1"/>
    <n v="0"/>
    <x v="0"/>
  </r>
  <r>
    <x v="7"/>
    <x v="228"/>
    <x v="2"/>
    <n v="0"/>
    <x v="0"/>
  </r>
  <r>
    <x v="7"/>
    <x v="228"/>
    <x v="3"/>
    <n v="4860.6941999999999"/>
    <x v="0"/>
  </r>
  <r>
    <x v="7"/>
    <x v="228"/>
    <x v="4"/>
    <n v="0"/>
    <x v="0"/>
  </r>
  <r>
    <x v="7"/>
    <x v="228"/>
    <x v="5"/>
    <n v="0"/>
    <x v="0"/>
  </r>
  <r>
    <x v="7"/>
    <x v="228"/>
    <x v="6"/>
    <n v="0"/>
    <x v="0"/>
  </r>
  <r>
    <x v="7"/>
    <x v="228"/>
    <x v="7"/>
    <n v="0"/>
    <x v="0"/>
  </r>
  <r>
    <x v="7"/>
    <x v="228"/>
    <x v="8"/>
    <n v="0"/>
    <x v="0"/>
  </r>
  <r>
    <x v="7"/>
    <x v="228"/>
    <x v="9"/>
    <n v="0"/>
    <x v="0"/>
  </r>
  <r>
    <x v="7"/>
    <x v="228"/>
    <x v="10"/>
    <n v="0"/>
    <x v="0"/>
  </r>
  <r>
    <x v="7"/>
    <x v="228"/>
    <x v="11"/>
    <n v="46749.9571"/>
    <x v="0"/>
  </r>
  <r>
    <x v="7"/>
    <x v="229"/>
    <x v="0"/>
    <n v="0"/>
    <x v="0"/>
  </r>
  <r>
    <x v="7"/>
    <x v="229"/>
    <x v="1"/>
    <n v="0"/>
    <x v="0"/>
  </r>
  <r>
    <x v="7"/>
    <x v="229"/>
    <x v="2"/>
    <n v="5318.2951000000003"/>
    <x v="0"/>
  </r>
  <r>
    <x v="7"/>
    <x v="229"/>
    <x v="3"/>
    <n v="0"/>
    <x v="0"/>
  </r>
  <r>
    <x v="7"/>
    <x v="229"/>
    <x v="4"/>
    <n v="0"/>
    <x v="0"/>
  </r>
  <r>
    <x v="7"/>
    <x v="229"/>
    <x v="5"/>
    <n v="0"/>
    <x v="0"/>
  </r>
  <r>
    <x v="7"/>
    <x v="229"/>
    <x v="6"/>
    <n v="0"/>
    <x v="0"/>
  </r>
  <r>
    <x v="7"/>
    <x v="229"/>
    <x v="7"/>
    <n v="0"/>
    <x v="0"/>
  </r>
  <r>
    <x v="7"/>
    <x v="229"/>
    <x v="8"/>
    <n v="1851.8797999999999"/>
    <x v="0"/>
  </r>
  <r>
    <x v="7"/>
    <x v="229"/>
    <x v="9"/>
    <n v="0"/>
    <x v="0"/>
  </r>
  <r>
    <x v="7"/>
    <x v="229"/>
    <x v="10"/>
    <n v="0"/>
    <x v="0"/>
  </r>
  <r>
    <x v="7"/>
    <x v="229"/>
    <x v="11"/>
    <n v="0"/>
    <x v="0"/>
  </r>
  <r>
    <x v="7"/>
    <x v="230"/>
    <x v="0"/>
    <n v="0"/>
    <x v="0"/>
  </r>
  <r>
    <x v="7"/>
    <x v="230"/>
    <x v="1"/>
    <n v="5335.2929000000004"/>
    <x v="0"/>
  </r>
  <r>
    <x v="7"/>
    <x v="230"/>
    <x v="2"/>
    <n v="0"/>
    <x v="0"/>
  </r>
  <r>
    <x v="7"/>
    <x v="230"/>
    <x v="3"/>
    <n v="0"/>
    <x v="0"/>
  </r>
  <r>
    <x v="7"/>
    <x v="230"/>
    <x v="4"/>
    <n v="0"/>
    <x v="0"/>
  </r>
  <r>
    <x v="7"/>
    <x v="230"/>
    <x v="5"/>
    <n v="0"/>
    <x v="0"/>
  </r>
  <r>
    <x v="7"/>
    <x v="230"/>
    <x v="6"/>
    <n v="126.67919999999999"/>
    <x v="0"/>
  </r>
  <r>
    <x v="7"/>
    <x v="230"/>
    <x v="7"/>
    <n v="0"/>
    <x v="0"/>
  </r>
  <r>
    <x v="7"/>
    <x v="230"/>
    <x v="8"/>
    <n v="0"/>
    <x v="0"/>
  </r>
  <r>
    <x v="7"/>
    <x v="230"/>
    <x v="9"/>
    <n v="0"/>
    <x v="0"/>
  </r>
  <r>
    <x v="7"/>
    <x v="230"/>
    <x v="10"/>
    <n v="0"/>
    <x v="0"/>
  </r>
  <r>
    <x v="7"/>
    <x v="230"/>
    <x v="11"/>
    <n v="0"/>
    <x v="0"/>
  </r>
  <r>
    <x v="7"/>
    <x v="231"/>
    <x v="0"/>
    <n v="0"/>
    <x v="0"/>
  </r>
  <r>
    <x v="7"/>
    <x v="231"/>
    <x v="1"/>
    <n v="0"/>
    <x v="0"/>
  </r>
  <r>
    <x v="7"/>
    <x v="231"/>
    <x v="2"/>
    <n v="0"/>
    <x v="0"/>
  </r>
  <r>
    <x v="7"/>
    <x v="231"/>
    <x v="3"/>
    <n v="292.70389999999998"/>
    <x v="0"/>
  </r>
  <r>
    <x v="7"/>
    <x v="231"/>
    <x v="4"/>
    <n v="3830.0805"/>
    <x v="0"/>
  </r>
  <r>
    <x v="7"/>
    <x v="231"/>
    <x v="5"/>
    <n v="0"/>
    <x v="0"/>
  </r>
  <r>
    <x v="7"/>
    <x v="231"/>
    <x v="6"/>
    <n v="9510.6481000000003"/>
    <x v="0"/>
  </r>
  <r>
    <x v="7"/>
    <x v="231"/>
    <x v="7"/>
    <n v="0"/>
    <x v="0"/>
  </r>
  <r>
    <x v="7"/>
    <x v="231"/>
    <x v="8"/>
    <n v="1138.4474"/>
    <x v="0"/>
  </r>
  <r>
    <x v="7"/>
    <x v="231"/>
    <x v="9"/>
    <n v="2382.5965999999999"/>
    <x v="0"/>
  </r>
  <r>
    <x v="7"/>
    <x v="231"/>
    <x v="10"/>
    <n v="2631.8969999999999"/>
    <x v="0"/>
  </r>
  <r>
    <x v="7"/>
    <x v="231"/>
    <x v="11"/>
    <n v="1155.4399000000001"/>
    <x v="0"/>
  </r>
  <r>
    <x v="0"/>
    <x v="232"/>
    <x v="0"/>
    <n v="3205"/>
    <x v="1"/>
  </r>
  <r>
    <x v="0"/>
    <x v="232"/>
    <x v="1"/>
    <n v="3233"/>
    <x v="1"/>
  </r>
  <r>
    <x v="0"/>
    <x v="232"/>
    <x v="2"/>
    <n v="3204"/>
    <x v="1"/>
  </r>
  <r>
    <x v="0"/>
    <x v="232"/>
    <x v="3"/>
    <n v="3851"/>
    <x v="1"/>
  </r>
  <r>
    <x v="0"/>
    <x v="232"/>
    <x v="4"/>
    <n v="4119"/>
    <x v="1"/>
  </r>
  <r>
    <x v="0"/>
    <x v="232"/>
    <x v="5"/>
    <n v="4199"/>
    <x v="1"/>
  </r>
  <r>
    <x v="0"/>
    <x v="232"/>
    <x v="6"/>
    <n v="4185"/>
    <x v="1"/>
  </r>
  <r>
    <x v="0"/>
    <x v="232"/>
    <x v="7"/>
    <n v="4189"/>
    <x v="1"/>
  </r>
  <r>
    <x v="0"/>
    <x v="232"/>
    <x v="8"/>
    <n v="4245"/>
    <x v="1"/>
  </r>
  <r>
    <x v="0"/>
    <x v="232"/>
    <x v="9"/>
    <n v="4383"/>
    <x v="1"/>
  </r>
  <r>
    <x v="0"/>
    <x v="232"/>
    <x v="10"/>
    <n v="4413"/>
    <x v="1"/>
  </r>
  <r>
    <x v="0"/>
    <x v="232"/>
    <x v="11"/>
    <n v="1567"/>
    <x v="1"/>
  </r>
  <r>
    <x v="0"/>
    <x v="233"/>
    <x v="0"/>
    <n v="0"/>
    <x v="1"/>
  </r>
  <r>
    <x v="0"/>
    <x v="233"/>
    <x v="1"/>
    <n v="3330"/>
    <x v="1"/>
  </r>
  <r>
    <x v="0"/>
    <x v="233"/>
    <x v="2"/>
    <n v="0"/>
    <x v="1"/>
  </r>
  <r>
    <x v="0"/>
    <x v="233"/>
    <x v="3"/>
    <n v="890"/>
    <x v="1"/>
  </r>
  <r>
    <x v="0"/>
    <x v="233"/>
    <x v="4"/>
    <n v="0"/>
    <x v="1"/>
  </r>
  <r>
    <x v="0"/>
    <x v="233"/>
    <x v="5"/>
    <n v="0"/>
    <x v="1"/>
  </r>
  <r>
    <x v="0"/>
    <x v="233"/>
    <x v="6"/>
    <n v="0"/>
    <x v="1"/>
  </r>
  <r>
    <x v="0"/>
    <x v="233"/>
    <x v="7"/>
    <n v="0"/>
    <x v="1"/>
  </r>
  <r>
    <x v="0"/>
    <x v="233"/>
    <x v="8"/>
    <n v="0"/>
    <x v="1"/>
  </r>
  <r>
    <x v="0"/>
    <x v="233"/>
    <x v="9"/>
    <n v="0"/>
    <x v="1"/>
  </r>
  <r>
    <x v="0"/>
    <x v="233"/>
    <x v="10"/>
    <n v="14352"/>
    <x v="1"/>
  </r>
  <r>
    <x v="0"/>
    <x v="233"/>
    <x v="11"/>
    <n v="5866"/>
    <x v="1"/>
  </r>
  <r>
    <x v="0"/>
    <x v="234"/>
    <x v="0"/>
    <n v="2571"/>
    <x v="1"/>
  </r>
  <r>
    <x v="0"/>
    <x v="234"/>
    <x v="1"/>
    <n v="2593"/>
    <x v="1"/>
  </r>
  <r>
    <x v="0"/>
    <x v="234"/>
    <x v="2"/>
    <n v="2581"/>
    <x v="1"/>
  </r>
  <r>
    <x v="0"/>
    <x v="234"/>
    <x v="3"/>
    <n v="2574"/>
    <x v="1"/>
  </r>
  <r>
    <x v="0"/>
    <x v="234"/>
    <x v="4"/>
    <n v="2644"/>
    <x v="1"/>
  </r>
  <r>
    <x v="0"/>
    <x v="234"/>
    <x v="5"/>
    <n v="2572"/>
    <x v="1"/>
  </r>
  <r>
    <x v="0"/>
    <x v="234"/>
    <x v="6"/>
    <n v="2563"/>
    <x v="1"/>
  </r>
  <r>
    <x v="0"/>
    <x v="234"/>
    <x v="7"/>
    <n v="2565"/>
    <x v="1"/>
  </r>
  <r>
    <x v="0"/>
    <x v="234"/>
    <x v="8"/>
    <n v="2657"/>
    <x v="1"/>
  </r>
  <r>
    <x v="0"/>
    <x v="234"/>
    <x v="9"/>
    <n v="2744"/>
    <x v="1"/>
  </r>
  <r>
    <x v="0"/>
    <x v="234"/>
    <x v="10"/>
    <n v="2762"/>
    <x v="1"/>
  </r>
  <r>
    <x v="0"/>
    <x v="234"/>
    <x v="11"/>
    <n v="2378"/>
    <x v="1"/>
  </r>
  <r>
    <x v="0"/>
    <x v="235"/>
    <x v="0"/>
    <n v="0"/>
    <x v="1"/>
  </r>
  <r>
    <x v="0"/>
    <x v="235"/>
    <x v="1"/>
    <n v="0"/>
    <x v="1"/>
  </r>
  <r>
    <x v="0"/>
    <x v="235"/>
    <x v="2"/>
    <n v="0"/>
    <x v="1"/>
  </r>
  <r>
    <x v="0"/>
    <x v="235"/>
    <x v="3"/>
    <n v="0"/>
    <x v="1"/>
  </r>
  <r>
    <x v="0"/>
    <x v="235"/>
    <x v="4"/>
    <n v="0"/>
    <x v="1"/>
  </r>
  <r>
    <x v="0"/>
    <x v="235"/>
    <x v="5"/>
    <n v="0"/>
    <x v="1"/>
  </r>
  <r>
    <x v="0"/>
    <x v="235"/>
    <x v="6"/>
    <n v="0"/>
    <x v="1"/>
  </r>
  <r>
    <x v="0"/>
    <x v="235"/>
    <x v="7"/>
    <n v="0"/>
    <x v="1"/>
  </r>
  <r>
    <x v="0"/>
    <x v="235"/>
    <x v="8"/>
    <n v="0"/>
    <x v="1"/>
  </r>
  <r>
    <x v="0"/>
    <x v="235"/>
    <x v="9"/>
    <n v="0"/>
    <x v="1"/>
  </r>
  <r>
    <x v="0"/>
    <x v="235"/>
    <x v="10"/>
    <n v="0"/>
    <x v="1"/>
  </r>
  <r>
    <x v="0"/>
    <x v="235"/>
    <x v="11"/>
    <n v="2347"/>
    <x v="1"/>
  </r>
  <r>
    <x v="0"/>
    <x v="236"/>
    <x v="0"/>
    <n v="5242"/>
    <x v="1"/>
  </r>
  <r>
    <x v="0"/>
    <x v="236"/>
    <x v="1"/>
    <n v="5286"/>
    <x v="1"/>
  </r>
  <r>
    <x v="0"/>
    <x v="236"/>
    <x v="2"/>
    <n v="5241"/>
    <x v="1"/>
  </r>
  <r>
    <x v="0"/>
    <x v="236"/>
    <x v="3"/>
    <n v="5248"/>
    <x v="1"/>
  </r>
  <r>
    <x v="0"/>
    <x v="236"/>
    <x v="4"/>
    <n v="5389"/>
    <x v="1"/>
  </r>
  <r>
    <x v="0"/>
    <x v="236"/>
    <x v="5"/>
    <n v="5494"/>
    <x v="1"/>
  </r>
  <r>
    <x v="0"/>
    <x v="236"/>
    <x v="6"/>
    <n v="5476"/>
    <x v="1"/>
  </r>
  <r>
    <x v="0"/>
    <x v="236"/>
    <x v="7"/>
    <n v="5480"/>
    <x v="1"/>
  </r>
  <r>
    <x v="0"/>
    <x v="236"/>
    <x v="8"/>
    <n v="5553"/>
    <x v="1"/>
  </r>
  <r>
    <x v="0"/>
    <x v="236"/>
    <x v="9"/>
    <n v="5734"/>
    <x v="1"/>
  </r>
  <r>
    <x v="0"/>
    <x v="236"/>
    <x v="10"/>
    <n v="5774"/>
    <x v="1"/>
  </r>
  <r>
    <x v="0"/>
    <x v="236"/>
    <x v="11"/>
    <n v="5168"/>
    <x v="1"/>
  </r>
  <r>
    <x v="0"/>
    <x v="237"/>
    <x v="0"/>
    <n v="0"/>
    <x v="1"/>
  </r>
  <r>
    <x v="0"/>
    <x v="237"/>
    <x v="1"/>
    <n v="0"/>
    <x v="1"/>
  </r>
  <r>
    <x v="0"/>
    <x v="237"/>
    <x v="2"/>
    <n v="0"/>
    <x v="1"/>
  </r>
  <r>
    <x v="0"/>
    <x v="237"/>
    <x v="3"/>
    <n v="0"/>
    <x v="1"/>
  </r>
  <r>
    <x v="0"/>
    <x v="237"/>
    <x v="4"/>
    <n v="0"/>
    <x v="1"/>
  </r>
  <r>
    <x v="0"/>
    <x v="237"/>
    <x v="5"/>
    <n v="0"/>
    <x v="1"/>
  </r>
  <r>
    <x v="0"/>
    <x v="237"/>
    <x v="6"/>
    <n v="0"/>
    <x v="1"/>
  </r>
  <r>
    <x v="0"/>
    <x v="237"/>
    <x v="7"/>
    <n v="0"/>
    <x v="1"/>
  </r>
  <r>
    <x v="0"/>
    <x v="237"/>
    <x v="8"/>
    <n v="0"/>
    <x v="1"/>
  </r>
  <r>
    <x v="0"/>
    <x v="237"/>
    <x v="9"/>
    <n v="0"/>
    <x v="1"/>
  </r>
  <r>
    <x v="0"/>
    <x v="237"/>
    <x v="10"/>
    <n v="0"/>
    <x v="1"/>
  </r>
  <r>
    <x v="0"/>
    <x v="237"/>
    <x v="11"/>
    <n v="54336"/>
    <x v="1"/>
  </r>
  <r>
    <x v="0"/>
    <x v="238"/>
    <x v="0"/>
    <n v="1414"/>
    <x v="1"/>
  </r>
  <r>
    <x v="0"/>
    <x v="238"/>
    <x v="1"/>
    <n v="1426"/>
    <x v="1"/>
  </r>
  <r>
    <x v="0"/>
    <x v="238"/>
    <x v="2"/>
    <n v="1413"/>
    <x v="1"/>
  </r>
  <r>
    <x v="0"/>
    <x v="238"/>
    <x v="3"/>
    <n v="1415"/>
    <x v="1"/>
  </r>
  <r>
    <x v="0"/>
    <x v="238"/>
    <x v="4"/>
    <n v="1454"/>
    <x v="1"/>
  </r>
  <r>
    <x v="0"/>
    <x v="238"/>
    <x v="5"/>
    <n v="1482"/>
    <x v="1"/>
  </r>
  <r>
    <x v="0"/>
    <x v="238"/>
    <x v="6"/>
    <n v="1477"/>
    <x v="1"/>
  </r>
  <r>
    <x v="0"/>
    <x v="238"/>
    <x v="7"/>
    <n v="1476"/>
    <x v="1"/>
  </r>
  <r>
    <x v="0"/>
    <x v="238"/>
    <x v="8"/>
    <n v="1498"/>
    <x v="1"/>
  </r>
  <r>
    <x v="0"/>
    <x v="238"/>
    <x v="9"/>
    <n v="1547"/>
    <x v="1"/>
  </r>
  <r>
    <x v="0"/>
    <x v="238"/>
    <x v="10"/>
    <n v="1558"/>
    <x v="1"/>
  </r>
  <r>
    <x v="0"/>
    <x v="238"/>
    <x v="11"/>
    <n v="2358"/>
    <x v="1"/>
  </r>
  <r>
    <x v="0"/>
    <x v="239"/>
    <x v="0"/>
    <n v="2460"/>
    <x v="1"/>
  </r>
  <r>
    <x v="0"/>
    <x v="239"/>
    <x v="1"/>
    <n v="2480"/>
    <x v="1"/>
  </r>
  <r>
    <x v="0"/>
    <x v="239"/>
    <x v="2"/>
    <n v="2459"/>
    <x v="1"/>
  </r>
  <r>
    <x v="0"/>
    <x v="239"/>
    <x v="3"/>
    <n v="2463"/>
    <x v="1"/>
  </r>
  <r>
    <x v="0"/>
    <x v="239"/>
    <x v="4"/>
    <n v="2529"/>
    <x v="1"/>
  </r>
  <r>
    <x v="0"/>
    <x v="239"/>
    <x v="5"/>
    <n v="2578"/>
    <x v="1"/>
  </r>
  <r>
    <x v="0"/>
    <x v="239"/>
    <x v="6"/>
    <n v="2536"/>
    <x v="1"/>
  </r>
  <r>
    <x v="0"/>
    <x v="239"/>
    <x v="7"/>
    <n v="2538"/>
    <x v="1"/>
  </r>
  <r>
    <x v="0"/>
    <x v="239"/>
    <x v="8"/>
    <n v="2560"/>
    <x v="1"/>
  </r>
  <r>
    <x v="0"/>
    <x v="239"/>
    <x v="9"/>
    <n v="2643"/>
    <x v="1"/>
  </r>
  <r>
    <x v="0"/>
    <x v="239"/>
    <x v="10"/>
    <n v="2661"/>
    <x v="1"/>
  </r>
  <r>
    <x v="0"/>
    <x v="239"/>
    <x v="11"/>
    <n v="1934"/>
    <x v="1"/>
  </r>
  <r>
    <x v="0"/>
    <x v="240"/>
    <x v="0"/>
    <n v="0"/>
    <x v="1"/>
  </r>
  <r>
    <x v="0"/>
    <x v="240"/>
    <x v="1"/>
    <n v="2562"/>
    <x v="1"/>
  </r>
  <r>
    <x v="0"/>
    <x v="240"/>
    <x v="2"/>
    <n v="0"/>
    <x v="1"/>
  </r>
  <r>
    <x v="0"/>
    <x v="240"/>
    <x v="3"/>
    <n v="0"/>
    <x v="1"/>
  </r>
  <r>
    <x v="0"/>
    <x v="240"/>
    <x v="4"/>
    <n v="0"/>
    <x v="1"/>
  </r>
  <r>
    <x v="0"/>
    <x v="240"/>
    <x v="5"/>
    <n v="0"/>
    <x v="1"/>
  </r>
  <r>
    <x v="0"/>
    <x v="240"/>
    <x v="6"/>
    <n v="0"/>
    <x v="1"/>
  </r>
  <r>
    <x v="0"/>
    <x v="240"/>
    <x v="7"/>
    <n v="0"/>
    <x v="1"/>
  </r>
  <r>
    <x v="0"/>
    <x v="240"/>
    <x v="8"/>
    <n v="0"/>
    <x v="1"/>
  </r>
  <r>
    <x v="0"/>
    <x v="240"/>
    <x v="9"/>
    <n v="0"/>
    <x v="1"/>
  </r>
  <r>
    <x v="0"/>
    <x v="240"/>
    <x v="10"/>
    <n v="0"/>
    <x v="1"/>
  </r>
  <r>
    <x v="0"/>
    <x v="240"/>
    <x v="11"/>
    <n v="4400"/>
    <x v="1"/>
  </r>
  <r>
    <x v="0"/>
    <x v="241"/>
    <x v="0"/>
    <n v="945"/>
    <x v="1"/>
  </r>
  <r>
    <x v="0"/>
    <x v="241"/>
    <x v="1"/>
    <n v="952"/>
    <x v="1"/>
  </r>
  <r>
    <x v="0"/>
    <x v="241"/>
    <x v="2"/>
    <n v="944"/>
    <x v="1"/>
  </r>
  <r>
    <x v="0"/>
    <x v="241"/>
    <x v="3"/>
    <n v="945"/>
    <x v="1"/>
  </r>
  <r>
    <x v="0"/>
    <x v="241"/>
    <x v="4"/>
    <n v="971"/>
    <x v="1"/>
  </r>
  <r>
    <x v="0"/>
    <x v="241"/>
    <x v="5"/>
    <n v="989"/>
    <x v="1"/>
  </r>
  <r>
    <x v="0"/>
    <x v="241"/>
    <x v="6"/>
    <n v="1272"/>
    <x v="1"/>
  </r>
  <r>
    <x v="0"/>
    <x v="241"/>
    <x v="7"/>
    <n v="1280"/>
    <x v="1"/>
  </r>
  <r>
    <x v="0"/>
    <x v="241"/>
    <x v="8"/>
    <n v="1288"/>
    <x v="1"/>
  </r>
  <r>
    <x v="0"/>
    <x v="241"/>
    <x v="9"/>
    <n v="1329"/>
    <x v="1"/>
  </r>
  <r>
    <x v="0"/>
    <x v="241"/>
    <x v="10"/>
    <n v="1338"/>
    <x v="1"/>
  </r>
  <r>
    <x v="0"/>
    <x v="241"/>
    <x v="11"/>
    <n v="966"/>
    <x v="1"/>
  </r>
  <r>
    <x v="0"/>
    <x v="242"/>
    <x v="0"/>
    <n v="0"/>
    <x v="1"/>
  </r>
  <r>
    <x v="0"/>
    <x v="242"/>
    <x v="1"/>
    <n v="0"/>
    <x v="1"/>
  </r>
  <r>
    <x v="0"/>
    <x v="242"/>
    <x v="2"/>
    <n v="0"/>
    <x v="1"/>
  </r>
  <r>
    <x v="0"/>
    <x v="242"/>
    <x v="3"/>
    <n v="0"/>
    <x v="1"/>
  </r>
  <r>
    <x v="0"/>
    <x v="242"/>
    <x v="4"/>
    <n v="0"/>
    <x v="1"/>
  </r>
  <r>
    <x v="0"/>
    <x v="242"/>
    <x v="5"/>
    <n v="0"/>
    <x v="1"/>
  </r>
  <r>
    <x v="0"/>
    <x v="242"/>
    <x v="6"/>
    <n v="0"/>
    <x v="1"/>
  </r>
  <r>
    <x v="0"/>
    <x v="242"/>
    <x v="7"/>
    <n v="221"/>
    <x v="1"/>
  </r>
  <r>
    <x v="0"/>
    <x v="242"/>
    <x v="8"/>
    <n v="0"/>
    <x v="1"/>
  </r>
  <r>
    <x v="0"/>
    <x v="242"/>
    <x v="9"/>
    <n v="0"/>
    <x v="1"/>
  </r>
  <r>
    <x v="0"/>
    <x v="242"/>
    <x v="10"/>
    <n v="0"/>
    <x v="1"/>
  </r>
  <r>
    <x v="0"/>
    <x v="242"/>
    <x v="11"/>
    <n v="4786"/>
    <x v="1"/>
  </r>
  <r>
    <x v="0"/>
    <x v="243"/>
    <x v="0"/>
    <n v="1219"/>
    <x v="1"/>
  </r>
  <r>
    <x v="0"/>
    <x v="243"/>
    <x v="1"/>
    <n v="1229"/>
    <x v="1"/>
  </r>
  <r>
    <x v="0"/>
    <x v="243"/>
    <x v="2"/>
    <n v="1219"/>
    <x v="1"/>
  </r>
  <r>
    <x v="0"/>
    <x v="243"/>
    <x v="3"/>
    <n v="1221"/>
    <x v="1"/>
  </r>
  <r>
    <x v="0"/>
    <x v="243"/>
    <x v="4"/>
    <n v="0"/>
    <x v="1"/>
  </r>
  <r>
    <x v="0"/>
    <x v="243"/>
    <x v="5"/>
    <n v="0"/>
    <x v="1"/>
  </r>
  <r>
    <x v="0"/>
    <x v="243"/>
    <x v="6"/>
    <n v="0"/>
    <x v="1"/>
  </r>
  <r>
    <x v="0"/>
    <x v="243"/>
    <x v="7"/>
    <n v="0"/>
    <x v="1"/>
  </r>
  <r>
    <x v="0"/>
    <x v="243"/>
    <x v="8"/>
    <n v="0"/>
    <x v="1"/>
  </r>
  <r>
    <x v="0"/>
    <x v="243"/>
    <x v="9"/>
    <n v="0"/>
    <x v="1"/>
  </r>
  <r>
    <x v="0"/>
    <x v="243"/>
    <x v="10"/>
    <n v="0"/>
    <x v="1"/>
  </r>
  <r>
    <x v="0"/>
    <x v="243"/>
    <x v="11"/>
    <n v="0"/>
    <x v="1"/>
  </r>
  <r>
    <x v="0"/>
    <x v="244"/>
    <x v="0"/>
    <n v="2379"/>
    <x v="1"/>
  </r>
  <r>
    <x v="0"/>
    <x v="244"/>
    <x v="1"/>
    <n v="2399"/>
    <x v="1"/>
  </r>
  <r>
    <x v="0"/>
    <x v="244"/>
    <x v="2"/>
    <n v="2378"/>
    <x v="1"/>
  </r>
  <r>
    <x v="0"/>
    <x v="244"/>
    <x v="3"/>
    <n v="2381"/>
    <x v="1"/>
  </r>
  <r>
    <x v="0"/>
    <x v="244"/>
    <x v="4"/>
    <n v="2445"/>
    <x v="1"/>
  </r>
  <r>
    <x v="0"/>
    <x v="244"/>
    <x v="5"/>
    <n v="2493"/>
    <x v="1"/>
  </r>
  <r>
    <x v="0"/>
    <x v="244"/>
    <x v="6"/>
    <n v="2485"/>
    <x v="1"/>
  </r>
  <r>
    <x v="0"/>
    <x v="244"/>
    <x v="7"/>
    <n v="0"/>
    <x v="1"/>
  </r>
  <r>
    <x v="0"/>
    <x v="244"/>
    <x v="8"/>
    <n v="0"/>
    <x v="1"/>
  </r>
  <r>
    <x v="0"/>
    <x v="244"/>
    <x v="9"/>
    <n v="0"/>
    <x v="1"/>
  </r>
  <r>
    <x v="0"/>
    <x v="244"/>
    <x v="10"/>
    <n v="0"/>
    <x v="1"/>
  </r>
  <r>
    <x v="0"/>
    <x v="244"/>
    <x v="11"/>
    <n v="0"/>
    <x v="1"/>
  </r>
  <r>
    <x v="0"/>
    <x v="245"/>
    <x v="0"/>
    <n v="1955"/>
    <x v="1"/>
  </r>
  <r>
    <x v="0"/>
    <x v="245"/>
    <x v="1"/>
    <n v="1971"/>
    <x v="1"/>
  </r>
  <r>
    <x v="0"/>
    <x v="245"/>
    <x v="2"/>
    <n v="1954"/>
    <x v="1"/>
  </r>
  <r>
    <x v="0"/>
    <x v="245"/>
    <x v="3"/>
    <n v="1957"/>
    <x v="1"/>
  </r>
  <r>
    <x v="0"/>
    <x v="245"/>
    <x v="4"/>
    <n v="2009"/>
    <x v="1"/>
  </r>
  <r>
    <x v="0"/>
    <x v="245"/>
    <x v="5"/>
    <n v="2049"/>
    <x v="1"/>
  </r>
  <r>
    <x v="0"/>
    <x v="245"/>
    <x v="6"/>
    <n v="2042"/>
    <x v="1"/>
  </r>
  <r>
    <x v="0"/>
    <x v="245"/>
    <x v="7"/>
    <n v="4328"/>
    <x v="1"/>
  </r>
  <r>
    <x v="0"/>
    <x v="245"/>
    <x v="8"/>
    <n v="2314"/>
    <x v="1"/>
  </r>
  <r>
    <x v="0"/>
    <x v="245"/>
    <x v="9"/>
    <n v="2389"/>
    <x v="1"/>
  </r>
  <r>
    <x v="0"/>
    <x v="245"/>
    <x v="10"/>
    <n v="2405"/>
    <x v="1"/>
  </r>
  <r>
    <x v="0"/>
    <x v="245"/>
    <x v="11"/>
    <n v="2412"/>
    <x v="1"/>
  </r>
  <r>
    <x v="0"/>
    <x v="246"/>
    <x v="0"/>
    <n v="1025"/>
    <x v="1"/>
  </r>
  <r>
    <x v="0"/>
    <x v="246"/>
    <x v="1"/>
    <n v="1033"/>
    <x v="1"/>
  </r>
  <r>
    <x v="0"/>
    <x v="246"/>
    <x v="2"/>
    <n v="1025"/>
    <x v="1"/>
  </r>
  <r>
    <x v="0"/>
    <x v="246"/>
    <x v="3"/>
    <n v="1026"/>
    <x v="1"/>
  </r>
  <r>
    <x v="0"/>
    <x v="246"/>
    <x v="4"/>
    <n v="1054"/>
    <x v="1"/>
  </r>
  <r>
    <x v="0"/>
    <x v="246"/>
    <x v="5"/>
    <n v="1074"/>
    <x v="1"/>
  </r>
  <r>
    <x v="0"/>
    <x v="246"/>
    <x v="6"/>
    <n v="1071"/>
    <x v="1"/>
  </r>
  <r>
    <x v="0"/>
    <x v="246"/>
    <x v="7"/>
    <n v="1682"/>
    <x v="1"/>
  </r>
  <r>
    <x v="0"/>
    <x v="246"/>
    <x v="8"/>
    <n v="1395"/>
    <x v="1"/>
  </r>
  <r>
    <x v="0"/>
    <x v="246"/>
    <x v="9"/>
    <n v="1440"/>
    <x v="1"/>
  </r>
  <r>
    <x v="0"/>
    <x v="246"/>
    <x v="10"/>
    <n v="1450"/>
    <x v="1"/>
  </r>
  <r>
    <x v="0"/>
    <x v="246"/>
    <x v="11"/>
    <n v="1172"/>
    <x v="1"/>
  </r>
  <r>
    <x v="0"/>
    <x v="247"/>
    <x v="0"/>
    <n v="0"/>
    <x v="1"/>
  </r>
  <r>
    <x v="0"/>
    <x v="247"/>
    <x v="1"/>
    <n v="0"/>
    <x v="1"/>
  </r>
  <r>
    <x v="0"/>
    <x v="247"/>
    <x v="2"/>
    <n v="0"/>
    <x v="1"/>
  </r>
  <r>
    <x v="0"/>
    <x v="247"/>
    <x v="3"/>
    <n v="0"/>
    <x v="1"/>
  </r>
  <r>
    <x v="0"/>
    <x v="247"/>
    <x v="4"/>
    <n v="0"/>
    <x v="1"/>
  </r>
  <r>
    <x v="0"/>
    <x v="247"/>
    <x v="5"/>
    <n v="0"/>
    <x v="1"/>
  </r>
  <r>
    <x v="0"/>
    <x v="247"/>
    <x v="6"/>
    <n v="0"/>
    <x v="1"/>
  </r>
  <r>
    <x v="0"/>
    <x v="247"/>
    <x v="7"/>
    <n v="0"/>
    <x v="1"/>
  </r>
  <r>
    <x v="0"/>
    <x v="247"/>
    <x v="8"/>
    <n v="0"/>
    <x v="1"/>
  </r>
  <r>
    <x v="0"/>
    <x v="247"/>
    <x v="9"/>
    <n v="0"/>
    <x v="1"/>
  </r>
  <r>
    <x v="0"/>
    <x v="247"/>
    <x v="10"/>
    <n v="0"/>
    <x v="1"/>
  </r>
  <r>
    <x v="0"/>
    <x v="247"/>
    <x v="11"/>
    <n v="2059"/>
    <x v="1"/>
  </r>
  <r>
    <x v="0"/>
    <x v="248"/>
    <x v="0"/>
    <n v="1881"/>
    <x v="1"/>
  </r>
  <r>
    <x v="0"/>
    <x v="248"/>
    <x v="1"/>
    <n v="1898"/>
    <x v="1"/>
  </r>
  <r>
    <x v="0"/>
    <x v="248"/>
    <x v="2"/>
    <n v="1881"/>
    <x v="1"/>
  </r>
  <r>
    <x v="0"/>
    <x v="248"/>
    <x v="3"/>
    <n v="1884"/>
    <x v="1"/>
  </r>
  <r>
    <x v="0"/>
    <x v="248"/>
    <x v="4"/>
    <n v="1935"/>
    <x v="1"/>
  </r>
  <r>
    <x v="0"/>
    <x v="248"/>
    <x v="5"/>
    <n v="1972"/>
    <x v="1"/>
  </r>
  <r>
    <x v="0"/>
    <x v="248"/>
    <x v="6"/>
    <n v="1966"/>
    <x v="1"/>
  </r>
  <r>
    <x v="0"/>
    <x v="248"/>
    <x v="7"/>
    <n v="0"/>
    <x v="1"/>
  </r>
  <r>
    <x v="0"/>
    <x v="248"/>
    <x v="8"/>
    <n v="0"/>
    <x v="1"/>
  </r>
  <r>
    <x v="0"/>
    <x v="248"/>
    <x v="9"/>
    <n v="0"/>
    <x v="1"/>
  </r>
  <r>
    <x v="0"/>
    <x v="248"/>
    <x v="10"/>
    <n v="0"/>
    <x v="1"/>
  </r>
  <r>
    <x v="0"/>
    <x v="248"/>
    <x v="11"/>
    <n v="0"/>
    <x v="1"/>
  </r>
  <r>
    <x v="0"/>
    <x v="249"/>
    <x v="0"/>
    <n v="0"/>
    <x v="1"/>
  </r>
  <r>
    <x v="0"/>
    <x v="249"/>
    <x v="1"/>
    <n v="0"/>
    <x v="1"/>
  </r>
  <r>
    <x v="0"/>
    <x v="249"/>
    <x v="2"/>
    <n v="0"/>
    <x v="1"/>
  </r>
  <r>
    <x v="0"/>
    <x v="249"/>
    <x v="3"/>
    <n v="0"/>
    <x v="1"/>
  </r>
  <r>
    <x v="0"/>
    <x v="249"/>
    <x v="4"/>
    <n v="0"/>
    <x v="1"/>
  </r>
  <r>
    <x v="0"/>
    <x v="249"/>
    <x v="5"/>
    <n v="0"/>
    <x v="1"/>
  </r>
  <r>
    <x v="0"/>
    <x v="249"/>
    <x v="6"/>
    <n v="0"/>
    <x v="1"/>
  </r>
  <r>
    <x v="0"/>
    <x v="249"/>
    <x v="7"/>
    <n v="0"/>
    <x v="1"/>
  </r>
  <r>
    <x v="0"/>
    <x v="249"/>
    <x v="8"/>
    <n v="0"/>
    <x v="1"/>
  </r>
  <r>
    <x v="0"/>
    <x v="249"/>
    <x v="9"/>
    <n v="0"/>
    <x v="1"/>
  </r>
  <r>
    <x v="0"/>
    <x v="249"/>
    <x v="10"/>
    <n v="0"/>
    <x v="1"/>
  </r>
  <r>
    <x v="0"/>
    <x v="249"/>
    <x v="11"/>
    <n v="0"/>
    <x v="1"/>
  </r>
  <r>
    <x v="0"/>
    <x v="250"/>
    <x v="0"/>
    <n v="3100"/>
    <x v="1"/>
  </r>
  <r>
    <x v="0"/>
    <x v="250"/>
    <x v="1"/>
    <n v="3127"/>
    <x v="1"/>
  </r>
  <r>
    <x v="0"/>
    <x v="250"/>
    <x v="2"/>
    <n v="3099"/>
    <x v="1"/>
  </r>
  <r>
    <x v="0"/>
    <x v="250"/>
    <x v="3"/>
    <n v="3104"/>
    <x v="1"/>
  </r>
  <r>
    <x v="0"/>
    <x v="250"/>
    <x v="4"/>
    <n v="0"/>
    <x v="1"/>
  </r>
  <r>
    <x v="0"/>
    <x v="250"/>
    <x v="5"/>
    <n v="0"/>
    <x v="1"/>
  </r>
  <r>
    <x v="0"/>
    <x v="250"/>
    <x v="6"/>
    <n v="0"/>
    <x v="1"/>
  </r>
  <r>
    <x v="0"/>
    <x v="250"/>
    <x v="7"/>
    <n v="0"/>
    <x v="1"/>
  </r>
  <r>
    <x v="0"/>
    <x v="250"/>
    <x v="8"/>
    <n v="0"/>
    <x v="1"/>
  </r>
  <r>
    <x v="0"/>
    <x v="250"/>
    <x v="9"/>
    <n v="0"/>
    <x v="1"/>
  </r>
  <r>
    <x v="0"/>
    <x v="250"/>
    <x v="10"/>
    <n v="0"/>
    <x v="1"/>
  </r>
  <r>
    <x v="0"/>
    <x v="250"/>
    <x v="11"/>
    <n v="0"/>
    <x v="1"/>
  </r>
  <r>
    <x v="0"/>
    <x v="251"/>
    <x v="0"/>
    <n v="1219"/>
    <x v="1"/>
  </r>
  <r>
    <x v="0"/>
    <x v="251"/>
    <x v="1"/>
    <n v="1230"/>
    <x v="1"/>
  </r>
  <r>
    <x v="0"/>
    <x v="251"/>
    <x v="2"/>
    <n v="1219"/>
    <x v="1"/>
  </r>
  <r>
    <x v="0"/>
    <x v="251"/>
    <x v="3"/>
    <n v="1220"/>
    <x v="1"/>
  </r>
  <r>
    <x v="0"/>
    <x v="251"/>
    <x v="4"/>
    <n v="1253"/>
    <x v="1"/>
  </r>
  <r>
    <x v="0"/>
    <x v="251"/>
    <x v="5"/>
    <n v="1278"/>
    <x v="1"/>
  </r>
  <r>
    <x v="0"/>
    <x v="251"/>
    <x v="6"/>
    <n v="1274"/>
    <x v="1"/>
  </r>
  <r>
    <x v="0"/>
    <x v="251"/>
    <x v="7"/>
    <n v="1415"/>
    <x v="1"/>
  </r>
  <r>
    <x v="0"/>
    <x v="251"/>
    <x v="8"/>
    <n v="1292"/>
    <x v="1"/>
  </r>
  <r>
    <x v="0"/>
    <x v="251"/>
    <x v="9"/>
    <n v="1334"/>
    <x v="1"/>
  </r>
  <r>
    <x v="0"/>
    <x v="251"/>
    <x v="10"/>
    <n v="1343"/>
    <x v="1"/>
  </r>
  <r>
    <x v="0"/>
    <x v="251"/>
    <x v="11"/>
    <n v="1346"/>
    <x v="1"/>
  </r>
  <r>
    <x v="0"/>
    <x v="252"/>
    <x v="0"/>
    <n v="2555"/>
    <x v="1"/>
  </r>
  <r>
    <x v="0"/>
    <x v="252"/>
    <x v="1"/>
    <n v="2576"/>
    <x v="1"/>
  </r>
  <r>
    <x v="0"/>
    <x v="252"/>
    <x v="2"/>
    <n v="2554"/>
    <x v="1"/>
  </r>
  <r>
    <x v="0"/>
    <x v="252"/>
    <x v="3"/>
    <n v="2557"/>
    <x v="1"/>
  </r>
  <r>
    <x v="0"/>
    <x v="252"/>
    <x v="4"/>
    <n v="2626"/>
    <x v="1"/>
  </r>
  <r>
    <x v="0"/>
    <x v="252"/>
    <x v="5"/>
    <n v="2634"/>
    <x v="1"/>
  </r>
  <r>
    <x v="0"/>
    <x v="252"/>
    <x v="6"/>
    <n v="2625"/>
    <x v="1"/>
  </r>
  <r>
    <x v="0"/>
    <x v="252"/>
    <x v="7"/>
    <n v="2649"/>
    <x v="1"/>
  </r>
  <r>
    <x v="0"/>
    <x v="252"/>
    <x v="8"/>
    <n v="2663"/>
    <x v="1"/>
  </r>
  <r>
    <x v="0"/>
    <x v="252"/>
    <x v="9"/>
    <n v="2750"/>
    <x v="1"/>
  </r>
  <r>
    <x v="0"/>
    <x v="252"/>
    <x v="10"/>
    <n v="2768"/>
    <x v="1"/>
  </r>
  <r>
    <x v="0"/>
    <x v="252"/>
    <x v="11"/>
    <n v="3316"/>
    <x v="1"/>
  </r>
  <r>
    <x v="0"/>
    <x v="253"/>
    <x v="0"/>
    <n v="0"/>
    <x v="1"/>
  </r>
  <r>
    <x v="0"/>
    <x v="253"/>
    <x v="1"/>
    <n v="0"/>
    <x v="1"/>
  </r>
  <r>
    <x v="0"/>
    <x v="253"/>
    <x v="2"/>
    <n v="0"/>
    <x v="1"/>
  </r>
  <r>
    <x v="0"/>
    <x v="253"/>
    <x v="3"/>
    <n v="0"/>
    <x v="1"/>
  </r>
  <r>
    <x v="0"/>
    <x v="253"/>
    <x v="4"/>
    <n v="0"/>
    <x v="1"/>
  </r>
  <r>
    <x v="0"/>
    <x v="253"/>
    <x v="5"/>
    <n v="0"/>
    <x v="1"/>
  </r>
  <r>
    <x v="0"/>
    <x v="253"/>
    <x v="6"/>
    <n v="0"/>
    <x v="1"/>
  </r>
  <r>
    <x v="0"/>
    <x v="253"/>
    <x v="7"/>
    <n v="14677"/>
    <x v="1"/>
  </r>
  <r>
    <x v="0"/>
    <x v="253"/>
    <x v="8"/>
    <n v="0"/>
    <x v="1"/>
  </r>
  <r>
    <x v="0"/>
    <x v="253"/>
    <x v="9"/>
    <n v="0"/>
    <x v="1"/>
  </r>
  <r>
    <x v="0"/>
    <x v="253"/>
    <x v="10"/>
    <n v="0"/>
    <x v="1"/>
  </r>
  <r>
    <x v="0"/>
    <x v="253"/>
    <x v="11"/>
    <n v="0"/>
    <x v="1"/>
  </r>
  <r>
    <x v="0"/>
    <x v="254"/>
    <x v="0"/>
    <n v="964"/>
    <x v="1"/>
  </r>
  <r>
    <x v="0"/>
    <x v="254"/>
    <x v="1"/>
    <n v="1095"/>
    <x v="1"/>
  </r>
  <r>
    <x v="0"/>
    <x v="254"/>
    <x v="2"/>
    <n v="1024"/>
    <x v="1"/>
  </r>
  <r>
    <x v="0"/>
    <x v="254"/>
    <x v="3"/>
    <n v="1026"/>
    <x v="1"/>
  </r>
  <r>
    <x v="0"/>
    <x v="254"/>
    <x v="4"/>
    <n v="1053"/>
    <x v="1"/>
  </r>
  <r>
    <x v="0"/>
    <x v="254"/>
    <x v="5"/>
    <n v="1074"/>
    <x v="1"/>
  </r>
  <r>
    <x v="0"/>
    <x v="254"/>
    <x v="6"/>
    <n v="1071"/>
    <x v="1"/>
  </r>
  <r>
    <x v="0"/>
    <x v="254"/>
    <x v="7"/>
    <n v="1303"/>
    <x v="1"/>
  </r>
  <r>
    <x v="0"/>
    <x v="254"/>
    <x v="8"/>
    <n v="1086"/>
    <x v="1"/>
  </r>
  <r>
    <x v="0"/>
    <x v="254"/>
    <x v="9"/>
    <n v="1121"/>
    <x v="1"/>
  </r>
  <r>
    <x v="0"/>
    <x v="254"/>
    <x v="10"/>
    <n v="1129"/>
    <x v="1"/>
  </r>
  <r>
    <x v="0"/>
    <x v="254"/>
    <x v="11"/>
    <n v="2699"/>
    <x v="1"/>
  </r>
  <r>
    <x v="0"/>
    <x v="255"/>
    <x v="0"/>
    <n v="687"/>
    <x v="1"/>
  </r>
  <r>
    <x v="0"/>
    <x v="255"/>
    <x v="1"/>
    <n v="816"/>
    <x v="1"/>
  </r>
  <r>
    <x v="0"/>
    <x v="255"/>
    <x v="2"/>
    <n v="748"/>
    <x v="1"/>
  </r>
  <r>
    <x v="0"/>
    <x v="255"/>
    <x v="3"/>
    <n v="750"/>
    <x v="1"/>
  </r>
  <r>
    <x v="0"/>
    <x v="255"/>
    <x v="4"/>
    <n v="769"/>
    <x v="1"/>
  </r>
  <r>
    <x v="0"/>
    <x v="255"/>
    <x v="5"/>
    <n v="784"/>
    <x v="1"/>
  </r>
  <r>
    <x v="0"/>
    <x v="255"/>
    <x v="6"/>
    <n v="782"/>
    <x v="1"/>
  </r>
  <r>
    <x v="0"/>
    <x v="255"/>
    <x v="7"/>
    <n v="782"/>
    <x v="1"/>
  </r>
  <r>
    <x v="0"/>
    <x v="255"/>
    <x v="8"/>
    <n v="793"/>
    <x v="1"/>
  </r>
  <r>
    <x v="0"/>
    <x v="255"/>
    <x v="9"/>
    <n v="818"/>
    <x v="1"/>
  </r>
  <r>
    <x v="0"/>
    <x v="255"/>
    <x v="10"/>
    <n v="824"/>
    <x v="1"/>
  </r>
  <r>
    <x v="0"/>
    <x v="255"/>
    <x v="11"/>
    <n v="827"/>
    <x v="1"/>
  </r>
  <r>
    <x v="0"/>
    <x v="256"/>
    <x v="0"/>
    <n v="3035"/>
    <x v="1"/>
  </r>
  <r>
    <x v="0"/>
    <x v="256"/>
    <x v="1"/>
    <n v="3808"/>
    <x v="1"/>
  </r>
  <r>
    <x v="0"/>
    <x v="256"/>
    <x v="2"/>
    <n v="4551"/>
    <x v="1"/>
  </r>
  <r>
    <x v="0"/>
    <x v="256"/>
    <x v="3"/>
    <n v="0"/>
    <x v="1"/>
  </r>
  <r>
    <x v="0"/>
    <x v="256"/>
    <x v="4"/>
    <n v="0"/>
    <x v="1"/>
  </r>
  <r>
    <x v="0"/>
    <x v="256"/>
    <x v="5"/>
    <n v="0"/>
    <x v="1"/>
  </r>
  <r>
    <x v="0"/>
    <x v="256"/>
    <x v="6"/>
    <n v="0"/>
    <x v="1"/>
  </r>
  <r>
    <x v="0"/>
    <x v="256"/>
    <x v="7"/>
    <n v="0"/>
    <x v="1"/>
  </r>
  <r>
    <x v="0"/>
    <x v="256"/>
    <x v="8"/>
    <n v="0"/>
    <x v="1"/>
  </r>
  <r>
    <x v="0"/>
    <x v="256"/>
    <x v="9"/>
    <n v="0"/>
    <x v="1"/>
  </r>
  <r>
    <x v="0"/>
    <x v="256"/>
    <x v="10"/>
    <n v="0"/>
    <x v="1"/>
  </r>
  <r>
    <x v="0"/>
    <x v="256"/>
    <x v="11"/>
    <n v="0"/>
    <x v="1"/>
  </r>
  <r>
    <x v="0"/>
    <x v="257"/>
    <x v="0"/>
    <n v="2400"/>
    <x v="1"/>
  </r>
  <r>
    <x v="0"/>
    <x v="257"/>
    <x v="1"/>
    <n v="4782"/>
    <x v="1"/>
  </r>
  <r>
    <x v="0"/>
    <x v="257"/>
    <x v="2"/>
    <n v="0"/>
    <x v="1"/>
  </r>
  <r>
    <x v="0"/>
    <x v="257"/>
    <x v="3"/>
    <n v="0"/>
    <x v="1"/>
  </r>
  <r>
    <x v="0"/>
    <x v="257"/>
    <x v="4"/>
    <n v="0"/>
    <x v="1"/>
  </r>
  <r>
    <x v="0"/>
    <x v="257"/>
    <x v="5"/>
    <n v="0"/>
    <x v="1"/>
  </r>
  <r>
    <x v="0"/>
    <x v="257"/>
    <x v="6"/>
    <n v="0"/>
    <x v="1"/>
  </r>
  <r>
    <x v="0"/>
    <x v="257"/>
    <x v="7"/>
    <n v="0"/>
    <x v="1"/>
  </r>
  <r>
    <x v="0"/>
    <x v="257"/>
    <x v="8"/>
    <n v="0"/>
    <x v="1"/>
  </r>
  <r>
    <x v="0"/>
    <x v="257"/>
    <x v="9"/>
    <n v="0"/>
    <x v="1"/>
  </r>
  <r>
    <x v="0"/>
    <x v="257"/>
    <x v="10"/>
    <n v="0"/>
    <x v="1"/>
  </r>
  <r>
    <x v="0"/>
    <x v="257"/>
    <x v="11"/>
    <n v="0"/>
    <x v="1"/>
  </r>
  <r>
    <x v="0"/>
    <x v="258"/>
    <x v="0"/>
    <n v="0"/>
    <x v="1"/>
  </r>
  <r>
    <x v="0"/>
    <x v="258"/>
    <x v="1"/>
    <n v="1244"/>
    <x v="1"/>
  </r>
  <r>
    <x v="0"/>
    <x v="258"/>
    <x v="2"/>
    <n v="1233"/>
    <x v="1"/>
  </r>
  <r>
    <x v="0"/>
    <x v="258"/>
    <x v="3"/>
    <n v="1235"/>
    <x v="1"/>
  </r>
  <r>
    <x v="0"/>
    <x v="258"/>
    <x v="4"/>
    <n v="1268"/>
    <x v="1"/>
  </r>
  <r>
    <x v="0"/>
    <x v="258"/>
    <x v="5"/>
    <n v="1292"/>
    <x v="1"/>
  </r>
  <r>
    <x v="0"/>
    <x v="258"/>
    <x v="6"/>
    <n v="1288"/>
    <x v="1"/>
  </r>
  <r>
    <x v="0"/>
    <x v="258"/>
    <x v="7"/>
    <n v="1289"/>
    <x v="1"/>
  </r>
  <r>
    <x v="0"/>
    <x v="258"/>
    <x v="8"/>
    <n v="1307"/>
    <x v="1"/>
  </r>
  <r>
    <x v="0"/>
    <x v="258"/>
    <x v="9"/>
    <n v="1349"/>
    <x v="1"/>
  </r>
  <r>
    <x v="0"/>
    <x v="258"/>
    <x v="10"/>
    <n v="1358"/>
    <x v="1"/>
  </r>
  <r>
    <x v="0"/>
    <x v="258"/>
    <x v="11"/>
    <n v="2917"/>
    <x v="1"/>
  </r>
  <r>
    <x v="0"/>
    <x v="259"/>
    <x v="0"/>
    <n v="0"/>
    <x v="1"/>
  </r>
  <r>
    <x v="0"/>
    <x v="259"/>
    <x v="1"/>
    <n v="0"/>
    <x v="1"/>
  </r>
  <r>
    <x v="0"/>
    <x v="259"/>
    <x v="2"/>
    <n v="0"/>
    <x v="1"/>
  </r>
  <r>
    <x v="0"/>
    <x v="259"/>
    <x v="3"/>
    <n v="0"/>
    <x v="1"/>
  </r>
  <r>
    <x v="0"/>
    <x v="259"/>
    <x v="4"/>
    <n v="0"/>
    <x v="1"/>
  </r>
  <r>
    <x v="0"/>
    <x v="259"/>
    <x v="5"/>
    <n v="0"/>
    <x v="1"/>
  </r>
  <r>
    <x v="0"/>
    <x v="259"/>
    <x v="6"/>
    <n v="0"/>
    <x v="1"/>
  </r>
  <r>
    <x v="0"/>
    <x v="259"/>
    <x v="7"/>
    <n v="1033"/>
    <x v="1"/>
  </r>
  <r>
    <x v="0"/>
    <x v="259"/>
    <x v="8"/>
    <n v="1047"/>
    <x v="1"/>
  </r>
  <r>
    <x v="0"/>
    <x v="259"/>
    <x v="9"/>
    <n v="1081"/>
    <x v="1"/>
  </r>
  <r>
    <x v="0"/>
    <x v="259"/>
    <x v="10"/>
    <n v="1088"/>
    <x v="1"/>
  </r>
  <r>
    <x v="0"/>
    <x v="259"/>
    <x v="11"/>
    <n v="1047"/>
    <x v="1"/>
  </r>
  <r>
    <x v="0"/>
    <x v="260"/>
    <x v="0"/>
    <n v="0"/>
    <x v="1"/>
  </r>
  <r>
    <x v="0"/>
    <x v="260"/>
    <x v="1"/>
    <n v="0"/>
    <x v="1"/>
  </r>
  <r>
    <x v="0"/>
    <x v="260"/>
    <x v="2"/>
    <n v="0"/>
    <x v="1"/>
  </r>
  <r>
    <x v="0"/>
    <x v="260"/>
    <x v="3"/>
    <n v="1822"/>
    <x v="1"/>
  </r>
  <r>
    <x v="0"/>
    <x v="260"/>
    <x v="4"/>
    <n v="1871"/>
    <x v="1"/>
  </r>
  <r>
    <x v="0"/>
    <x v="260"/>
    <x v="5"/>
    <n v="1912"/>
    <x v="1"/>
  </r>
  <r>
    <x v="0"/>
    <x v="260"/>
    <x v="6"/>
    <n v="1902"/>
    <x v="1"/>
  </r>
  <r>
    <x v="0"/>
    <x v="260"/>
    <x v="7"/>
    <n v="1903"/>
    <x v="1"/>
  </r>
  <r>
    <x v="0"/>
    <x v="260"/>
    <x v="8"/>
    <n v="2442"/>
    <x v="1"/>
  </r>
  <r>
    <x v="0"/>
    <x v="260"/>
    <x v="9"/>
    <n v="2493"/>
    <x v="1"/>
  </r>
  <r>
    <x v="0"/>
    <x v="260"/>
    <x v="10"/>
    <n v="1953"/>
    <x v="1"/>
  </r>
  <r>
    <x v="0"/>
    <x v="260"/>
    <x v="11"/>
    <n v="6269"/>
    <x v="1"/>
  </r>
  <r>
    <x v="0"/>
    <x v="261"/>
    <x v="0"/>
    <n v="0"/>
    <x v="1"/>
  </r>
  <r>
    <x v="0"/>
    <x v="261"/>
    <x v="1"/>
    <n v="0"/>
    <x v="1"/>
  </r>
  <r>
    <x v="0"/>
    <x v="261"/>
    <x v="2"/>
    <n v="0"/>
    <x v="1"/>
  </r>
  <r>
    <x v="0"/>
    <x v="261"/>
    <x v="3"/>
    <n v="0"/>
    <x v="1"/>
  </r>
  <r>
    <x v="0"/>
    <x v="261"/>
    <x v="4"/>
    <n v="0"/>
    <x v="1"/>
  </r>
  <r>
    <x v="0"/>
    <x v="261"/>
    <x v="5"/>
    <n v="0"/>
    <x v="1"/>
  </r>
  <r>
    <x v="0"/>
    <x v="261"/>
    <x v="6"/>
    <n v="0"/>
    <x v="1"/>
  </r>
  <r>
    <x v="0"/>
    <x v="261"/>
    <x v="7"/>
    <n v="0"/>
    <x v="1"/>
  </r>
  <r>
    <x v="0"/>
    <x v="261"/>
    <x v="8"/>
    <n v="0"/>
    <x v="1"/>
  </r>
  <r>
    <x v="0"/>
    <x v="261"/>
    <x v="9"/>
    <n v="0"/>
    <x v="1"/>
  </r>
  <r>
    <x v="0"/>
    <x v="261"/>
    <x v="10"/>
    <n v="2720"/>
    <x v="1"/>
  </r>
  <r>
    <x v="0"/>
    <x v="261"/>
    <x v="11"/>
    <n v="2647"/>
    <x v="1"/>
  </r>
  <r>
    <x v="0"/>
    <x v="262"/>
    <x v="0"/>
    <n v="0"/>
    <x v="1"/>
  </r>
  <r>
    <x v="0"/>
    <x v="262"/>
    <x v="1"/>
    <n v="0"/>
    <x v="1"/>
  </r>
  <r>
    <x v="0"/>
    <x v="262"/>
    <x v="2"/>
    <n v="0"/>
    <x v="1"/>
  </r>
  <r>
    <x v="0"/>
    <x v="262"/>
    <x v="3"/>
    <n v="14631"/>
    <x v="1"/>
  </r>
  <r>
    <x v="0"/>
    <x v="262"/>
    <x v="4"/>
    <n v="26179"/>
    <x v="1"/>
  </r>
  <r>
    <x v="0"/>
    <x v="262"/>
    <x v="5"/>
    <n v="25002"/>
    <x v="1"/>
  </r>
  <r>
    <x v="0"/>
    <x v="262"/>
    <x v="6"/>
    <n v="56371"/>
    <x v="1"/>
  </r>
  <r>
    <x v="0"/>
    <x v="262"/>
    <x v="7"/>
    <n v="28576"/>
    <x v="1"/>
  </r>
  <r>
    <x v="0"/>
    <x v="262"/>
    <x v="8"/>
    <n v="0"/>
    <x v="1"/>
  </r>
  <r>
    <x v="0"/>
    <x v="262"/>
    <x v="9"/>
    <n v="0"/>
    <x v="1"/>
  </r>
  <r>
    <x v="0"/>
    <x v="262"/>
    <x v="10"/>
    <n v="37270"/>
    <x v="1"/>
  </r>
  <r>
    <x v="0"/>
    <x v="262"/>
    <x v="11"/>
    <n v="38352"/>
    <x v="1"/>
  </r>
  <r>
    <x v="0"/>
    <x v="80"/>
    <x v="0"/>
    <n v="4330"/>
    <x v="1"/>
  </r>
  <r>
    <x v="0"/>
    <x v="80"/>
    <x v="1"/>
    <n v="5452"/>
    <x v="1"/>
  </r>
  <r>
    <x v="0"/>
    <x v="80"/>
    <x v="2"/>
    <n v="5916"/>
    <x v="1"/>
  </r>
  <r>
    <x v="0"/>
    <x v="80"/>
    <x v="3"/>
    <n v="5683"/>
    <x v="1"/>
  </r>
  <r>
    <x v="0"/>
    <x v="80"/>
    <x v="4"/>
    <n v="5581"/>
    <x v="1"/>
  </r>
  <r>
    <x v="0"/>
    <x v="80"/>
    <x v="5"/>
    <n v="6721"/>
    <x v="1"/>
  </r>
  <r>
    <x v="0"/>
    <x v="80"/>
    <x v="6"/>
    <n v="4717"/>
    <x v="1"/>
  </r>
  <r>
    <x v="0"/>
    <x v="80"/>
    <x v="7"/>
    <n v="5649"/>
    <x v="1"/>
  </r>
  <r>
    <x v="0"/>
    <x v="80"/>
    <x v="8"/>
    <n v="7170"/>
    <x v="1"/>
  </r>
  <r>
    <x v="0"/>
    <x v="80"/>
    <x v="9"/>
    <n v="4577"/>
    <x v="1"/>
  </r>
  <r>
    <x v="0"/>
    <x v="80"/>
    <x v="10"/>
    <n v="4608"/>
    <x v="1"/>
  </r>
  <r>
    <x v="0"/>
    <x v="80"/>
    <x v="11"/>
    <n v="5211"/>
    <x v="1"/>
  </r>
  <r>
    <x v="0"/>
    <x v="263"/>
    <x v="0"/>
    <n v="94"/>
    <x v="1"/>
  </r>
  <r>
    <x v="0"/>
    <x v="263"/>
    <x v="1"/>
    <n v="0"/>
    <x v="1"/>
  </r>
  <r>
    <x v="0"/>
    <x v="263"/>
    <x v="2"/>
    <n v="94"/>
    <x v="1"/>
  </r>
  <r>
    <x v="0"/>
    <x v="263"/>
    <x v="3"/>
    <n v="95"/>
    <x v="1"/>
  </r>
  <r>
    <x v="0"/>
    <x v="263"/>
    <x v="4"/>
    <n v="0"/>
    <x v="1"/>
  </r>
  <r>
    <x v="0"/>
    <x v="263"/>
    <x v="5"/>
    <n v="197"/>
    <x v="1"/>
  </r>
  <r>
    <x v="0"/>
    <x v="263"/>
    <x v="6"/>
    <n v="99"/>
    <x v="1"/>
  </r>
  <r>
    <x v="0"/>
    <x v="263"/>
    <x v="7"/>
    <n v="102"/>
    <x v="1"/>
  </r>
  <r>
    <x v="0"/>
    <x v="263"/>
    <x v="8"/>
    <n v="100"/>
    <x v="1"/>
  </r>
  <r>
    <x v="0"/>
    <x v="263"/>
    <x v="9"/>
    <n v="103"/>
    <x v="1"/>
  </r>
  <r>
    <x v="0"/>
    <x v="263"/>
    <x v="10"/>
    <n v="103.64"/>
    <x v="1"/>
  </r>
  <r>
    <x v="0"/>
    <x v="263"/>
    <x v="11"/>
    <n v="104"/>
    <x v="1"/>
  </r>
  <r>
    <x v="0"/>
    <x v="264"/>
    <x v="0"/>
    <n v="0"/>
    <x v="1"/>
  </r>
  <r>
    <x v="0"/>
    <x v="264"/>
    <x v="1"/>
    <n v="0"/>
    <x v="1"/>
  </r>
  <r>
    <x v="0"/>
    <x v="264"/>
    <x v="2"/>
    <n v="0"/>
    <x v="1"/>
  </r>
  <r>
    <x v="0"/>
    <x v="264"/>
    <x v="3"/>
    <n v="0"/>
    <x v="1"/>
  </r>
  <r>
    <x v="0"/>
    <x v="264"/>
    <x v="4"/>
    <n v="0"/>
    <x v="1"/>
  </r>
  <r>
    <x v="0"/>
    <x v="264"/>
    <x v="5"/>
    <n v="0"/>
    <x v="1"/>
  </r>
  <r>
    <x v="0"/>
    <x v="264"/>
    <x v="6"/>
    <n v="0"/>
    <x v="1"/>
  </r>
  <r>
    <x v="0"/>
    <x v="264"/>
    <x v="7"/>
    <n v="0"/>
    <x v="1"/>
  </r>
  <r>
    <x v="0"/>
    <x v="264"/>
    <x v="8"/>
    <n v="0"/>
    <x v="1"/>
  </r>
  <r>
    <x v="0"/>
    <x v="264"/>
    <x v="9"/>
    <n v="0"/>
    <x v="1"/>
  </r>
  <r>
    <x v="0"/>
    <x v="264"/>
    <x v="10"/>
    <n v="0"/>
    <x v="1"/>
  </r>
  <r>
    <x v="0"/>
    <x v="264"/>
    <x v="11"/>
    <n v="0"/>
    <x v="1"/>
  </r>
  <r>
    <x v="0"/>
    <x v="265"/>
    <x v="0"/>
    <n v="1210"/>
    <x v="1"/>
  </r>
  <r>
    <x v="0"/>
    <x v="265"/>
    <x v="1"/>
    <n v="0"/>
    <x v="1"/>
  </r>
  <r>
    <x v="0"/>
    <x v="265"/>
    <x v="2"/>
    <n v="0"/>
    <x v="1"/>
  </r>
  <r>
    <x v="0"/>
    <x v="265"/>
    <x v="3"/>
    <n v="0"/>
    <x v="1"/>
  </r>
  <r>
    <x v="0"/>
    <x v="265"/>
    <x v="4"/>
    <n v="0"/>
    <x v="1"/>
  </r>
  <r>
    <x v="0"/>
    <x v="265"/>
    <x v="5"/>
    <n v="0"/>
    <x v="1"/>
  </r>
  <r>
    <x v="0"/>
    <x v="265"/>
    <x v="6"/>
    <n v="0"/>
    <x v="1"/>
  </r>
  <r>
    <x v="0"/>
    <x v="265"/>
    <x v="7"/>
    <n v="0"/>
    <x v="1"/>
  </r>
  <r>
    <x v="0"/>
    <x v="265"/>
    <x v="8"/>
    <n v="0"/>
    <x v="1"/>
  </r>
  <r>
    <x v="0"/>
    <x v="265"/>
    <x v="9"/>
    <n v="0"/>
    <x v="1"/>
  </r>
  <r>
    <x v="0"/>
    <x v="265"/>
    <x v="10"/>
    <n v="0"/>
    <x v="1"/>
  </r>
  <r>
    <x v="0"/>
    <x v="265"/>
    <x v="11"/>
    <n v="0"/>
    <x v="1"/>
  </r>
  <r>
    <x v="0"/>
    <x v="266"/>
    <x v="0"/>
    <n v="1479"/>
    <x v="1"/>
  </r>
  <r>
    <x v="0"/>
    <x v="266"/>
    <x v="1"/>
    <n v="0"/>
    <x v="1"/>
  </r>
  <r>
    <x v="0"/>
    <x v="266"/>
    <x v="2"/>
    <n v="0"/>
    <x v="1"/>
  </r>
  <r>
    <x v="0"/>
    <x v="266"/>
    <x v="3"/>
    <n v="0"/>
    <x v="1"/>
  </r>
  <r>
    <x v="0"/>
    <x v="266"/>
    <x v="4"/>
    <n v="0"/>
    <x v="1"/>
  </r>
  <r>
    <x v="0"/>
    <x v="266"/>
    <x v="5"/>
    <n v="0"/>
    <x v="1"/>
  </r>
  <r>
    <x v="0"/>
    <x v="266"/>
    <x v="6"/>
    <n v="0"/>
    <x v="1"/>
  </r>
  <r>
    <x v="0"/>
    <x v="266"/>
    <x v="7"/>
    <n v="0"/>
    <x v="1"/>
  </r>
  <r>
    <x v="0"/>
    <x v="266"/>
    <x v="8"/>
    <n v="0"/>
    <x v="1"/>
  </r>
  <r>
    <x v="0"/>
    <x v="266"/>
    <x v="9"/>
    <n v="0"/>
    <x v="1"/>
  </r>
  <r>
    <x v="0"/>
    <x v="266"/>
    <x v="10"/>
    <n v="0"/>
    <x v="1"/>
  </r>
  <r>
    <x v="0"/>
    <x v="266"/>
    <x v="11"/>
    <n v="0"/>
    <x v="1"/>
  </r>
  <r>
    <x v="0"/>
    <x v="267"/>
    <x v="0"/>
    <n v="201"/>
    <x v="1"/>
  </r>
  <r>
    <x v="0"/>
    <x v="267"/>
    <x v="1"/>
    <n v="1220"/>
    <x v="1"/>
  </r>
  <r>
    <x v="0"/>
    <x v="267"/>
    <x v="2"/>
    <n v="1210"/>
    <x v="1"/>
  </r>
  <r>
    <x v="0"/>
    <x v="267"/>
    <x v="3"/>
    <n v="1211"/>
    <x v="1"/>
  </r>
  <r>
    <x v="0"/>
    <x v="267"/>
    <x v="4"/>
    <n v="1244"/>
    <x v="1"/>
  </r>
  <r>
    <x v="0"/>
    <x v="267"/>
    <x v="5"/>
    <n v="1268"/>
    <x v="1"/>
  </r>
  <r>
    <x v="0"/>
    <x v="267"/>
    <x v="6"/>
    <n v="1264"/>
    <x v="1"/>
  </r>
  <r>
    <x v="0"/>
    <x v="267"/>
    <x v="7"/>
    <n v="0"/>
    <x v="1"/>
  </r>
  <r>
    <x v="0"/>
    <x v="267"/>
    <x v="8"/>
    <n v="0"/>
    <x v="1"/>
  </r>
  <r>
    <x v="0"/>
    <x v="267"/>
    <x v="9"/>
    <n v="0"/>
    <x v="1"/>
  </r>
  <r>
    <x v="0"/>
    <x v="267"/>
    <x v="10"/>
    <n v="0"/>
    <x v="1"/>
  </r>
  <r>
    <x v="0"/>
    <x v="267"/>
    <x v="11"/>
    <n v="0"/>
    <x v="1"/>
  </r>
  <r>
    <x v="0"/>
    <x v="268"/>
    <x v="0"/>
    <n v="726"/>
    <x v="1"/>
  </r>
  <r>
    <x v="0"/>
    <x v="268"/>
    <x v="1"/>
    <n v="312"/>
    <x v="1"/>
  </r>
  <r>
    <x v="0"/>
    <x v="268"/>
    <x v="2"/>
    <n v="713"/>
    <x v="1"/>
  </r>
  <r>
    <x v="0"/>
    <x v="268"/>
    <x v="3"/>
    <n v="215.3"/>
    <x v="1"/>
  </r>
  <r>
    <x v="0"/>
    <x v="268"/>
    <x v="4"/>
    <n v="0"/>
    <x v="1"/>
  </r>
  <r>
    <x v="0"/>
    <x v="268"/>
    <x v="5"/>
    <n v="0"/>
    <x v="1"/>
  </r>
  <r>
    <x v="0"/>
    <x v="268"/>
    <x v="6"/>
    <n v="0"/>
    <x v="1"/>
  </r>
  <r>
    <x v="0"/>
    <x v="268"/>
    <x v="7"/>
    <n v="0"/>
    <x v="1"/>
  </r>
  <r>
    <x v="0"/>
    <x v="268"/>
    <x v="8"/>
    <n v="0"/>
    <x v="1"/>
  </r>
  <r>
    <x v="0"/>
    <x v="268"/>
    <x v="9"/>
    <n v="0"/>
    <x v="1"/>
  </r>
  <r>
    <x v="0"/>
    <x v="268"/>
    <x v="10"/>
    <n v="0"/>
    <x v="1"/>
  </r>
  <r>
    <x v="0"/>
    <x v="268"/>
    <x v="11"/>
    <n v="2376"/>
    <x v="1"/>
  </r>
  <r>
    <x v="0"/>
    <x v="269"/>
    <x v="0"/>
    <n v="0"/>
    <x v="1"/>
  </r>
  <r>
    <x v="0"/>
    <x v="269"/>
    <x v="1"/>
    <n v="0"/>
    <x v="1"/>
  </r>
  <r>
    <x v="0"/>
    <x v="269"/>
    <x v="2"/>
    <n v="0"/>
    <x v="1"/>
  </r>
  <r>
    <x v="0"/>
    <x v="269"/>
    <x v="3"/>
    <n v="0"/>
    <x v="1"/>
  </r>
  <r>
    <x v="0"/>
    <x v="269"/>
    <x v="4"/>
    <n v="0"/>
    <x v="1"/>
  </r>
  <r>
    <x v="0"/>
    <x v="269"/>
    <x v="5"/>
    <n v="0"/>
    <x v="1"/>
  </r>
  <r>
    <x v="0"/>
    <x v="269"/>
    <x v="6"/>
    <n v="0"/>
    <x v="1"/>
  </r>
  <r>
    <x v="0"/>
    <x v="269"/>
    <x v="7"/>
    <n v="0"/>
    <x v="1"/>
  </r>
  <r>
    <x v="0"/>
    <x v="269"/>
    <x v="8"/>
    <n v="0"/>
    <x v="1"/>
  </r>
  <r>
    <x v="0"/>
    <x v="269"/>
    <x v="9"/>
    <n v="0"/>
    <x v="1"/>
  </r>
  <r>
    <x v="0"/>
    <x v="269"/>
    <x v="10"/>
    <n v="0"/>
    <x v="1"/>
  </r>
  <r>
    <x v="0"/>
    <x v="269"/>
    <x v="11"/>
    <n v="0"/>
    <x v="1"/>
  </r>
  <r>
    <x v="0"/>
    <x v="270"/>
    <x v="0"/>
    <n v="0"/>
    <x v="1"/>
  </r>
  <r>
    <x v="0"/>
    <x v="270"/>
    <x v="1"/>
    <n v="447"/>
    <x v="1"/>
  </r>
  <r>
    <x v="0"/>
    <x v="270"/>
    <x v="2"/>
    <n v="403"/>
    <x v="1"/>
  </r>
  <r>
    <x v="0"/>
    <x v="270"/>
    <x v="3"/>
    <n v="404"/>
    <x v="1"/>
  </r>
  <r>
    <x v="0"/>
    <x v="270"/>
    <x v="4"/>
    <n v="415"/>
    <x v="1"/>
  </r>
  <r>
    <x v="0"/>
    <x v="270"/>
    <x v="5"/>
    <n v="423"/>
    <x v="1"/>
  </r>
  <r>
    <x v="0"/>
    <x v="270"/>
    <x v="6"/>
    <n v="421"/>
    <x v="1"/>
  </r>
  <r>
    <x v="0"/>
    <x v="270"/>
    <x v="7"/>
    <n v="421"/>
    <x v="1"/>
  </r>
  <r>
    <x v="0"/>
    <x v="270"/>
    <x v="8"/>
    <n v="427"/>
    <x v="1"/>
  </r>
  <r>
    <x v="0"/>
    <x v="270"/>
    <x v="9"/>
    <n v="441"/>
    <x v="1"/>
  </r>
  <r>
    <x v="0"/>
    <x v="270"/>
    <x v="10"/>
    <n v="444"/>
    <x v="1"/>
  </r>
  <r>
    <x v="0"/>
    <x v="270"/>
    <x v="11"/>
    <n v="742"/>
    <x v="1"/>
  </r>
  <r>
    <x v="0"/>
    <x v="271"/>
    <x v="0"/>
    <n v="0"/>
    <x v="1"/>
  </r>
  <r>
    <x v="0"/>
    <x v="271"/>
    <x v="1"/>
    <n v="0"/>
    <x v="1"/>
  </r>
  <r>
    <x v="0"/>
    <x v="271"/>
    <x v="2"/>
    <n v="0"/>
    <x v="1"/>
  </r>
  <r>
    <x v="0"/>
    <x v="271"/>
    <x v="3"/>
    <n v="1004"/>
    <x v="1"/>
  </r>
  <r>
    <x v="0"/>
    <x v="271"/>
    <x v="4"/>
    <n v="1105"/>
    <x v="1"/>
  </r>
  <r>
    <x v="0"/>
    <x v="271"/>
    <x v="5"/>
    <n v="1127"/>
    <x v="1"/>
  </r>
  <r>
    <x v="0"/>
    <x v="271"/>
    <x v="6"/>
    <n v="1544"/>
    <x v="1"/>
  </r>
  <r>
    <x v="0"/>
    <x v="271"/>
    <x v="7"/>
    <n v="1546"/>
    <x v="1"/>
  </r>
  <r>
    <x v="0"/>
    <x v="271"/>
    <x v="8"/>
    <n v="1566"/>
    <x v="1"/>
  </r>
  <r>
    <x v="0"/>
    <x v="271"/>
    <x v="9"/>
    <n v="1618"/>
    <x v="1"/>
  </r>
  <r>
    <x v="0"/>
    <x v="271"/>
    <x v="10"/>
    <n v="0"/>
    <x v="1"/>
  </r>
  <r>
    <x v="0"/>
    <x v="271"/>
    <x v="11"/>
    <n v="0"/>
    <x v="1"/>
  </r>
  <r>
    <x v="0"/>
    <x v="272"/>
    <x v="0"/>
    <n v="0"/>
    <x v="1"/>
  </r>
  <r>
    <x v="0"/>
    <x v="272"/>
    <x v="1"/>
    <n v="0"/>
    <x v="1"/>
  </r>
  <r>
    <x v="0"/>
    <x v="272"/>
    <x v="2"/>
    <n v="0"/>
    <x v="1"/>
  </r>
  <r>
    <x v="0"/>
    <x v="272"/>
    <x v="3"/>
    <n v="484"/>
    <x v="1"/>
  </r>
  <r>
    <x v="0"/>
    <x v="272"/>
    <x v="4"/>
    <n v="0"/>
    <x v="1"/>
  </r>
  <r>
    <x v="0"/>
    <x v="272"/>
    <x v="5"/>
    <n v="0"/>
    <x v="1"/>
  </r>
  <r>
    <x v="0"/>
    <x v="272"/>
    <x v="6"/>
    <n v="0"/>
    <x v="1"/>
  </r>
  <r>
    <x v="0"/>
    <x v="272"/>
    <x v="7"/>
    <n v="0"/>
    <x v="1"/>
  </r>
  <r>
    <x v="0"/>
    <x v="272"/>
    <x v="8"/>
    <n v="0"/>
    <x v="1"/>
  </r>
  <r>
    <x v="0"/>
    <x v="272"/>
    <x v="9"/>
    <n v="0"/>
    <x v="1"/>
  </r>
  <r>
    <x v="0"/>
    <x v="272"/>
    <x v="10"/>
    <n v="0"/>
    <x v="1"/>
  </r>
  <r>
    <x v="0"/>
    <x v="272"/>
    <x v="11"/>
    <n v="0"/>
    <x v="1"/>
  </r>
  <r>
    <x v="0"/>
    <x v="273"/>
    <x v="0"/>
    <n v="0"/>
    <x v="1"/>
  </r>
  <r>
    <x v="0"/>
    <x v="273"/>
    <x v="1"/>
    <n v="0"/>
    <x v="1"/>
  </r>
  <r>
    <x v="0"/>
    <x v="273"/>
    <x v="2"/>
    <n v="0"/>
    <x v="1"/>
  </r>
  <r>
    <x v="0"/>
    <x v="273"/>
    <x v="3"/>
    <n v="0"/>
    <x v="1"/>
  </r>
  <r>
    <x v="0"/>
    <x v="273"/>
    <x v="4"/>
    <n v="828"/>
    <x v="1"/>
  </r>
  <r>
    <x v="0"/>
    <x v="273"/>
    <x v="5"/>
    <n v="423"/>
    <x v="1"/>
  </r>
  <r>
    <x v="0"/>
    <x v="273"/>
    <x v="6"/>
    <n v="422"/>
    <x v="1"/>
  </r>
  <r>
    <x v="0"/>
    <x v="273"/>
    <x v="7"/>
    <n v="422"/>
    <x v="1"/>
  </r>
  <r>
    <x v="0"/>
    <x v="273"/>
    <x v="8"/>
    <n v="427"/>
    <x v="1"/>
  </r>
  <r>
    <x v="0"/>
    <x v="273"/>
    <x v="9"/>
    <n v="735"/>
    <x v="1"/>
  </r>
  <r>
    <x v="0"/>
    <x v="273"/>
    <x v="10"/>
    <n v="0"/>
    <x v="1"/>
  </r>
  <r>
    <x v="0"/>
    <x v="273"/>
    <x v="11"/>
    <n v="0"/>
    <x v="1"/>
  </r>
  <r>
    <x v="0"/>
    <x v="274"/>
    <x v="0"/>
    <n v="0"/>
    <x v="1"/>
  </r>
  <r>
    <x v="0"/>
    <x v="274"/>
    <x v="1"/>
    <n v="0"/>
    <x v="1"/>
  </r>
  <r>
    <x v="0"/>
    <x v="274"/>
    <x v="2"/>
    <n v="5402"/>
    <x v="1"/>
  </r>
  <r>
    <x v="0"/>
    <x v="274"/>
    <x v="3"/>
    <n v="2422"/>
    <x v="1"/>
  </r>
  <r>
    <x v="0"/>
    <x v="274"/>
    <x v="4"/>
    <n v="0"/>
    <x v="1"/>
  </r>
  <r>
    <x v="0"/>
    <x v="274"/>
    <x v="5"/>
    <n v="0"/>
    <x v="1"/>
  </r>
  <r>
    <x v="0"/>
    <x v="274"/>
    <x v="6"/>
    <n v="0"/>
    <x v="1"/>
  </r>
  <r>
    <x v="0"/>
    <x v="274"/>
    <x v="7"/>
    <n v="0"/>
    <x v="1"/>
  </r>
  <r>
    <x v="0"/>
    <x v="274"/>
    <x v="8"/>
    <n v="0"/>
    <x v="1"/>
  </r>
  <r>
    <x v="0"/>
    <x v="274"/>
    <x v="9"/>
    <n v="0"/>
    <x v="1"/>
  </r>
  <r>
    <x v="0"/>
    <x v="274"/>
    <x v="10"/>
    <n v="0"/>
    <x v="1"/>
  </r>
  <r>
    <x v="0"/>
    <x v="274"/>
    <x v="11"/>
    <n v="0"/>
    <x v="1"/>
  </r>
  <r>
    <x v="0"/>
    <x v="275"/>
    <x v="0"/>
    <n v="0"/>
    <x v="1"/>
  </r>
  <r>
    <x v="0"/>
    <x v="275"/>
    <x v="1"/>
    <n v="0"/>
    <x v="1"/>
  </r>
  <r>
    <x v="0"/>
    <x v="275"/>
    <x v="2"/>
    <n v="0"/>
    <x v="1"/>
  </r>
  <r>
    <x v="0"/>
    <x v="275"/>
    <x v="3"/>
    <n v="0"/>
    <x v="1"/>
  </r>
  <r>
    <x v="0"/>
    <x v="275"/>
    <x v="4"/>
    <n v="0"/>
    <x v="1"/>
  </r>
  <r>
    <x v="0"/>
    <x v="275"/>
    <x v="5"/>
    <n v="0"/>
    <x v="1"/>
  </r>
  <r>
    <x v="0"/>
    <x v="275"/>
    <x v="6"/>
    <n v="0"/>
    <x v="1"/>
  </r>
  <r>
    <x v="0"/>
    <x v="275"/>
    <x v="7"/>
    <n v="0"/>
    <x v="1"/>
  </r>
  <r>
    <x v="0"/>
    <x v="275"/>
    <x v="8"/>
    <n v="0"/>
    <x v="1"/>
  </r>
  <r>
    <x v="0"/>
    <x v="275"/>
    <x v="9"/>
    <n v="0"/>
    <x v="1"/>
  </r>
  <r>
    <x v="0"/>
    <x v="275"/>
    <x v="10"/>
    <n v="1481"/>
    <x v="1"/>
  </r>
  <r>
    <x v="0"/>
    <x v="275"/>
    <x v="11"/>
    <n v="0"/>
    <x v="1"/>
  </r>
  <r>
    <x v="0"/>
    <x v="276"/>
    <x v="0"/>
    <n v="0"/>
    <x v="1"/>
  </r>
  <r>
    <x v="0"/>
    <x v="276"/>
    <x v="1"/>
    <n v="0"/>
    <x v="1"/>
  </r>
  <r>
    <x v="0"/>
    <x v="276"/>
    <x v="2"/>
    <n v="0"/>
    <x v="1"/>
  </r>
  <r>
    <x v="0"/>
    <x v="276"/>
    <x v="3"/>
    <n v="0"/>
    <x v="1"/>
  </r>
  <r>
    <x v="0"/>
    <x v="276"/>
    <x v="4"/>
    <n v="0"/>
    <x v="1"/>
  </r>
  <r>
    <x v="0"/>
    <x v="276"/>
    <x v="5"/>
    <n v="0"/>
    <x v="1"/>
  </r>
  <r>
    <x v="0"/>
    <x v="276"/>
    <x v="6"/>
    <n v="566"/>
    <x v="1"/>
  </r>
  <r>
    <x v="0"/>
    <x v="276"/>
    <x v="7"/>
    <n v="1770"/>
    <x v="1"/>
  </r>
  <r>
    <x v="0"/>
    <x v="276"/>
    <x v="8"/>
    <n v="0"/>
    <x v="1"/>
  </r>
  <r>
    <x v="0"/>
    <x v="276"/>
    <x v="9"/>
    <n v="0"/>
    <x v="1"/>
  </r>
  <r>
    <x v="0"/>
    <x v="276"/>
    <x v="10"/>
    <n v="0"/>
    <x v="1"/>
  </r>
  <r>
    <x v="0"/>
    <x v="276"/>
    <x v="11"/>
    <n v="0"/>
    <x v="1"/>
  </r>
  <r>
    <x v="0"/>
    <x v="277"/>
    <x v="0"/>
    <n v="0"/>
    <x v="1"/>
  </r>
  <r>
    <x v="0"/>
    <x v="277"/>
    <x v="1"/>
    <n v="0"/>
    <x v="1"/>
  </r>
  <r>
    <x v="0"/>
    <x v="277"/>
    <x v="2"/>
    <n v="0"/>
    <x v="1"/>
  </r>
  <r>
    <x v="0"/>
    <x v="277"/>
    <x v="3"/>
    <n v="0"/>
    <x v="1"/>
  </r>
  <r>
    <x v="0"/>
    <x v="277"/>
    <x v="4"/>
    <n v="0"/>
    <x v="1"/>
  </r>
  <r>
    <x v="0"/>
    <x v="277"/>
    <x v="5"/>
    <n v="0"/>
    <x v="1"/>
  </r>
  <r>
    <x v="0"/>
    <x v="277"/>
    <x v="6"/>
    <n v="0"/>
    <x v="1"/>
  </r>
  <r>
    <x v="0"/>
    <x v="277"/>
    <x v="7"/>
    <n v="1777"/>
    <x v="1"/>
  </r>
  <r>
    <x v="0"/>
    <x v="277"/>
    <x v="8"/>
    <n v="1994"/>
    <x v="1"/>
  </r>
  <r>
    <x v="0"/>
    <x v="277"/>
    <x v="9"/>
    <n v="0"/>
    <x v="1"/>
  </r>
  <r>
    <x v="0"/>
    <x v="277"/>
    <x v="10"/>
    <n v="0"/>
    <x v="1"/>
  </r>
  <r>
    <x v="0"/>
    <x v="277"/>
    <x v="11"/>
    <n v="0"/>
    <x v="1"/>
  </r>
  <r>
    <x v="0"/>
    <x v="278"/>
    <x v="0"/>
    <n v="0"/>
    <x v="1"/>
  </r>
  <r>
    <x v="0"/>
    <x v="278"/>
    <x v="1"/>
    <n v="0"/>
    <x v="1"/>
  </r>
  <r>
    <x v="0"/>
    <x v="278"/>
    <x v="2"/>
    <n v="0"/>
    <x v="1"/>
  </r>
  <r>
    <x v="0"/>
    <x v="278"/>
    <x v="3"/>
    <n v="0"/>
    <x v="1"/>
  </r>
  <r>
    <x v="0"/>
    <x v="278"/>
    <x v="4"/>
    <n v="0"/>
    <x v="1"/>
  </r>
  <r>
    <x v="0"/>
    <x v="278"/>
    <x v="5"/>
    <n v="0"/>
    <x v="1"/>
  </r>
  <r>
    <x v="0"/>
    <x v="278"/>
    <x v="6"/>
    <n v="1348"/>
    <x v="1"/>
  </r>
  <r>
    <x v="0"/>
    <x v="278"/>
    <x v="7"/>
    <n v="1124"/>
    <x v="1"/>
  </r>
  <r>
    <x v="0"/>
    <x v="278"/>
    <x v="8"/>
    <n v="1139"/>
    <x v="1"/>
  </r>
  <r>
    <x v="0"/>
    <x v="278"/>
    <x v="9"/>
    <n v="1176"/>
    <x v="1"/>
  </r>
  <r>
    <x v="0"/>
    <x v="278"/>
    <x v="10"/>
    <n v="1184"/>
    <x v="1"/>
  </r>
  <r>
    <x v="0"/>
    <x v="278"/>
    <x v="11"/>
    <n v="1484"/>
    <x v="1"/>
  </r>
  <r>
    <x v="0"/>
    <x v="279"/>
    <x v="0"/>
    <n v="0"/>
    <x v="1"/>
  </r>
  <r>
    <x v="0"/>
    <x v="279"/>
    <x v="1"/>
    <n v="0"/>
    <x v="1"/>
  </r>
  <r>
    <x v="0"/>
    <x v="279"/>
    <x v="2"/>
    <n v="0"/>
    <x v="1"/>
  </r>
  <r>
    <x v="0"/>
    <x v="279"/>
    <x v="3"/>
    <n v="0"/>
    <x v="1"/>
  </r>
  <r>
    <x v="0"/>
    <x v="279"/>
    <x v="4"/>
    <n v="0"/>
    <x v="1"/>
  </r>
  <r>
    <x v="0"/>
    <x v="279"/>
    <x v="5"/>
    <n v="0"/>
    <x v="1"/>
  </r>
  <r>
    <x v="0"/>
    <x v="279"/>
    <x v="6"/>
    <n v="0"/>
    <x v="1"/>
  </r>
  <r>
    <x v="0"/>
    <x v="279"/>
    <x v="7"/>
    <n v="0"/>
    <x v="1"/>
  </r>
  <r>
    <x v="0"/>
    <x v="279"/>
    <x v="8"/>
    <n v="427"/>
    <x v="1"/>
  </r>
  <r>
    <x v="0"/>
    <x v="279"/>
    <x v="9"/>
    <n v="0"/>
    <x v="1"/>
  </r>
  <r>
    <x v="0"/>
    <x v="279"/>
    <x v="10"/>
    <n v="1184"/>
    <x v="1"/>
  </r>
  <r>
    <x v="0"/>
    <x v="279"/>
    <x v="11"/>
    <n v="0"/>
    <x v="1"/>
  </r>
  <r>
    <x v="0"/>
    <x v="280"/>
    <x v="0"/>
    <n v="0"/>
    <x v="1"/>
  </r>
  <r>
    <x v="0"/>
    <x v="280"/>
    <x v="1"/>
    <n v="0"/>
    <x v="1"/>
  </r>
  <r>
    <x v="0"/>
    <x v="280"/>
    <x v="2"/>
    <n v="0"/>
    <x v="1"/>
  </r>
  <r>
    <x v="0"/>
    <x v="280"/>
    <x v="3"/>
    <n v="0"/>
    <x v="1"/>
  </r>
  <r>
    <x v="0"/>
    <x v="280"/>
    <x v="4"/>
    <n v="0"/>
    <x v="1"/>
  </r>
  <r>
    <x v="0"/>
    <x v="280"/>
    <x v="5"/>
    <n v="0"/>
    <x v="1"/>
  </r>
  <r>
    <x v="0"/>
    <x v="280"/>
    <x v="6"/>
    <n v="0"/>
    <x v="1"/>
  </r>
  <r>
    <x v="0"/>
    <x v="280"/>
    <x v="7"/>
    <n v="0"/>
    <x v="1"/>
  </r>
  <r>
    <x v="0"/>
    <x v="280"/>
    <x v="8"/>
    <n v="263"/>
    <x v="1"/>
  </r>
  <r>
    <x v="0"/>
    <x v="280"/>
    <x v="9"/>
    <n v="0"/>
    <x v="1"/>
  </r>
  <r>
    <x v="0"/>
    <x v="280"/>
    <x v="10"/>
    <n v="0"/>
    <x v="1"/>
  </r>
  <r>
    <x v="0"/>
    <x v="280"/>
    <x v="11"/>
    <n v="0"/>
    <x v="1"/>
  </r>
  <r>
    <x v="0"/>
    <x v="281"/>
    <x v="0"/>
    <n v="0"/>
    <x v="1"/>
  </r>
  <r>
    <x v="0"/>
    <x v="281"/>
    <x v="1"/>
    <n v="0"/>
    <x v="1"/>
  </r>
  <r>
    <x v="0"/>
    <x v="281"/>
    <x v="2"/>
    <n v="0"/>
    <x v="1"/>
  </r>
  <r>
    <x v="0"/>
    <x v="281"/>
    <x v="3"/>
    <n v="0"/>
    <x v="1"/>
  </r>
  <r>
    <x v="0"/>
    <x v="281"/>
    <x v="4"/>
    <n v="0"/>
    <x v="1"/>
  </r>
  <r>
    <x v="0"/>
    <x v="281"/>
    <x v="5"/>
    <n v="0"/>
    <x v="1"/>
  </r>
  <r>
    <x v="0"/>
    <x v="281"/>
    <x v="6"/>
    <n v="0"/>
    <x v="1"/>
  </r>
  <r>
    <x v="0"/>
    <x v="281"/>
    <x v="7"/>
    <n v="0"/>
    <x v="1"/>
  </r>
  <r>
    <x v="0"/>
    <x v="281"/>
    <x v="8"/>
    <n v="0"/>
    <x v="1"/>
  </r>
  <r>
    <x v="0"/>
    <x v="281"/>
    <x v="9"/>
    <n v="0"/>
    <x v="1"/>
  </r>
  <r>
    <x v="0"/>
    <x v="281"/>
    <x v="10"/>
    <n v="2476"/>
    <x v="1"/>
  </r>
  <r>
    <x v="0"/>
    <x v="281"/>
    <x v="11"/>
    <n v="1799"/>
    <x v="1"/>
  </r>
  <r>
    <x v="1"/>
    <x v="282"/>
    <x v="0"/>
    <n v="886"/>
    <x v="1"/>
  </r>
  <r>
    <x v="1"/>
    <x v="282"/>
    <x v="1"/>
    <n v="0"/>
    <x v="1"/>
  </r>
  <r>
    <x v="1"/>
    <x v="282"/>
    <x v="2"/>
    <n v="0"/>
    <x v="1"/>
  </r>
  <r>
    <x v="1"/>
    <x v="282"/>
    <x v="3"/>
    <n v="0"/>
    <x v="1"/>
  </r>
  <r>
    <x v="1"/>
    <x v="282"/>
    <x v="4"/>
    <n v="0"/>
    <x v="1"/>
  </r>
  <r>
    <x v="1"/>
    <x v="282"/>
    <x v="5"/>
    <n v="0"/>
    <x v="1"/>
  </r>
  <r>
    <x v="1"/>
    <x v="282"/>
    <x v="6"/>
    <n v="0"/>
    <x v="1"/>
  </r>
  <r>
    <x v="1"/>
    <x v="282"/>
    <x v="7"/>
    <n v="0"/>
    <x v="1"/>
  </r>
  <r>
    <x v="1"/>
    <x v="282"/>
    <x v="8"/>
    <n v="0"/>
    <x v="1"/>
  </r>
  <r>
    <x v="1"/>
    <x v="282"/>
    <x v="9"/>
    <n v="0"/>
    <x v="1"/>
  </r>
  <r>
    <x v="1"/>
    <x v="282"/>
    <x v="10"/>
    <n v="0"/>
    <x v="1"/>
  </r>
  <r>
    <x v="1"/>
    <x v="282"/>
    <x v="11"/>
    <n v="0"/>
    <x v="1"/>
  </r>
  <r>
    <x v="1"/>
    <x v="283"/>
    <x v="0"/>
    <n v="1770"/>
    <x v="1"/>
  </r>
  <r>
    <x v="1"/>
    <x v="283"/>
    <x v="1"/>
    <n v="0"/>
    <x v="1"/>
  </r>
  <r>
    <x v="1"/>
    <x v="283"/>
    <x v="2"/>
    <n v="0"/>
    <x v="1"/>
  </r>
  <r>
    <x v="1"/>
    <x v="283"/>
    <x v="3"/>
    <n v="0"/>
    <x v="1"/>
  </r>
  <r>
    <x v="1"/>
    <x v="283"/>
    <x v="4"/>
    <n v="0"/>
    <x v="1"/>
  </r>
  <r>
    <x v="1"/>
    <x v="283"/>
    <x v="5"/>
    <n v="0"/>
    <x v="1"/>
  </r>
  <r>
    <x v="1"/>
    <x v="283"/>
    <x v="6"/>
    <n v="0"/>
    <x v="1"/>
  </r>
  <r>
    <x v="1"/>
    <x v="283"/>
    <x v="7"/>
    <n v="0"/>
    <x v="1"/>
  </r>
  <r>
    <x v="1"/>
    <x v="283"/>
    <x v="8"/>
    <n v="0"/>
    <x v="1"/>
  </r>
  <r>
    <x v="1"/>
    <x v="283"/>
    <x v="9"/>
    <n v="0"/>
    <x v="1"/>
  </r>
  <r>
    <x v="1"/>
    <x v="283"/>
    <x v="10"/>
    <n v="0"/>
    <x v="1"/>
  </r>
  <r>
    <x v="1"/>
    <x v="283"/>
    <x v="11"/>
    <n v="0"/>
    <x v="1"/>
  </r>
  <r>
    <x v="1"/>
    <x v="284"/>
    <x v="0"/>
    <n v="0"/>
    <x v="1"/>
  </r>
  <r>
    <x v="1"/>
    <x v="284"/>
    <x v="1"/>
    <n v="700"/>
    <x v="1"/>
  </r>
  <r>
    <x v="1"/>
    <x v="284"/>
    <x v="2"/>
    <n v="0"/>
    <x v="1"/>
  </r>
  <r>
    <x v="1"/>
    <x v="284"/>
    <x v="3"/>
    <n v="0"/>
    <x v="1"/>
  </r>
  <r>
    <x v="1"/>
    <x v="284"/>
    <x v="4"/>
    <n v="0"/>
    <x v="1"/>
  </r>
  <r>
    <x v="1"/>
    <x v="284"/>
    <x v="5"/>
    <n v="0"/>
    <x v="1"/>
  </r>
  <r>
    <x v="1"/>
    <x v="284"/>
    <x v="6"/>
    <n v="0"/>
    <x v="1"/>
  </r>
  <r>
    <x v="1"/>
    <x v="284"/>
    <x v="7"/>
    <n v="0"/>
    <x v="1"/>
  </r>
  <r>
    <x v="1"/>
    <x v="284"/>
    <x v="8"/>
    <n v="0"/>
    <x v="1"/>
  </r>
  <r>
    <x v="1"/>
    <x v="284"/>
    <x v="9"/>
    <n v="0"/>
    <x v="1"/>
  </r>
  <r>
    <x v="1"/>
    <x v="284"/>
    <x v="10"/>
    <n v="0"/>
    <x v="1"/>
  </r>
  <r>
    <x v="1"/>
    <x v="284"/>
    <x v="11"/>
    <n v="0"/>
    <x v="1"/>
  </r>
  <r>
    <x v="1"/>
    <x v="285"/>
    <x v="0"/>
    <n v="0"/>
    <x v="1"/>
  </r>
  <r>
    <x v="1"/>
    <x v="285"/>
    <x v="1"/>
    <n v="0"/>
    <x v="1"/>
  </r>
  <r>
    <x v="1"/>
    <x v="285"/>
    <x v="2"/>
    <n v="0"/>
    <x v="1"/>
  </r>
  <r>
    <x v="1"/>
    <x v="285"/>
    <x v="3"/>
    <n v="6282"/>
    <x v="1"/>
  </r>
  <r>
    <x v="1"/>
    <x v="285"/>
    <x v="4"/>
    <n v="0"/>
    <x v="1"/>
  </r>
  <r>
    <x v="1"/>
    <x v="285"/>
    <x v="5"/>
    <n v="0"/>
    <x v="1"/>
  </r>
  <r>
    <x v="1"/>
    <x v="285"/>
    <x v="6"/>
    <n v="0"/>
    <x v="1"/>
  </r>
  <r>
    <x v="1"/>
    <x v="285"/>
    <x v="7"/>
    <n v="0"/>
    <x v="1"/>
  </r>
  <r>
    <x v="1"/>
    <x v="285"/>
    <x v="8"/>
    <n v="0"/>
    <x v="1"/>
  </r>
  <r>
    <x v="1"/>
    <x v="285"/>
    <x v="9"/>
    <n v="0"/>
    <x v="1"/>
  </r>
  <r>
    <x v="1"/>
    <x v="285"/>
    <x v="10"/>
    <n v="0"/>
    <x v="1"/>
  </r>
  <r>
    <x v="1"/>
    <x v="285"/>
    <x v="11"/>
    <n v="0"/>
    <x v="1"/>
  </r>
  <r>
    <x v="1"/>
    <x v="286"/>
    <x v="0"/>
    <n v="0"/>
    <x v="1"/>
  </r>
  <r>
    <x v="1"/>
    <x v="286"/>
    <x v="1"/>
    <n v="0"/>
    <x v="1"/>
  </r>
  <r>
    <x v="1"/>
    <x v="286"/>
    <x v="2"/>
    <n v="0"/>
    <x v="1"/>
  </r>
  <r>
    <x v="1"/>
    <x v="286"/>
    <x v="3"/>
    <n v="0"/>
    <x v="1"/>
  </r>
  <r>
    <x v="1"/>
    <x v="286"/>
    <x v="4"/>
    <n v="1781"/>
    <x v="1"/>
  </r>
  <r>
    <x v="1"/>
    <x v="286"/>
    <x v="5"/>
    <n v="0"/>
    <x v="1"/>
  </r>
  <r>
    <x v="1"/>
    <x v="286"/>
    <x v="6"/>
    <n v="0"/>
    <x v="1"/>
  </r>
  <r>
    <x v="1"/>
    <x v="286"/>
    <x v="7"/>
    <n v="0"/>
    <x v="1"/>
  </r>
  <r>
    <x v="1"/>
    <x v="286"/>
    <x v="8"/>
    <n v="0"/>
    <x v="1"/>
  </r>
  <r>
    <x v="1"/>
    <x v="286"/>
    <x v="9"/>
    <n v="0"/>
    <x v="1"/>
  </r>
  <r>
    <x v="1"/>
    <x v="286"/>
    <x v="10"/>
    <n v="0"/>
    <x v="1"/>
  </r>
  <r>
    <x v="1"/>
    <x v="286"/>
    <x v="11"/>
    <n v="0"/>
    <x v="1"/>
  </r>
  <r>
    <x v="1"/>
    <x v="287"/>
    <x v="0"/>
    <n v="0"/>
    <x v="1"/>
  </r>
  <r>
    <x v="1"/>
    <x v="287"/>
    <x v="1"/>
    <n v="0"/>
    <x v="1"/>
  </r>
  <r>
    <x v="1"/>
    <x v="287"/>
    <x v="2"/>
    <n v="0"/>
    <x v="1"/>
  </r>
  <r>
    <x v="1"/>
    <x v="287"/>
    <x v="3"/>
    <n v="21204"/>
    <x v="1"/>
  </r>
  <r>
    <x v="1"/>
    <x v="287"/>
    <x v="4"/>
    <n v="0"/>
    <x v="1"/>
  </r>
  <r>
    <x v="1"/>
    <x v="287"/>
    <x v="5"/>
    <n v="0"/>
    <x v="1"/>
  </r>
  <r>
    <x v="1"/>
    <x v="287"/>
    <x v="6"/>
    <n v="0"/>
    <x v="1"/>
  </r>
  <r>
    <x v="1"/>
    <x v="287"/>
    <x v="7"/>
    <n v="0"/>
    <x v="1"/>
  </r>
  <r>
    <x v="1"/>
    <x v="287"/>
    <x v="8"/>
    <n v="0"/>
    <x v="1"/>
  </r>
  <r>
    <x v="1"/>
    <x v="287"/>
    <x v="9"/>
    <n v="0"/>
    <x v="1"/>
  </r>
  <r>
    <x v="1"/>
    <x v="287"/>
    <x v="10"/>
    <n v="0"/>
    <x v="1"/>
  </r>
  <r>
    <x v="1"/>
    <x v="287"/>
    <x v="11"/>
    <n v="0"/>
    <x v="1"/>
  </r>
  <r>
    <x v="1"/>
    <x v="288"/>
    <x v="0"/>
    <n v="0"/>
    <x v="1"/>
  </r>
  <r>
    <x v="1"/>
    <x v="288"/>
    <x v="1"/>
    <n v="0"/>
    <x v="1"/>
  </r>
  <r>
    <x v="1"/>
    <x v="288"/>
    <x v="2"/>
    <n v="0"/>
    <x v="1"/>
  </r>
  <r>
    <x v="1"/>
    <x v="288"/>
    <x v="3"/>
    <n v="0"/>
    <x v="1"/>
  </r>
  <r>
    <x v="1"/>
    <x v="288"/>
    <x v="4"/>
    <n v="2434"/>
    <x v="1"/>
  </r>
  <r>
    <x v="1"/>
    <x v="288"/>
    <x v="5"/>
    <n v="21204"/>
    <x v="1"/>
  </r>
  <r>
    <x v="1"/>
    <x v="288"/>
    <x v="6"/>
    <n v="52800"/>
    <x v="1"/>
  </r>
  <r>
    <x v="1"/>
    <x v="288"/>
    <x v="7"/>
    <n v="63485"/>
    <x v="1"/>
  </r>
  <r>
    <x v="1"/>
    <x v="288"/>
    <x v="8"/>
    <n v="17057"/>
    <x v="1"/>
  </r>
  <r>
    <x v="1"/>
    <x v="288"/>
    <x v="9"/>
    <n v="0"/>
    <x v="1"/>
  </r>
  <r>
    <x v="1"/>
    <x v="288"/>
    <x v="10"/>
    <n v="0"/>
    <x v="1"/>
  </r>
  <r>
    <x v="1"/>
    <x v="288"/>
    <x v="11"/>
    <n v="0"/>
    <x v="1"/>
  </r>
  <r>
    <x v="1"/>
    <x v="289"/>
    <x v="0"/>
    <n v="0"/>
    <x v="1"/>
  </r>
  <r>
    <x v="1"/>
    <x v="289"/>
    <x v="1"/>
    <n v="0"/>
    <x v="1"/>
  </r>
  <r>
    <x v="1"/>
    <x v="289"/>
    <x v="2"/>
    <n v="0"/>
    <x v="1"/>
  </r>
  <r>
    <x v="1"/>
    <x v="289"/>
    <x v="3"/>
    <n v="0"/>
    <x v="1"/>
  </r>
  <r>
    <x v="1"/>
    <x v="289"/>
    <x v="4"/>
    <n v="5903"/>
    <x v="1"/>
  </r>
  <r>
    <x v="1"/>
    <x v="289"/>
    <x v="5"/>
    <n v="1971"/>
    <x v="1"/>
  </r>
  <r>
    <x v="1"/>
    <x v="289"/>
    <x v="6"/>
    <n v="0"/>
    <x v="1"/>
  </r>
  <r>
    <x v="1"/>
    <x v="289"/>
    <x v="7"/>
    <n v="0"/>
    <x v="1"/>
  </r>
  <r>
    <x v="1"/>
    <x v="289"/>
    <x v="8"/>
    <n v="0"/>
    <x v="1"/>
  </r>
  <r>
    <x v="1"/>
    <x v="289"/>
    <x v="9"/>
    <n v="0"/>
    <x v="1"/>
  </r>
  <r>
    <x v="1"/>
    <x v="289"/>
    <x v="10"/>
    <n v="0"/>
    <x v="1"/>
  </r>
  <r>
    <x v="1"/>
    <x v="289"/>
    <x v="11"/>
    <n v="0"/>
    <x v="1"/>
  </r>
  <r>
    <x v="1"/>
    <x v="290"/>
    <x v="0"/>
    <n v="0"/>
    <x v="1"/>
  </r>
  <r>
    <x v="1"/>
    <x v="290"/>
    <x v="1"/>
    <n v="0"/>
    <x v="1"/>
  </r>
  <r>
    <x v="1"/>
    <x v="290"/>
    <x v="2"/>
    <n v="0"/>
    <x v="1"/>
  </r>
  <r>
    <x v="1"/>
    <x v="290"/>
    <x v="3"/>
    <n v="0"/>
    <x v="1"/>
  </r>
  <r>
    <x v="1"/>
    <x v="290"/>
    <x v="4"/>
    <n v="11396"/>
    <x v="1"/>
  </r>
  <r>
    <x v="1"/>
    <x v="290"/>
    <x v="5"/>
    <n v="1608"/>
    <x v="1"/>
  </r>
  <r>
    <x v="1"/>
    <x v="290"/>
    <x v="6"/>
    <n v="11901"/>
    <x v="1"/>
  </r>
  <r>
    <x v="1"/>
    <x v="290"/>
    <x v="7"/>
    <n v="1633"/>
    <x v="1"/>
  </r>
  <r>
    <x v="1"/>
    <x v="290"/>
    <x v="8"/>
    <n v="5585"/>
    <x v="1"/>
  </r>
  <r>
    <x v="1"/>
    <x v="290"/>
    <x v="9"/>
    <n v="794"/>
    <x v="1"/>
  </r>
  <r>
    <x v="1"/>
    <x v="290"/>
    <x v="10"/>
    <n v="0"/>
    <x v="1"/>
  </r>
  <r>
    <x v="1"/>
    <x v="290"/>
    <x v="11"/>
    <n v="0"/>
    <x v="1"/>
  </r>
  <r>
    <x v="1"/>
    <x v="291"/>
    <x v="0"/>
    <n v="0"/>
    <x v="1"/>
  </r>
  <r>
    <x v="1"/>
    <x v="291"/>
    <x v="1"/>
    <n v="0"/>
    <x v="1"/>
  </r>
  <r>
    <x v="1"/>
    <x v="291"/>
    <x v="2"/>
    <n v="0"/>
    <x v="1"/>
  </r>
  <r>
    <x v="1"/>
    <x v="291"/>
    <x v="3"/>
    <n v="0"/>
    <x v="1"/>
  </r>
  <r>
    <x v="1"/>
    <x v="291"/>
    <x v="4"/>
    <n v="0"/>
    <x v="1"/>
  </r>
  <r>
    <x v="1"/>
    <x v="291"/>
    <x v="5"/>
    <n v="25794"/>
    <x v="1"/>
  </r>
  <r>
    <x v="1"/>
    <x v="291"/>
    <x v="6"/>
    <n v="0"/>
    <x v="1"/>
  </r>
  <r>
    <x v="1"/>
    <x v="291"/>
    <x v="7"/>
    <n v="0"/>
    <x v="1"/>
  </r>
  <r>
    <x v="1"/>
    <x v="291"/>
    <x v="8"/>
    <n v="0"/>
    <x v="1"/>
  </r>
  <r>
    <x v="1"/>
    <x v="291"/>
    <x v="9"/>
    <n v="0"/>
    <x v="1"/>
  </r>
  <r>
    <x v="1"/>
    <x v="291"/>
    <x v="10"/>
    <n v="0"/>
    <x v="1"/>
  </r>
  <r>
    <x v="1"/>
    <x v="291"/>
    <x v="11"/>
    <n v="0"/>
    <x v="1"/>
  </r>
  <r>
    <x v="1"/>
    <x v="292"/>
    <x v="0"/>
    <n v="0"/>
    <x v="1"/>
  </r>
  <r>
    <x v="1"/>
    <x v="292"/>
    <x v="1"/>
    <n v="0"/>
    <x v="1"/>
  </r>
  <r>
    <x v="1"/>
    <x v="292"/>
    <x v="2"/>
    <n v="0"/>
    <x v="1"/>
  </r>
  <r>
    <x v="1"/>
    <x v="292"/>
    <x v="3"/>
    <n v="0"/>
    <x v="1"/>
  </r>
  <r>
    <x v="1"/>
    <x v="292"/>
    <x v="4"/>
    <n v="0"/>
    <x v="1"/>
  </r>
  <r>
    <x v="1"/>
    <x v="292"/>
    <x v="5"/>
    <n v="4000"/>
    <x v="1"/>
  </r>
  <r>
    <x v="1"/>
    <x v="292"/>
    <x v="6"/>
    <n v="0"/>
    <x v="1"/>
  </r>
  <r>
    <x v="1"/>
    <x v="292"/>
    <x v="7"/>
    <n v="7351"/>
    <x v="1"/>
  </r>
  <r>
    <x v="1"/>
    <x v="292"/>
    <x v="8"/>
    <n v="1007"/>
    <x v="1"/>
  </r>
  <r>
    <x v="1"/>
    <x v="292"/>
    <x v="9"/>
    <n v="0"/>
    <x v="1"/>
  </r>
  <r>
    <x v="1"/>
    <x v="292"/>
    <x v="10"/>
    <n v="0"/>
    <x v="1"/>
  </r>
  <r>
    <x v="1"/>
    <x v="292"/>
    <x v="11"/>
    <n v="0"/>
    <x v="1"/>
  </r>
  <r>
    <x v="1"/>
    <x v="293"/>
    <x v="0"/>
    <n v="0"/>
    <x v="1"/>
  </r>
  <r>
    <x v="1"/>
    <x v="293"/>
    <x v="1"/>
    <n v="0"/>
    <x v="1"/>
  </r>
  <r>
    <x v="1"/>
    <x v="293"/>
    <x v="2"/>
    <n v="0"/>
    <x v="1"/>
  </r>
  <r>
    <x v="1"/>
    <x v="293"/>
    <x v="3"/>
    <n v="0"/>
    <x v="1"/>
  </r>
  <r>
    <x v="1"/>
    <x v="293"/>
    <x v="4"/>
    <n v="0"/>
    <x v="1"/>
  </r>
  <r>
    <x v="1"/>
    <x v="293"/>
    <x v="5"/>
    <n v="0"/>
    <x v="1"/>
  </r>
  <r>
    <x v="1"/>
    <x v="293"/>
    <x v="6"/>
    <n v="0"/>
    <x v="1"/>
  </r>
  <r>
    <x v="1"/>
    <x v="293"/>
    <x v="7"/>
    <n v="0"/>
    <x v="1"/>
  </r>
  <r>
    <x v="1"/>
    <x v="293"/>
    <x v="8"/>
    <n v="0"/>
    <x v="1"/>
  </r>
  <r>
    <x v="1"/>
    <x v="293"/>
    <x v="9"/>
    <n v="3000"/>
    <x v="1"/>
  </r>
  <r>
    <x v="1"/>
    <x v="293"/>
    <x v="10"/>
    <n v="0"/>
    <x v="1"/>
  </r>
  <r>
    <x v="1"/>
    <x v="293"/>
    <x v="11"/>
    <n v="0"/>
    <x v="1"/>
  </r>
  <r>
    <x v="1"/>
    <x v="294"/>
    <x v="0"/>
    <n v="0"/>
    <x v="1"/>
  </r>
  <r>
    <x v="1"/>
    <x v="294"/>
    <x v="1"/>
    <n v="0"/>
    <x v="1"/>
  </r>
  <r>
    <x v="1"/>
    <x v="294"/>
    <x v="2"/>
    <n v="0"/>
    <x v="1"/>
  </r>
  <r>
    <x v="1"/>
    <x v="294"/>
    <x v="3"/>
    <n v="0"/>
    <x v="1"/>
  </r>
  <r>
    <x v="1"/>
    <x v="294"/>
    <x v="4"/>
    <n v="0"/>
    <x v="1"/>
  </r>
  <r>
    <x v="1"/>
    <x v="294"/>
    <x v="5"/>
    <n v="0"/>
    <x v="1"/>
  </r>
  <r>
    <x v="1"/>
    <x v="294"/>
    <x v="6"/>
    <n v="0"/>
    <x v="1"/>
  </r>
  <r>
    <x v="1"/>
    <x v="294"/>
    <x v="7"/>
    <n v="0"/>
    <x v="1"/>
  </r>
  <r>
    <x v="1"/>
    <x v="294"/>
    <x v="8"/>
    <n v="0"/>
    <x v="1"/>
  </r>
  <r>
    <x v="1"/>
    <x v="294"/>
    <x v="9"/>
    <n v="4154"/>
    <x v="1"/>
  </r>
  <r>
    <x v="1"/>
    <x v="294"/>
    <x v="10"/>
    <n v="1442"/>
    <x v="1"/>
  </r>
  <r>
    <x v="1"/>
    <x v="294"/>
    <x v="11"/>
    <n v="0"/>
    <x v="1"/>
  </r>
  <r>
    <x v="1"/>
    <x v="295"/>
    <x v="0"/>
    <n v="0"/>
    <x v="1"/>
  </r>
  <r>
    <x v="1"/>
    <x v="295"/>
    <x v="1"/>
    <n v="0"/>
    <x v="1"/>
  </r>
  <r>
    <x v="1"/>
    <x v="295"/>
    <x v="2"/>
    <n v="0"/>
    <x v="1"/>
  </r>
  <r>
    <x v="1"/>
    <x v="295"/>
    <x v="3"/>
    <n v="0"/>
    <x v="1"/>
  </r>
  <r>
    <x v="1"/>
    <x v="295"/>
    <x v="4"/>
    <n v="0"/>
    <x v="1"/>
  </r>
  <r>
    <x v="1"/>
    <x v="295"/>
    <x v="5"/>
    <n v="0"/>
    <x v="1"/>
  </r>
  <r>
    <x v="1"/>
    <x v="295"/>
    <x v="6"/>
    <n v="0"/>
    <x v="1"/>
  </r>
  <r>
    <x v="1"/>
    <x v="295"/>
    <x v="7"/>
    <n v="0"/>
    <x v="1"/>
  </r>
  <r>
    <x v="1"/>
    <x v="295"/>
    <x v="8"/>
    <n v="0"/>
    <x v="1"/>
  </r>
  <r>
    <x v="1"/>
    <x v="295"/>
    <x v="9"/>
    <n v="6230"/>
    <x v="1"/>
  </r>
  <r>
    <x v="1"/>
    <x v="295"/>
    <x v="10"/>
    <n v="0"/>
    <x v="1"/>
  </r>
  <r>
    <x v="1"/>
    <x v="295"/>
    <x v="11"/>
    <n v="0"/>
    <x v="1"/>
  </r>
  <r>
    <x v="1"/>
    <x v="296"/>
    <x v="0"/>
    <n v="0"/>
    <x v="1"/>
  </r>
  <r>
    <x v="1"/>
    <x v="296"/>
    <x v="1"/>
    <n v="0"/>
    <x v="1"/>
  </r>
  <r>
    <x v="1"/>
    <x v="296"/>
    <x v="2"/>
    <n v="0"/>
    <x v="1"/>
  </r>
  <r>
    <x v="1"/>
    <x v="296"/>
    <x v="3"/>
    <n v="0"/>
    <x v="1"/>
  </r>
  <r>
    <x v="1"/>
    <x v="296"/>
    <x v="4"/>
    <n v="0"/>
    <x v="1"/>
  </r>
  <r>
    <x v="1"/>
    <x v="296"/>
    <x v="5"/>
    <n v="0"/>
    <x v="1"/>
  </r>
  <r>
    <x v="1"/>
    <x v="296"/>
    <x v="6"/>
    <n v="0"/>
    <x v="1"/>
  </r>
  <r>
    <x v="1"/>
    <x v="296"/>
    <x v="7"/>
    <n v="0"/>
    <x v="1"/>
  </r>
  <r>
    <x v="1"/>
    <x v="296"/>
    <x v="8"/>
    <n v="0"/>
    <x v="1"/>
  </r>
  <r>
    <x v="1"/>
    <x v="296"/>
    <x v="9"/>
    <n v="0"/>
    <x v="1"/>
  </r>
  <r>
    <x v="1"/>
    <x v="296"/>
    <x v="10"/>
    <n v="0"/>
    <x v="1"/>
  </r>
  <r>
    <x v="1"/>
    <x v="296"/>
    <x v="11"/>
    <n v="10314"/>
    <x v="1"/>
  </r>
  <r>
    <x v="1"/>
    <x v="297"/>
    <x v="0"/>
    <n v="0"/>
    <x v="1"/>
  </r>
  <r>
    <x v="1"/>
    <x v="297"/>
    <x v="1"/>
    <n v="0"/>
    <x v="1"/>
  </r>
  <r>
    <x v="1"/>
    <x v="297"/>
    <x v="2"/>
    <n v="0"/>
    <x v="1"/>
  </r>
  <r>
    <x v="1"/>
    <x v="297"/>
    <x v="3"/>
    <n v="0"/>
    <x v="1"/>
  </r>
  <r>
    <x v="1"/>
    <x v="297"/>
    <x v="4"/>
    <n v="0"/>
    <x v="1"/>
  </r>
  <r>
    <x v="1"/>
    <x v="297"/>
    <x v="5"/>
    <n v="0"/>
    <x v="1"/>
  </r>
  <r>
    <x v="1"/>
    <x v="297"/>
    <x v="6"/>
    <n v="0"/>
    <x v="1"/>
  </r>
  <r>
    <x v="1"/>
    <x v="297"/>
    <x v="7"/>
    <n v="0"/>
    <x v="1"/>
  </r>
  <r>
    <x v="1"/>
    <x v="297"/>
    <x v="8"/>
    <n v="0"/>
    <x v="1"/>
  </r>
  <r>
    <x v="1"/>
    <x v="297"/>
    <x v="9"/>
    <n v="0"/>
    <x v="1"/>
  </r>
  <r>
    <x v="1"/>
    <x v="297"/>
    <x v="10"/>
    <n v="0"/>
    <x v="1"/>
  </r>
  <r>
    <x v="1"/>
    <x v="297"/>
    <x v="11"/>
    <n v="4500"/>
    <x v="1"/>
  </r>
  <r>
    <x v="4"/>
    <x v="298"/>
    <x v="0"/>
    <n v="2088"/>
    <x v="1"/>
  </r>
  <r>
    <x v="4"/>
    <x v="298"/>
    <x v="1"/>
    <n v="0"/>
    <x v="1"/>
  </r>
  <r>
    <x v="4"/>
    <x v="298"/>
    <x v="2"/>
    <n v="459"/>
    <x v="1"/>
  </r>
  <r>
    <x v="4"/>
    <x v="298"/>
    <x v="3"/>
    <n v="0"/>
    <x v="1"/>
  </r>
  <r>
    <x v="4"/>
    <x v="298"/>
    <x v="4"/>
    <n v="0"/>
    <x v="1"/>
  </r>
  <r>
    <x v="4"/>
    <x v="298"/>
    <x v="5"/>
    <n v="0"/>
    <x v="1"/>
  </r>
  <r>
    <x v="4"/>
    <x v="298"/>
    <x v="6"/>
    <n v="0"/>
    <x v="1"/>
  </r>
  <r>
    <x v="4"/>
    <x v="298"/>
    <x v="7"/>
    <n v="0"/>
    <x v="1"/>
  </r>
  <r>
    <x v="4"/>
    <x v="298"/>
    <x v="8"/>
    <n v="0"/>
    <x v="1"/>
  </r>
  <r>
    <x v="4"/>
    <x v="298"/>
    <x v="9"/>
    <n v="0"/>
    <x v="1"/>
  </r>
  <r>
    <x v="4"/>
    <x v="298"/>
    <x v="10"/>
    <n v="0"/>
    <x v="1"/>
  </r>
  <r>
    <x v="4"/>
    <x v="298"/>
    <x v="11"/>
    <n v="0"/>
    <x v="1"/>
  </r>
  <r>
    <x v="4"/>
    <x v="299"/>
    <x v="0"/>
    <n v="0"/>
    <x v="1"/>
  </r>
  <r>
    <x v="4"/>
    <x v="299"/>
    <x v="1"/>
    <n v="0"/>
    <x v="1"/>
  </r>
  <r>
    <x v="4"/>
    <x v="299"/>
    <x v="2"/>
    <n v="1052"/>
    <x v="1"/>
  </r>
  <r>
    <x v="4"/>
    <x v="299"/>
    <x v="3"/>
    <n v="0"/>
    <x v="1"/>
  </r>
  <r>
    <x v="4"/>
    <x v="299"/>
    <x v="4"/>
    <n v="0"/>
    <x v="1"/>
  </r>
  <r>
    <x v="4"/>
    <x v="299"/>
    <x v="5"/>
    <n v="0"/>
    <x v="1"/>
  </r>
  <r>
    <x v="4"/>
    <x v="299"/>
    <x v="6"/>
    <n v="0"/>
    <x v="1"/>
  </r>
  <r>
    <x v="4"/>
    <x v="299"/>
    <x v="7"/>
    <n v="0"/>
    <x v="1"/>
  </r>
  <r>
    <x v="4"/>
    <x v="299"/>
    <x v="8"/>
    <n v="0"/>
    <x v="1"/>
  </r>
  <r>
    <x v="4"/>
    <x v="299"/>
    <x v="9"/>
    <n v="0"/>
    <x v="1"/>
  </r>
  <r>
    <x v="4"/>
    <x v="299"/>
    <x v="10"/>
    <n v="0"/>
    <x v="1"/>
  </r>
  <r>
    <x v="4"/>
    <x v="299"/>
    <x v="11"/>
    <n v="0"/>
    <x v="1"/>
  </r>
  <r>
    <x v="4"/>
    <x v="300"/>
    <x v="0"/>
    <n v="0"/>
    <x v="1"/>
  </r>
  <r>
    <x v="4"/>
    <x v="300"/>
    <x v="1"/>
    <n v="0"/>
    <x v="1"/>
  </r>
  <r>
    <x v="4"/>
    <x v="300"/>
    <x v="2"/>
    <n v="0"/>
    <x v="1"/>
  </r>
  <r>
    <x v="4"/>
    <x v="300"/>
    <x v="3"/>
    <n v="2976"/>
    <x v="1"/>
  </r>
  <r>
    <x v="4"/>
    <x v="300"/>
    <x v="4"/>
    <n v="1485"/>
    <x v="1"/>
  </r>
  <r>
    <x v="4"/>
    <x v="300"/>
    <x v="5"/>
    <n v="0"/>
    <x v="1"/>
  </r>
  <r>
    <x v="4"/>
    <x v="300"/>
    <x v="6"/>
    <n v="0"/>
    <x v="1"/>
  </r>
  <r>
    <x v="4"/>
    <x v="300"/>
    <x v="7"/>
    <n v="0"/>
    <x v="1"/>
  </r>
  <r>
    <x v="4"/>
    <x v="300"/>
    <x v="8"/>
    <n v="0"/>
    <x v="1"/>
  </r>
  <r>
    <x v="4"/>
    <x v="300"/>
    <x v="9"/>
    <n v="0"/>
    <x v="1"/>
  </r>
  <r>
    <x v="4"/>
    <x v="300"/>
    <x v="10"/>
    <n v="0"/>
    <x v="1"/>
  </r>
  <r>
    <x v="4"/>
    <x v="300"/>
    <x v="11"/>
    <n v="0"/>
    <x v="1"/>
  </r>
  <r>
    <x v="4"/>
    <x v="301"/>
    <x v="0"/>
    <n v="0"/>
    <x v="1"/>
  </r>
  <r>
    <x v="4"/>
    <x v="301"/>
    <x v="1"/>
    <n v="0"/>
    <x v="1"/>
  </r>
  <r>
    <x v="4"/>
    <x v="301"/>
    <x v="2"/>
    <n v="0"/>
    <x v="1"/>
  </r>
  <r>
    <x v="4"/>
    <x v="301"/>
    <x v="3"/>
    <n v="0"/>
    <x v="1"/>
  </r>
  <r>
    <x v="4"/>
    <x v="301"/>
    <x v="4"/>
    <n v="0"/>
    <x v="1"/>
  </r>
  <r>
    <x v="4"/>
    <x v="301"/>
    <x v="5"/>
    <n v="0"/>
    <x v="1"/>
  </r>
  <r>
    <x v="4"/>
    <x v="301"/>
    <x v="6"/>
    <n v="533"/>
    <x v="1"/>
  </r>
  <r>
    <x v="4"/>
    <x v="301"/>
    <x v="7"/>
    <n v="0"/>
    <x v="1"/>
  </r>
  <r>
    <x v="4"/>
    <x v="301"/>
    <x v="8"/>
    <n v="0"/>
    <x v="1"/>
  </r>
  <r>
    <x v="4"/>
    <x v="301"/>
    <x v="9"/>
    <n v="0"/>
    <x v="1"/>
  </r>
  <r>
    <x v="4"/>
    <x v="301"/>
    <x v="10"/>
    <n v="0"/>
    <x v="1"/>
  </r>
  <r>
    <x v="4"/>
    <x v="301"/>
    <x v="11"/>
    <n v="0"/>
    <x v="1"/>
  </r>
  <r>
    <x v="4"/>
    <x v="302"/>
    <x v="0"/>
    <n v="0"/>
    <x v="1"/>
  </r>
  <r>
    <x v="4"/>
    <x v="302"/>
    <x v="1"/>
    <n v="0"/>
    <x v="1"/>
  </r>
  <r>
    <x v="4"/>
    <x v="302"/>
    <x v="2"/>
    <n v="0"/>
    <x v="1"/>
  </r>
  <r>
    <x v="4"/>
    <x v="302"/>
    <x v="3"/>
    <n v="0"/>
    <x v="1"/>
  </r>
  <r>
    <x v="4"/>
    <x v="302"/>
    <x v="4"/>
    <n v="0"/>
    <x v="1"/>
  </r>
  <r>
    <x v="4"/>
    <x v="302"/>
    <x v="5"/>
    <n v="0"/>
    <x v="1"/>
  </r>
  <r>
    <x v="4"/>
    <x v="302"/>
    <x v="6"/>
    <n v="1518"/>
    <x v="1"/>
  </r>
  <r>
    <x v="4"/>
    <x v="302"/>
    <x v="7"/>
    <n v="0"/>
    <x v="1"/>
  </r>
  <r>
    <x v="4"/>
    <x v="302"/>
    <x v="8"/>
    <n v="0"/>
    <x v="1"/>
  </r>
  <r>
    <x v="4"/>
    <x v="302"/>
    <x v="9"/>
    <n v="0"/>
    <x v="1"/>
  </r>
  <r>
    <x v="4"/>
    <x v="302"/>
    <x v="10"/>
    <n v="0"/>
    <x v="1"/>
  </r>
  <r>
    <x v="4"/>
    <x v="302"/>
    <x v="11"/>
    <n v="0"/>
    <x v="1"/>
  </r>
  <r>
    <x v="4"/>
    <x v="303"/>
    <x v="0"/>
    <n v="0"/>
    <x v="1"/>
  </r>
  <r>
    <x v="4"/>
    <x v="303"/>
    <x v="1"/>
    <n v="0"/>
    <x v="1"/>
  </r>
  <r>
    <x v="4"/>
    <x v="303"/>
    <x v="2"/>
    <n v="0"/>
    <x v="1"/>
  </r>
  <r>
    <x v="4"/>
    <x v="303"/>
    <x v="3"/>
    <n v="0"/>
    <x v="1"/>
  </r>
  <r>
    <x v="4"/>
    <x v="303"/>
    <x v="4"/>
    <n v="0"/>
    <x v="1"/>
  </r>
  <r>
    <x v="4"/>
    <x v="303"/>
    <x v="5"/>
    <n v="0"/>
    <x v="1"/>
  </r>
  <r>
    <x v="4"/>
    <x v="303"/>
    <x v="6"/>
    <n v="0"/>
    <x v="1"/>
  </r>
  <r>
    <x v="4"/>
    <x v="303"/>
    <x v="7"/>
    <n v="17905"/>
    <x v="1"/>
  </r>
  <r>
    <x v="4"/>
    <x v="303"/>
    <x v="8"/>
    <n v="0"/>
    <x v="1"/>
  </r>
  <r>
    <x v="4"/>
    <x v="303"/>
    <x v="9"/>
    <n v="0"/>
    <x v="1"/>
  </r>
  <r>
    <x v="4"/>
    <x v="303"/>
    <x v="10"/>
    <n v="0"/>
    <x v="1"/>
  </r>
  <r>
    <x v="4"/>
    <x v="303"/>
    <x v="11"/>
    <n v="0"/>
    <x v="1"/>
  </r>
  <r>
    <x v="4"/>
    <x v="304"/>
    <x v="0"/>
    <n v="0"/>
    <x v="1"/>
  </r>
  <r>
    <x v="4"/>
    <x v="304"/>
    <x v="1"/>
    <n v="0"/>
    <x v="1"/>
  </r>
  <r>
    <x v="4"/>
    <x v="304"/>
    <x v="2"/>
    <n v="0"/>
    <x v="1"/>
  </r>
  <r>
    <x v="4"/>
    <x v="304"/>
    <x v="3"/>
    <n v="0"/>
    <x v="1"/>
  </r>
  <r>
    <x v="4"/>
    <x v="304"/>
    <x v="4"/>
    <n v="0"/>
    <x v="1"/>
  </r>
  <r>
    <x v="4"/>
    <x v="304"/>
    <x v="5"/>
    <n v="0"/>
    <x v="1"/>
  </r>
  <r>
    <x v="4"/>
    <x v="304"/>
    <x v="6"/>
    <n v="0"/>
    <x v="1"/>
  </r>
  <r>
    <x v="4"/>
    <x v="304"/>
    <x v="7"/>
    <n v="0"/>
    <x v="1"/>
  </r>
  <r>
    <x v="4"/>
    <x v="304"/>
    <x v="8"/>
    <n v="2899"/>
    <x v="1"/>
  </r>
  <r>
    <x v="4"/>
    <x v="304"/>
    <x v="9"/>
    <n v="0"/>
    <x v="1"/>
  </r>
  <r>
    <x v="4"/>
    <x v="304"/>
    <x v="10"/>
    <n v="0"/>
    <x v="1"/>
  </r>
  <r>
    <x v="4"/>
    <x v="304"/>
    <x v="11"/>
    <n v="0"/>
    <x v="1"/>
  </r>
  <r>
    <x v="4"/>
    <x v="305"/>
    <x v="0"/>
    <n v="0"/>
    <x v="1"/>
  </r>
  <r>
    <x v="4"/>
    <x v="305"/>
    <x v="1"/>
    <n v="0"/>
    <x v="1"/>
  </r>
  <r>
    <x v="4"/>
    <x v="305"/>
    <x v="2"/>
    <n v="0"/>
    <x v="1"/>
  </r>
  <r>
    <x v="4"/>
    <x v="305"/>
    <x v="3"/>
    <n v="0"/>
    <x v="1"/>
  </r>
  <r>
    <x v="4"/>
    <x v="305"/>
    <x v="4"/>
    <n v="0"/>
    <x v="1"/>
  </r>
  <r>
    <x v="4"/>
    <x v="305"/>
    <x v="5"/>
    <n v="0"/>
    <x v="1"/>
  </r>
  <r>
    <x v="4"/>
    <x v="305"/>
    <x v="6"/>
    <n v="0"/>
    <x v="1"/>
  </r>
  <r>
    <x v="4"/>
    <x v="305"/>
    <x v="7"/>
    <n v="0"/>
    <x v="1"/>
  </r>
  <r>
    <x v="4"/>
    <x v="305"/>
    <x v="8"/>
    <n v="903"/>
    <x v="1"/>
  </r>
  <r>
    <x v="4"/>
    <x v="305"/>
    <x v="9"/>
    <n v="0"/>
    <x v="1"/>
  </r>
  <r>
    <x v="4"/>
    <x v="305"/>
    <x v="10"/>
    <n v="0"/>
    <x v="1"/>
  </r>
  <r>
    <x v="4"/>
    <x v="305"/>
    <x v="11"/>
    <n v="0"/>
    <x v="1"/>
  </r>
  <r>
    <x v="4"/>
    <x v="306"/>
    <x v="0"/>
    <n v="0"/>
    <x v="1"/>
  </r>
  <r>
    <x v="4"/>
    <x v="306"/>
    <x v="1"/>
    <n v="0"/>
    <x v="1"/>
  </r>
  <r>
    <x v="4"/>
    <x v="306"/>
    <x v="2"/>
    <n v="0"/>
    <x v="1"/>
  </r>
  <r>
    <x v="4"/>
    <x v="306"/>
    <x v="3"/>
    <n v="0"/>
    <x v="1"/>
  </r>
  <r>
    <x v="4"/>
    <x v="306"/>
    <x v="4"/>
    <n v="0"/>
    <x v="1"/>
  </r>
  <r>
    <x v="4"/>
    <x v="306"/>
    <x v="5"/>
    <n v="0"/>
    <x v="1"/>
  </r>
  <r>
    <x v="4"/>
    <x v="306"/>
    <x v="6"/>
    <n v="0"/>
    <x v="1"/>
  </r>
  <r>
    <x v="4"/>
    <x v="306"/>
    <x v="7"/>
    <n v="0"/>
    <x v="1"/>
  </r>
  <r>
    <x v="4"/>
    <x v="306"/>
    <x v="8"/>
    <n v="0"/>
    <x v="1"/>
  </r>
  <r>
    <x v="4"/>
    <x v="306"/>
    <x v="9"/>
    <n v="1183"/>
    <x v="1"/>
  </r>
  <r>
    <x v="4"/>
    <x v="306"/>
    <x v="10"/>
    <n v="0"/>
    <x v="1"/>
  </r>
  <r>
    <x v="4"/>
    <x v="306"/>
    <x v="11"/>
    <n v="0"/>
    <x v="1"/>
  </r>
  <r>
    <x v="4"/>
    <x v="307"/>
    <x v="0"/>
    <n v="0"/>
    <x v="1"/>
  </r>
  <r>
    <x v="4"/>
    <x v="307"/>
    <x v="1"/>
    <n v="0"/>
    <x v="1"/>
  </r>
  <r>
    <x v="4"/>
    <x v="307"/>
    <x v="2"/>
    <n v="0"/>
    <x v="1"/>
  </r>
  <r>
    <x v="4"/>
    <x v="307"/>
    <x v="3"/>
    <n v="0"/>
    <x v="1"/>
  </r>
  <r>
    <x v="4"/>
    <x v="307"/>
    <x v="4"/>
    <n v="0"/>
    <x v="1"/>
  </r>
  <r>
    <x v="4"/>
    <x v="307"/>
    <x v="5"/>
    <n v="0"/>
    <x v="1"/>
  </r>
  <r>
    <x v="4"/>
    <x v="307"/>
    <x v="6"/>
    <n v="0"/>
    <x v="1"/>
  </r>
  <r>
    <x v="4"/>
    <x v="307"/>
    <x v="7"/>
    <n v="0"/>
    <x v="1"/>
  </r>
  <r>
    <x v="4"/>
    <x v="307"/>
    <x v="8"/>
    <n v="0"/>
    <x v="1"/>
  </r>
  <r>
    <x v="4"/>
    <x v="307"/>
    <x v="9"/>
    <n v="283"/>
    <x v="1"/>
  </r>
  <r>
    <x v="4"/>
    <x v="307"/>
    <x v="10"/>
    <n v="0"/>
    <x v="1"/>
  </r>
  <r>
    <x v="4"/>
    <x v="307"/>
    <x v="11"/>
    <n v="0"/>
    <x v="1"/>
  </r>
  <r>
    <x v="4"/>
    <x v="308"/>
    <x v="0"/>
    <n v="0"/>
    <x v="1"/>
  </r>
  <r>
    <x v="4"/>
    <x v="308"/>
    <x v="1"/>
    <n v="0"/>
    <x v="1"/>
  </r>
  <r>
    <x v="4"/>
    <x v="308"/>
    <x v="2"/>
    <n v="0"/>
    <x v="1"/>
  </r>
  <r>
    <x v="4"/>
    <x v="308"/>
    <x v="3"/>
    <n v="0"/>
    <x v="1"/>
  </r>
  <r>
    <x v="4"/>
    <x v="308"/>
    <x v="4"/>
    <n v="0"/>
    <x v="1"/>
  </r>
  <r>
    <x v="4"/>
    <x v="308"/>
    <x v="5"/>
    <n v="0"/>
    <x v="1"/>
  </r>
  <r>
    <x v="4"/>
    <x v="308"/>
    <x v="6"/>
    <n v="0"/>
    <x v="1"/>
  </r>
  <r>
    <x v="4"/>
    <x v="308"/>
    <x v="7"/>
    <n v="0"/>
    <x v="1"/>
  </r>
  <r>
    <x v="4"/>
    <x v="308"/>
    <x v="8"/>
    <n v="0"/>
    <x v="1"/>
  </r>
  <r>
    <x v="4"/>
    <x v="308"/>
    <x v="9"/>
    <n v="0"/>
    <x v="1"/>
  </r>
  <r>
    <x v="4"/>
    <x v="308"/>
    <x v="10"/>
    <n v="1654"/>
    <x v="1"/>
  </r>
  <r>
    <x v="4"/>
    <x v="308"/>
    <x v="11"/>
    <n v="0"/>
    <x v="1"/>
  </r>
  <r>
    <x v="4"/>
    <x v="309"/>
    <x v="0"/>
    <n v="0"/>
    <x v="1"/>
  </r>
  <r>
    <x v="4"/>
    <x v="309"/>
    <x v="1"/>
    <n v="0"/>
    <x v="1"/>
  </r>
  <r>
    <x v="4"/>
    <x v="309"/>
    <x v="2"/>
    <n v="0"/>
    <x v="1"/>
  </r>
  <r>
    <x v="4"/>
    <x v="309"/>
    <x v="3"/>
    <n v="0"/>
    <x v="1"/>
  </r>
  <r>
    <x v="4"/>
    <x v="309"/>
    <x v="4"/>
    <n v="0"/>
    <x v="1"/>
  </r>
  <r>
    <x v="4"/>
    <x v="309"/>
    <x v="5"/>
    <n v="0"/>
    <x v="1"/>
  </r>
  <r>
    <x v="4"/>
    <x v="309"/>
    <x v="6"/>
    <n v="0"/>
    <x v="1"/>
  </r>
  <r>
    <x v="4"/>
    <x v="309"/>
    <x v="7"/>
    <n v="0"/>
    <x v="1"/>
  </r>
  <r>
    <x v="4"/>
    <x v="309"/>
    <x v="8"/>
    <n v="0"/>
    <x v="1"/>
  </r>
  <r>
    <x v="4"/>
    <x v="309"/>
    <x v="9"/>
    <n v="0"/>
    <x v="1"/>
  </r>
  <r>
    <x v="4"/>
    <x v="309"/>
    <x v="10"/>
    <n v="300"/>
    <x v="1"/>
  </r>
  <r>
    <x v="4"/>
    <x v="309"/>
    <x v="11"/>
    <n v="0"/>
    <x v="1"/>
  </r>
  <r>
    <x v="4"/>
    <x v="310"/>
    <x v="0"/>
    <n v="43.85"/>
    <x v="1"/>
  </r>
  <r>
    <x v="4"/>
    <x v="310"/>
    <x v="1"/>
    <n v="0"/>
    <x v="1"/>
  </r>
  <r>
    <x v="4"/>
    <x v="310"/>
    <x v="2"/>
    <n v="0"/>
    <x v="1"/>
  </r>
  <r>
    <x v="4"/>
    <x v="310"/>
    <x v="3"/>
    <n v="0"/>
    <x v="1"/>
  </r>
  <r>
    <x v="4"/>
    <x v="310"/>
    <x v="4"/>
    <n v="0"/>
    <x v="1"/>
  </r>
  <r>
    <x v="4"/>
    <x v="310"/>
    <x v="5"/>
    <n v="0"/>
    <x v="1"/>
  </r>
  <r>
    <x v="4"/>
    <x v="310"/>
    <x v="6"/>
    <n v="0"/>
    <x v="1"/>
  </r>
  <r>
    <x v="4"/>
    <x v="310"/>
    <x v="7"/>
    <n v="0"/>
    <x v="1"/>
  </r>
  <r>
    <x v="4"/>
    <x v="310"/>
    <x v="8"/>
    <n v="0"/>
    <x v="1"/>
  </r>
  <r>
    <x v="4"/>
    <x v="310"/>
    <x v="9"/>
    <n v="0"/>
    <x v="1"/>
  </r>
  <r>
    <x v="4"/>
    <x v="310"/>
    <x v="10"/>
    <n v="0"/>
    <x v="1"/>
  </r>
  <r>
    <x v="4"/>
    <x v="310"/>
    <x v="11"/>
    <n v="0"/>
    <x v="1"/>
  </r>
  <r>
    <x v="4"/>
    <x v="311"/>
    <x v="0"/>
    <n v="1350"/>
    <x v="1"/>
  </r>
  <r>
    <x v="4"/>
    <x v="311"/>
    <x v="1"/>
    <n v="0"/>
    <x v="1"/>
  </r>
  <r>
    <x v="4"/>
    <x v="311"/>
    <x v="2"/>
    <n v="0"/>
    <x v="1"/>
  </r>
  <r>
    <x v="4"/>
    <x v="311"/>
    <x v="3"/>
    <n v="0"/>
    <x v="1"/>
  </r>
  <r>
    <x v="4"/>
    <x v="311"/>
    <x v="4"/>
    <n v="0"/>
    <x v="1"/>
  </r>
  <r>
    <x v="4"/>
    <x v="311"/>
    <x v="5"/>
    <n v="0"/>
    <x v="1"/>
  </r>
  <r>
    <x v="4"/>
    <x v="311"/>
    <x v="6"/>
    <n v="0"/>
    <x v="1"/>
  </r>
  <r>
    <x v="4"/>
    <x v="311"/>
    <x v="7"/>
    <n v="0"/>
    <x v="1"/>
  </r>
  <r>
    <x v="4"/>
    <x v="311"/>
    <x v="8"/>
    <n v="0"/>
    <x v="1"/>
  </r>
  <r>
    <x v="4"/>
    <x v="311"/>
    <x v="9"/>
    <n v="0"/>
    <x v="1"/>
  </r>
  <r>
    <x v="4"/>
    <x v="311"/>
    <x v="10"/>
    <n v="0"/>
    <x v="1"/>
  </r>
  <r>
    <x v="4"/>
    <x v="311"/>
    <x v="11"/>
    <n v="0"/>
    <x v="1"/>
  </r>
  <r>
    <x v="4"/>
    <x v="311"/>
    <x v="0"/>
    <n v="0"/>
    <x v="1"/>
  </r>
  <r>
    <x v="4"/>
    <x v="311"/>
    <x v="1"/>
    <n v="-314"/>
    <x v="1"/>
  </r>
  <r>
    <x v="4"/>
    <x v="311"/>
    <x v="2"/>
    <n v="0"/>
    <x v="1"/>
  </r>
  <r>
    <x v="4"/>
    <x v="311"/>
    <x v="3"/>
    <n v="0"/>
    <x v="1"/>
  </r>
  <r>
    <x v="4"/>
    <x v="311"/>
    <x v="4"/>
    <n v="0"/>
    <x v="1"/>
  </r>
  <r>
    <x v="4"/>
    <x v="311"/>
    <x v="5"/>
    <n v="0"/>
    <x v="1"/>
  </r>
  <r>
    <x v="4"/>
    <x v="311"/>
    <x v="6"/>
    <n v="0"/>
    <x v="1"/>
  </r>
  <r>
    <x v="4"/>
    <x v="311"/>
    <x v="7"/>
    <n v="0"/>
    <x v="1"/>
  </r>
  <r>
    <x v="4"/>
    <x v="311"/>
    <x v="8"/>
    <n v="0"/>
    <x v="1"/>
  </r>
  <r>
    <x v="4"/>
    <x v="311"/>
    <x v="9"/>
    <n v="0"/>
    <x v="1"/>
  </r>
  <r>
    <x v="4"/>
    <x v="311"/>
    <x v="10"/>
    <n v="0"/>
    <x v="1"/>
  </r>
  <r>
    <x v="4"/>
    <x v="311"/>
    <x v="11"/>
    <n v="0"/>
    <x v="1"/>
  </r>
  <r>
    <x v="4"/>
    <x v="312"/>
    <x v="0"/>
    <n v="0"/>
    <x v="1"/>
  </r>
  <r>
    <x v="4"/>
    <x v="312"/>
    <x v="1"/>
    <n v="-300"/>
    <x v="1"/>
  </r>
  <r>
    <x v="4"/>
    <x v="312"/>
    <x v="2"/>
    <n v="0"/>
    <x v="1"/>
  </r>
  <r>
    <x v="4"/>
    <x v="312"/>
    <x v="3"/>
    <n v="1526"/>
    <x v="1"/>
  </r>
  <r>
    <x v="4"/>
    <x v="312"/>
    <x v="4"/>
    <n v="0"/>
    <x v="1"/>
  </r>
  <r>
    <x v="4"/>
    <x v="312"/>
    <x v="5"/>
    <n v="0"/>
    <x v="1"/>
  </r>
  <r>
    <x v="4"/>
    <x v="312"/>
    <x v="6"/>
    <n v="0"/>
    <x v="1"/>
  </r>
  <r>
    <x v="4"/>
    <x v="312"/>
    <x v="7"/>
    <n v="0"/>
    <x v="1"/>
  </r>
  <r>
    <x v="4"/>
    <x v="312"/>
    <x v="8"/>
    <n v="0"/>
    <x v="1"/>
  </r>
  <r>
    <x v="4"/>
    <x v="312"/>
    <x v="9"/>
    <n v="0"/>
    <x v="1"/>
  </r>
  <r>
    <x v="4"/>
    <x v="312"/>
    <x v="10"/>
    <n v="0"/>
    <x v="1"/>
  </r>
  <r>
    <x v="4"/>
    <x v="312"/>
    <x v="11"/>
    <n v="0"/>
    <x v="1"/>
  </r>
  <r>
    <x v="4"/>
    <x v="313"/>
    <x v="0"/>
    <n v="0"/>
    <x v="1"/>
  </r>
  <r>
    <x v="4"/>
    <x v="313"/>
    <x v="1"/>
    <n v="0"/>
    <x v="1"/>
  </r>
  <r>
    <x v="4"/>
    <x v="313"/>
    <x v="2"/>
    <n v="200"/>
    <x v="1"/>
  </r>
  <r>
    <x v="4"/>
    <x v="313"/>
    <x v="3"/>
    <n v="0"/>
    <x v="1"/>
  </r>
  <r>
    <x v="4"/>
    <x v="313"/>
    <x v="4"/>
    <n v="0"/>
    <x v="1"/>
  </r>
  <r>
    <x v="4"/>
    <x v="313"/>
    <x v="5"/>
    <n v="0"/>
    <x v="1"/>
  </r>
  <r>
    <x v="4"/>
    <x v="313"/>
    <x v="6"/>
    <n v="0"/>
    <x v="1"/>
  </r>
  <r>
    <x v="4"/>
    <x v="313"/>
    <x v="7"/>
    <n v="0"/>
    <x v="1"/>
  </r>
  <r>
    <x v="4"/>
    <x v="313"/>
    <x v="8"/>
    <n v="0"/>
    <x v="1"/>
  </r>
  <r>
    <x v="4"/>
    <x v="313"/>
    <x v="9"/>
    <n v="0"/>
    <x v="1"/>
  </r>
  <r>
    <x v="4"/>
    <x v="313"/>
    <x v="10"/>
    <n v="0"/>
    <x v="1"/>
  </r>
  <r>
    <x v="4"/>
    <x v="313"/>
    <x v="11"/>
    <n v="0"/>
    <x v="1"/>
  </r>
  <r>
    <x v="4"/>
    <x v="314"/>
    <x v="0"/>
    <n v="0"/>
    <x v="1"/>
  </r>
  <r>
    <x v="4"/>
    <x v="314"/>
    <x v="1"/>
    <n v="0"/>
    <x v="1"/>
  </r>
  <r>
    <x v="4"/>
    <x v="314"/>
    <x v="2"/>
    <n v="1944"/>
    <x v="1"/>
  </r>
  <r>
    <x v="4"/>
    <x v="314"/>
    <x v="3"/>
    <n v="0"/>
    <x v="1"/>
  </r>
  <r>
    <x v="4"/>
    <x v="314"/>
    <x v="4"/>
    <n v="0"/>
    <x v="1"/>
  </r>
  <r>
    <x v="4"/>
    <x v="314"/>
    <x v="5"/>
    <n v="0"/>
    <x v="1"/>
  </r>
  <r>
    <x v="4"/>
    <x v="314"/>
    <x v="6"/>
    <n v="0"/>
    <x v="1"/>
  </r>
  <r>
    <x v="4"/>
    <x v="314"/>
    <x v="7"/>
    <n v="0"/>
    <x v="1"/>
  </r>
  <r>
    <x v="4"/>
    <x v="314"/>
    <x v="8"/>
    <n v="0"/>
    <x v="1"/>
  </r>
  <r>
    <x v="4"/>
    <x v="314"/>
    <x v="9"/>
    <n v="0"/>
    <x v="1"/>
  </r>
  <r>
    <x v="4"/>
    <x v="314"/>
    <x v="10"/>
    <n v="0"/>
    <x v="1"/>
  </r>
  <r>
    <x v="4"/>
    <x v="314"/>
    <x v="11"/>
    <n v="0"/>
    <x v="1"/>
  </r>
  <r>
    <x v="4"/>
    <x v="315"/>
    <x v="0"/>
    <n v="0"/>
    <x v="1"/>
  </r>
  <r>
    <x v="4"/>
    <x v="315"/>
    <x v="1"/>
    <n v="0"/>
    <x v="1"/>
  </r>
  <r>
    <x v="4"/>
    <x v="315"/>
    <x v="2"/>
    <n v="0"/>
    <x v="1"/>
  </r>
  <r>
    <x v="4"/>
    <x v="315"/>
    <x v="3"/>
    <n v="811"/>
    <x v="1"/>
  </r>
  <r>
    <x v="4"/>
    <x v="315"/>
    <x v="4"/>
    <n v="0"/>
    <x v="1"/>
  </r>
  <r>
    <x v="4"/>
    <x v="315"/>
    <x v="5"/>
    <n v="0"/>
    <x v="1"/>
  </r>
  <r>
    <x v="4"/>
    <x v="315"/>
    <x v="6"/>
    <n v="0"/>
    <x v="1"/>
  </r>
  <r>
    <x v="4"/>
    <x v="315"/>
    <x v="7"/>
    <n v="0"/>
    <x v="1"/>
  </r>
  <r>
    <x v="4"/>
    <x v="315"/>
    <x v="8"/>
    <n v="0"/>
    <x v="1"/>
  </r>
  <r>
    <x v="4"/>
    <x v="315"/>
    <x v="9"/>
    <n v="0"/>
    <x v="1"/>
  </r>
  <r>
    <x v="4"/>
    <x v="315"/>
    <x v="10"/>
    <n v="0"/>
    <x v="1"/>
  </r>
  <r>
    <x v="4"/>
    <x v="315"/>
    <x v="11"/>
    <n v="0"/>
    <x v="1"/>
  </r>
  <r>
    <x v="4"/>
    <x v="316"/>
    <x v="0"/>
    <n v="0"/>
    <x v="1"/>
  </r>
  <r>
    <x v="4"/>
    <x v="316"/>
    <x v="1"/>
    <n v="0"/>
    <x v="1"/>
  </r>
  <r>
    <x v="4"/>
    <x v="316"/>
    <x v="2"/>
    <n v="0"/>
    <x v="1"/>
  </r>
  <r>
    <x v="4"/>
    <x v="316"/>
    <x v="3"/>
    <n v="0"/>
    <x v="1"/>
  </r>
  <r>
    <x v="4"/>
    <x v="316"/>
    <x v="4"/>
    <n v="109"/>
    <x v="1"/>
  </r>
  <r>
    <x v="4"/>
    <x v="316"/>
    <x v="5"/>
    <n v="0"/>
    <x v="1"/>
  </r>
  <r>
    <x v="4"/>
    <x v="316"/>
    <x v="6"/>
    <n v="0"/>
    <x v="1"/>
  </r>
  <r>
    <x v="4"/>
    <x v="316"/>
    <x v="7"/>
    <n v="0"/>
    <x v="1"/>
  </r>
  <r>
    <x v="4"/>
    <x v="316"/>
    <x v="8"/>
    <n v="0"/>
    <x v="1"/>
  </r>
  <r>
    <x v="4"/>
    <x v="316"/>
    <x v="9"/>
    <n v="0"/>
    <x v="1"/>
  </r>
  <r>
    <x v="4"/>
    <x v="316"/>
    <x v="10"/>
    <n v="0"/>
    <x v="1"/>
  </r>
  <r>
    <x v="4"/>
    <x v="316"/>
    <x v="11"/>
    <n v="0"/>
    <x v="1"/>
  </r>
  <r>
    <x v="4"/>
    <x v="317"/>
    <x v="0"/>
    <n v="0"/>
    <x v="1"/>
  </r>
  <r>
    <x v="4"/>
    <x v="317"/>
    <x v="1"/>
    <n v="0"/>
    <x v="1"/>
  </r>
  <r>
    <x v="4"/>
    <x v="317"/>
    <x v="2"/>
    <n v="0"/>
    <x v="1"/>
  </r>
  <r>
    <x v="4"/>
    <x v="317"/>
    <x v="3"/>
    <n v="0"/>
    <x v="1"/>
  </r>
  <r>
    <x v="4"/>
    <x v="317"/>
    <x v="4"/>
    <n v="0"/>
    <x v="1"/>
  </r>
  <r>
    <x v="4"/>
    <x v="317"/>
    <x v="5"/>
    <n v="459"/>
    <x v="1"/>
  </r>
  <r>
    <x v="4"/>
    <x v="317"/>
    <x v="6"/>
    <n v="0"/>
    <x v="1"/>
  </r>
  <r>
    <x v="4"/>
    <x v="317"/>
    <x v="7"/>
    <n v="0"/>
    <x v="1"/>
  </r>
  <r>
    <x v="4"/>
    <x v="317"/>
    <x v="8"/>
    <n v="0"/>
    <x v="1"/>
  </r>
  <r>
    <x v="4"/>
    <x v="317"/>
    <x v="9"/>
    <n v="0"/>
    <x v="1"/>
  </r>
  <r>
    <x v="4"/>
    <x v="317"/>
    <x v="10"/>
    <n v="0"/>
    <x v="1"/>
  </r>
  <r>
    <x v="4"/>
    <x v="317"/>
    <x v="11"/>
    <n v="0"/>
    <x v="1"/>
  </r>
  <r>
    <x v="4"/>
    <x v="318"/>
    <x v="0"/>
    <n v="0"/>
    <x v="1"/>
  </r>
  <r>
    <x v="4"/>
    <x v="318"/>
    <x v="1"/>
    <n v="0"/>
    <x v="1"/>
  </r>
  <r>
    <x v="4"/>
    <x v="318"/>
    <x v="2"/>
    <n v="0"/>
    <x v="1"/>
  </r>
  <r>
    <x v="4"/>
    <x v="318"/>
    <x v="3"/>
    <n v="0"/>
    <x v="1"/>
  </r>
  <r>
    <x v="4"/>
    <x v="318"/>
    <x v="4"/>
    <n v="0"/>
    <x v="1"/>
  </r>
  <r>
    <x v="4"/>
    <x v="318"/>
    <x v="5"/>
    <n v="0"/>
    <x v="1"/>
  </r>
  <r>
    <x v="4"/>
    <x v="318"/>
    <x v="6"/>
    <n v="250"/>
    <x v="1"/>
  </r>
  <r>
    <x v="4"/>
    <x v="318"/>
    <x v="7"/>
    <n v="0"/>
    <x v="1"/>
  </r>
  <r>
    <x v="4"/>
    <x v="318"/>
    <x v="8"/>
    <n v="0"/>
    <x v="1"/>
  </r>
  <r>
    <x v="4"/>
    <x v="318"/>
    <x v="9"/>
    <n v="0"/>
    <x v="1"/>
  </r>
  <r>
    <x v="4"/>
    <x v="318"/>
    <x v="10"/>
    <n v="0"/>
    <x v="1"/>
  </r>
  <r>
    <x v="4"/>
    <x v="318"/>
    <x v="11"/>
    <n v="0"/>
    <x v="1"/>
  </r>
  <r>
    <x v="4"/>
    <x v="319"/>
    <x v="0"/>
    <n v="0"/>
    <x v="1"/>
  </r>
  <r>
    <x v="4"/>
    <x v="319"/>
    <x v="1"/>
    <n v="0"/>
    <x v="1"/>
  </r>
  <r>
    <x v="4"/>
    <x v="319"/>
    <x v="2"/>
    <n v="0"/>
    <x v="1"/>
  </r>
  <r>
    <x v="4"/>
    <x v="319"/>
    <x v="3"/>
    <n v="0"/>
    <x v="1"/>
  </r>
  <r>
    <x v="4"/>
    <x v="319"/>
    <x v="4"/>
    <n v="0"/>
    <x v="1"/>
  </r>
  <r>
    <x v="4"/>
    <x v="319"/>
    <x v="5"/>
    <n v="0"/>
    <x v="1"/>
  </r>
  <r>
    <x v="4"/>
    <x v="319"/>
    <x v="6"/>
    <n v="250"/>
    <x v="1"/>
  </r>
  <r>
    <x v="4"/>
    <x v="319"/>
    <x v="7"/>
    <n v="0"/>
    <x v="1"/>
  </r>
  <r>
    <x v="4"/>
    <x v="319"/>
    <x v="8"/>
    <n v="0"/>
    <x v="1"/>
  </r>
  <r>
    <x v="4"/>
    <x v="319"/>
    <x v="9"/>
    <n v="0"/>
    <x v="1"/>
  </r>
  <r>
    <x v="4"/>
    <x v="319"/>
    <x v="10"/>
    <n v="0"/>
    <x v="1"/>
  </r>
  <r>
    <x v="4"/>
    <x v="319"/>
    <x v="11"/>
    <n v="0"/>
    <x v="1"/>
  </r>
  <r>
    <x v="4"/>
    <x v="320"/>
    <x v="0"/>
    <n v="0"/>
    <x v="1"/>
  </r>
  <r>
    <x v="4"/>
    <x v="320"/>
    <x v="1"/>
    <n v="0"/>
    <x v="1"/>
  </r>
  <r>
    <x v="4"/>
    <x v="320"/>
    <x v="2"/>
    <n v="0"/>
    <x v="1"/>
  </r>
  <r>
    <x v="4"/>
    <x v="320"/>
    <x v="3"/>
    <n v="0"/>
    <x v="1"/>
  </r>
  <r>
    <x v="4"/>
    <x v="320"/>
    <x v="4"/>
    <n v="0"/>
    <x v="1"/>
  </r>
  <r>
    <x v="4"/>
    <x v="320"/>
    <x v="5"/>
    <n v="0"/>
    <x v="1"/>
  </r>
  <r>
    <x v="4"/>
    <x v="320"/>
    <x v="6"/>
    <n v="0"/>
    <x v="1"/>
  </r>
  <r>
    <x v="4"/>
    <x v="320"/>
    <x v="7"/>
    <n v="4071"/>
    <x v="1"/>
  </r>
  <r>
    <x v="4"/>
    <x v="320"/>
    <x v="8"/>
    <n v="0"/>
    <x v="1"/>
  </r>
  <r>
    <x v="4"/>
    <x v="320"/>
    <x v="9"/>
    <n v="0"/>
    <x v="1"/>
  </r>
  <r>
    <x v="4"/>
    <x v="320"/>
    <x v="10"/>
    <n v="0"/>
    <x v="1"/>
  </r>
  <r>
    <x v="4"/>
    <x v="320"/>
    <x v="11"/>
    <n v="0"/>
    <x v="1"/>
  </r>
  <r>
    <x v="4"/>
    <x v="321"/>
    <x v="0"/>
    <n v="0"/>
    <x v="1"/>
  </r>
  <r>
    <x v="4"/>
    <x v="321"/>
    <x v="1"/>
    <n v="0"/>
    <x v="1"/>
  </r>
  <r>
    <x v="4"/>
    <x v="321"/>
    <x v="2"/>
    <n v="0"/>
    <x v="1"/>
  </r>
  <r>
    <x v="4"/>
    <x v="321"/>
    <x v="3"/>
    <n v="0"/>
    <x v="1"/>
  </r>
  <r>
    <x v="4"/>
    <x v="321"/>
    <x v="4"/>
    <n v="0"/>
    <x v="1"/>
  </r>
  <r>
    <x v="4"/>
    <x v="321"/>
    <x v="5"/>
    <n v="0"/>
    <x v="1"/>
  </r>
  <r>
    <x v="4"/>
    <x v="321"/>
    <x v="6"/>
    <n v="0"/>
    <x v="1"/>
  </r>
  <r>
    <x v="4"/>
    <x v="321"/>
    <x v="7"/>
    <n v="0"/>
    <x v="1"/>
  </r>
  <r>
    <x v="4"/>
    <x v="321"/>
    <x v="8"/>
    <n v="230"/>
    <x v="1"/>
  </r>
  <r>
    <x v="4"/>
    <x v="321"/>
    <x v="9"/>
    <n v="0"/>
    <x v="1"/>
  </r>
  <r>
    <x v="4"/>
    <x v="321"/>
    <x v="10"/>
    <n v="0"/>
    <x v="1"/>
  </r>
  <r>
    <x v="4"/>
    <x v="321"/>
    <x v="11"/>
    <n v="0"/>
    <x v="1"/>
  </r>
  <r>
    <x v="4"/>
    <x v="322"/>
    <x v="0"/>
    <n v="0"/>
    <x v="1"/>
  </r>
  <r>
    <x v="4"/>
    <x v="322"/>
    <x v="1"/>
    <n v="0"/>
    <x v="1"/>
  </r>
  <r>
    <x v="4"/>
    <x v="322"/>
    <x v="2"/>
    <n v="0"/>
    <x v="1"/>
  </r>
  <r>
    <x v="4"/>
    <x v="322"/>
    <x v="3"/>
    <n v="0"/>
    <x v="1"/>
  </r>
  <r>
    <x v="4"/>
    <x v="322"/>
    <x v="4"/>
    <n v="0"/>
    <x v="1"/>
  </r>
  <r>
    <x v="4"/>
    <x v="322"/>
    <x v="5"/>
    <n v="0"/>
    <x v="1"/>
  </r>
  <r>
    <x v="4"/>
    <x v="322"/>
    <x v="6"/>
    <n v="0"/>
    <x v="1"/>
  </r>
  <r>
    <x v="4"/>
    <x v="322"/>
    <x v="7"/>
    <n v="0"/>
    <x v="1"/>
  </r>
  <r>
    <x v="4"/>
    <x v="322"/>
    <x v="8"/>
    <n v="391"/>
    <x v="1"/>
  </r>
  <r>
    <x v="4"/>
    <x v="322"/>
    <x v="9"/>
    <n v="0"/>
    <x v="1"/>
  </r>
  <r>
    <x v="4"/>
    <x v="322"/>
    <x v="10"/>
    <n v="0"/>
    <x v="1"/>
  </r>
  <r>
    <x v="4"/>
    <x v="322"/>
    <x v="11"/>
    <n v="0"/>
    <x v="1"/>
  </r>
  <r>
    <x v="4"/>
    <x v="323"/>
    <x v="0"/>
    <n v="0"/>
    <x v="1"/>
  </r>
  <r>
    <x v="4"/>
    <x v="323"/>
    <x v="1"/>
    <n v="0"/>
    <x v="1"/>
  </r>
  <r>
    <x v="4"/>
    <x v="323"/>
    <x v="2"/>
    <n v="0"/>
    <x v="1"/>
  </r>
  <r>
    <x v="4"/>
    <x v="323"/>
    <x v="3"/>
    <n v="0"/>
    <x v="1"/>
  </r>
  <r>
    <x v="4"/>
    <x v="323"/>
    <x v="4"/>
    <n v="0"/>
    <x v="1"/>
  </r>
  <r>
    <x v="4"/>
    <x v="323"/>
    <x v="5"/>
    <n v="0"/>
    <x v="1"/>
  </r>
  <r>
    <x v="4"/>
    <x v="323"/>
    <x v="6"/>
    <n v="0"/>
    <x v="1"/>
  </r>
  <r>
    <x v="4"/>
    <x v="323"/>
    <x v="7"/>
    <n v="0"/>
    <x v="1"/>
  </r>
  <r>
    <x v="4"/>
    <x v="323"/>
    <x v="8"/>
    <n v="3312"/>
    <x v="1"/>
  </r>
  <r>
    <x v="4"/>
    <x v="323"/>
    <x v="9"/>
    <n v="0"/>
    <x v="1"/>
  </r>
  <r>
    <x v="4"/>
    <x v="323"/>
    <x v="10"/>
    <n v="0"/>
    <x v="1"/>
  </r>
  <r>
    <x v="4"/>
    <x v="323"/>
    <x v="11"/>
    <n v="0"/>
    <x v="1"/>
  </r>
  <r>
    <x v="4"/>
    <x v="324"/>
    <x v="0"/>
    <n v="0"/>
    <x v="1"/>
  </r>
  <r>
    <x v="4"/>
    <x v="324"/>
    <x v="1"/>
    <n v="0"/>
    <x v="1"/>
  </r>
  <r>
    <x v="4"/>
    <x v="324"/>
    <x v="2"/>
    <n v="0"/>
    <x v="1"/>
  </r>
  <r>
    <x v="4"/>
    <x v="324"/>
    <x v="3"/>
    <n v="0"/>
    <x v="1"/>
  </r>
  <r>
    <x v="4"/>
    <x v="324"/>
    <x v="4"/>
    <n v="0"/>
    <x v="1"/>
  </r>
  <r>
    <x v="4"/>
    <x v="324"/>
    <x v="5"/>
    <n v="0"/>
    <x v="1"/>
  </r>
  <r>
    <x v="4"/>
    <x v="324"/>
    <x v="6"/>
    <n v="0"/>
    <x v="1"/>
  </r>
  <r>
    <x v="4"/>
    <x v="324"/>
    <x v="7"/>
    <n v="0"/>
    <x v="1"/>
  </r>
  <r>
    <x v="4"/>
    <x v="324"/>
    <x v="8"/>
    <n v="0"/>
    <x v="1"/>
  </r>
  <r>
    <x v="4"/>
    <x v="324"/>
    <x v="9"/>
    <n v="125"/>
    <x v="1"/>
  </r>
  <r>
    <x v="4"/>
    <x v="324"/>
    <x v="10"/>
    <n v="0"/>
    <x v="1"/>
  </r>
  <r>
    <x v="4"/>
    <x v="324"/>
    <x v="11"/>
    <n v="0"/>
    <x v="1"/>
  </r>
  <r>
    <x v="4"/>
    <x v="325"/>
    <x v="0"/>
    <n v="0"/>
    <x v="1"/>
  </r>
  <r>
    <x v="4"/>
    <x v="325"/>
    <x v="1"/>
    <n v="0"/>
    <x v="1"/>
  </r>
  <r>
    <x v="4"/>
    <x v="325"/>
    <x v="2"/>
    <n v="0"/>
    <x v="1"/>
  </r>
  <r>
    <x v="4"/>
    <x v="325"/>
    <x v="3"/>
    <n v="0"/>
    <x v="1"/>
  </r>
  <r>
    <x v="4"/>
    <x v="325"/>
    <x v="4"/>
    <n v="0"/>
    <x v="1"/>
  </r>
  <r>
    <x v="4"/>
    <x v="325"/>
    <x v="5"/>
    <n v="0"/>
    <x v="1"/>
  </r>
  <r>
    <x v="4"/>
    <x v="325"/>
    <x v="6"/>
    <n v="0"/>
    <x v="1"/>
  </r>
  <r>
    <x v="4"/>
    <x v="325"/>
    <x v="7"/>
    <n v="0"/>
    <x v="1"/>
  </r>
  <r>
    <x v="4"/>
    <x v="325"/>
    <x v="8"/>
    <n v="0"/>
    <x v="1"/>
  </r>
  <r>
    <x v="4"/>
    <x v="325"/>
    <x v="9"/>
    <n v="601"/>
    <x v="1"/>
  </r>
  <r>
    <x v="4"/>
    <x v="325"/>
    <x v="10"/>
    <n v="0"/>
    <x v="1"/>
  </r>
  <r>
    <x v="4"/>
    <x v="325"/>
    <x v="11"/>
    <n v="0"/>
    <x v="1"/>
  </r>
  <r>
    <x v="4"/>
    <x v="326"/>
    <x v="0"/>
    <n v="0"/>
    <x v="1"/>
  </r>
  <r>
    <x v="4"/>
    <x v="326"/>
    <x v="1"/>
    <n v="0"/>
    <x v="1"/>
  </r>
  <r>
    <x v="4"/>
    <x v="326"/>
    <x v="2"/>
    <n v="0"/>
    <x v="1"/>
  </r>
  <r>
    <x v="4"/>
    <x v="326"/>
    <x v="3"/>
    <n v="0"/>
    <x v="1"/>
  </r>
  <r>
    <x v="4"/>
    <x v="326"/>
    <x v="4"/>
    <n v="0"/>
    <x v="1"/>
  </r>
  <r>
    <x v="4"/>
    <x v="326"/>
    <x v="5"/>
    <n v="0"/>
    <x v="1"/>
  </r>
  <r>
    <x v="4"/>
    <x v="326"/>
    <x v="6"/>
    <n v="0"/>
    <x v="1"/>
  </r>
  <r>
    <x v="4"/>
    <x v="326"/>
    <x v="7"/>
    <n v="0"/>
    <x v="1"/>
  </r>
  <r>
    <x v="4"/>
    <x v="326"/>
    <x v="8"/>
    <n v="0"/>
    <x v="1"/>
  </r>
  <r>
    <x v="4"/>
    <x v="326"/>
    <x v="9"/>
    <n v="230"/>
    <x v="1"/>
  </r>
  <r>
    <x v="4"/>
    <x v="326"/>
    <x v="10"/>
    <n v="0"/>
    <x v="1"/>
  </r>
  <r>
    <x v="4"/>
    <x v="326"/>
    <x v="11"/>
    <n v="0"/>
    <x v="1"/>
  </r>
  <r>
    <x v="4"/>
    <x v="327"/>
    <x v="0"/>
    <n v="0"/>
    <x v="1"/>
  </r>
  <r>
    <x v="4"/>
    <x v="327"/>
    <x v="1"/>
    <n v="0"/>
    <x v="1"/>
  </r>
  <r>
    <x v="4"/>
    <x v="327"/>
    <x v="2"/>
    <n v="0"/>
    <x v="1"/>
  </r>
  <r>
    <x v="4"/>
    <x v="327"/>
    <x v="3"/>
    <n v="0"/>
    <x v="1"/>
  </r>
  <r>
    <x v="4"/>
    <x v="327"/>
    <x v="4"/>
    <n v="0"/>
    <x v="1"/>
  </r>
  <r>
    <x v="4"/>
    <x v="327"/>
    <x v="5"/>
    <n v="0"/>
    <x v="1"/>
  </r>
  <r>
    <x v="4"/>
    <x v="327"/>
    <x v="6"/>
    <n v="0"/>
    <x v="1"/>
  </r>
  <r>
    <x v="4"/>
    <x v="327"/>
    <x v="7"/>
    <n v="0"/>
    <x v="1"/>
  </r>
  <r>
    <x v="4"/>
    <x v="327"/>
    <x v="8"/>
    <n v="0"/>
    <x v="1"/>
  </r>
  <r>
    <x v="4"/>
    <x v="327"/>
    <x v="9"/>
    <n v="0"/>
    <x v="1"/>
  </r>
  <r>
    <x v="4"/>
    <x v="327"/>
    <x v="10"/>
    <n v="288"/>
    <x v="1"/>
  </r>
  <r>
    <x v="4"/>
    <x v="327"/>
    <x v="11"/>
    <n v="0"/>
    <x v="1"/>
  </r>
  <r>
    <x v="4"/>
    <x v="328"/>
    <x v="0"/>
    <n v="0"/>
    <x v="1"/>
  </r>
  <r>
    <x v="4"/>
    <x v="328"/>
    <x v="1"/>
    <n v="0"/>
    <x v="1"/>
  </r>
  <r>
    <x v="4"/>
    <x v="328"/>
    <x v="2"/>
    <n v="0"/>
    <x v="1"/>
  </r>
  <r>
    <x v="4"/>
    <x v="328"/>
    <x v="3"/>
    <n v="0"/>
    <x v="1"/>
  </r>
  <r>
    <x v="4"/>
    <x v="328"/>
    <x v="4"/>
    <n v="0"/>
    <x v="1"/>
  </r>
  <r>
    <x v="4"/>
    <x v="328"/>
    <x v="5"/>
    <n v="0"/>
    <x v="1"/>
  </r>
  <r>
    <x v="4"/>
    <x v="328"/>
    <x v="6"/>
    <n v="0"/>
    <x v="1"/>
  </r>
  <r>
    <x v="4"/>
    <x v="328"/>
    <x v="7"/>
    <n v="0"/>
    <x v="1"/>
  </r>
  <r>
    <x v="4"/>
    <x v="328"/>
    <x v="8"/>
    <n v="0"/>
    <x v="1"/>
  </r>
  <r>
    <x v="4"/>
    <x v="328"/>
    <x v="9"/>
    <n v="0"/>
    <x v="1"/>
  </r>
  <r>
    <x v="4"/>
    <x v="328"/>
    <x v="10"/>
    <n v="0"/>
    <x v="1"/>
  </r>
  <r>
    <x v="4"/>
    <x v="328"/>
    <x v="11"/>
    <n v="0"/>
    <x v="1"/>
  </r>
  <r>
    <x v="4"/>
    <x v="329"/>
    <x v="0"/>
    <n v="0"/>
    <x v="1"/>
  </r>
  <r>
    <x v="4"/>
    <x v="329"/>
    <x v="1"/>
    <n v="0"/>
    <x v="1"/>
  </r>
  <r>
    <x v="4"/>
    <x v="329"/>
    <x v="2"/>
    <n v="0"/>
    <x v="1"/>
  </r>
  <r>
    <x v="4"/>
    <x v="329"/>
    <x v="3"/>
    <n v="0"/>
    <x v="1"/>
  </r>
  <r>
    <x v="4"/>
    <x v="329"/>
    <x v="4"/>
    <n v="0"/>
    <x v="1"/>
  </r>
  <r>
    <x v="4"/>
    <x v="329"/>
    <x v="5"/>
    <n v="0"/>
    <x v="1"/>
  </r>
  <r>
    <x v="4"/>
    <x v="329"/>
    <x v="6"/>
    <n v="0"/>
    <x v="1"/>
  </r>
  <r>
    <x v="4"/>
    <x v="329"/>
    <x v="7"/>
    <n v="0"/>
    <x v="1"/>
  </r>
  <r>
    <x v="4"/>
    <x v="329"/>
    <x v="8"/>
    <n v="0"/>
    <x v="1"/>
  </r>
  <r>
    <x v="4"/>
    <x v="329"/>
    <x v="9"/>
    <n v="0"/>
    <x v="1"/>
  </r>
  <r>
    <x v="4"/>
    <x v="329"/>
    <x v="10"/>
    <n v="0"/>
    <x v="1"/>
  </r>
  <r>
    <x v="4"/>
    <x v="329"/>
    <x v="11"/>
    <n v="0"/>
    <x v="1"/>
  </r>
  <r>
    <x v="4"/>
    <x v="330"/>
    <x v="0"/>
    <n v="0"/>
    <x v="1"/>
  </r>
  <r>
    <x v="4"/>
    <x v="330"/>
    <x v="1"/>
    <n v="0"/>
    <x v="1"/>
  </r>
  <r>
    <x v="4"/>
    <x v="330"/>
    <x v="2"/>
    <n v="0"/>
    <x v="1"/>
  </r>
  <r>
    <x v="4"/>
    <x v="330"/>
    <x v="3"/>
    <n v="0"/>
    <x v="1"/>
  </r>
  <r>
    <x v="4"/>
    <x v="330"/>
    <x v="4"/>
    <n v="0"/>
    <x v="1"/>
  </r>
  <r>
    <x v="4"/>
    <x v="330"/>
    <x v="5"/>
    <n v="0"/>
    <x v="1"/>
  </r>
  <r>
    <x v="4"/>
    <x v="330"/>
    <x v="6"/>
    <n v="0"/>
    <x v="1"/>
  </r>
  <r>
    <x v="4"/>
    <x v="330"/>
    <x v="7"/>
    <n v="0"/>
    <x v="1"/>
  </r>
  <r>
    <x v="4"/>
    <x v="330"/>
    <x v="8"/>
    <n v="0"/>
    <x v="1"/>
  </r>
  <r>
    <x v="4"/>
    <x v="330"/>
    <x v="9"/>
    <n v="0"/>
    <x v="1"/>
  </r>
  <r>
    <x v="4"/>
    <x v="330"/>
    <x v="10"/>
    <n v="0"/>
    <x v="1"/>
  </r>
  <r>
    <x v="4"/>
    <x v="330"/>
    <x v="11"/>
    <n v="0"/>
    <x v="1"/>
  </r>
  <r>
    <x v="4"/>
    <x v="331"/>
    <x v="0"/>
    <n v="1371"/>
    <x v="1"/>
  </r>
  <r>
    <x v="4"/>
    <x v="331"/>
    <x v="1"/>
    <n v="461"/>
    <x v="1"/>
  </r>
  <r>
    <x v="4"/>
    <x v="331"/>
    <x v="2"/>
    <n v="457"/>
    <x v="1"/>
  </r>
  <r>
    <x v="4"/>
    <x v="331"/>
    <x v="3"/>
    <n v="0"/>
    <x v="1"/>
  </r>
  <r>
    <x v="4"/>
    <x v="331"/>
    <x v="4"/>
    <n v="444"/>
    <x v="1"/>
  </r>
  <r>
    <x v="4"/>
    <x v="331"/>
    <x v="5"/>
    <n v="0"/>
    <x v="1"/>
  </r>
  <r>
    <x v="4"/>
    <x v="331"/>
    <x v="6"/>
    <n v="0"/>
    <x v="1"/>
  </r>
  <r>
    <x v="4"/>
    <x v="331"/>
    <x v="7"/>
    <n v="0"/>
    <x v="1"/>
  </r>
  <r>
    <x v="4"/>
    <x v="331"/>
    <x v="8"/>
    <n v="0"/>
    <x v="1"/>
  </r>
  <r>
    <x v="4"/>
    <x v="331"/>
    <x v="9"/>
    <n v="0"/>
    <x v="1"/>
  </r>
  <r>
    <x v="4"/>
    <x v="331"/>
    <x v="10"/>
    <n v="0"/>
    <x v="1"/>
  </r>
  <r>
    <x v="4"/>
    <x v="331"/>
    <x v="11"/>
    <n v="0"/>
    <x v="1"/>
  </r>
  <r>
    <x v="4"/>
    <x v="332"/>
    <x v="0"/>
    <n v="0"/>
    <x v="1"/>
  </r>
  <r>
    <x v="4"/>
    <x v="332"/>
    <x v="1"/>
    <n v="0"/>
    <x v="1"/>
  </r>
  <r>
    <x v="4"/>
    <x v="332"/>
    <x v="2"/>
    <n v="0"/>
    <x v="1"/>
  </r>
  <r>
    <x v="4"/>
    <x v="332"/>
    <x v="3"/>
    <n v="0"/>
    <x v="1"/>
  </r>
  <r>
    <x v="4"/>
    <x v="332"/>
    <x v="4"/>
    <n v="0"/>
    <x v="1"/>
  </r>
  <r>
    <x v="4"/>
    <x v="332"/>
    <x v="5"/>
    <n v="0"/>
    <x v="1"/>
  </r>
  <r>
    <x v="4"/>
    <x v="332"/>
    <x v="6"/>
    <n v="0"/>
    <x v="1"/>
  </r>
  <r>
    <x v="4"/>
    <x v="332"/>
    <x v="7"/>
    <n v="0"/>
    <x v="1"/>
  </r>
  <r>
    <x v="4"/>
    <x v="332"/>
    <x v="8"/>
    <n v="0"/>
    <x v="1"/>
  </r>
  <r>
    <x v="4"/>
    <x v="332"/>
    <x v="9"/>
    <n v="0"/>
    <x v="1"/>
  </r>
  <r>
    <x v="4"/>
    <x v="332"/>
    <x v="10"/>
    <n v="0"/>
    <x v="1"/>
  </r>
  <r>
    <x v="4"/>
    <x v="332"/>
    <x v="11"/>
    <n v="0"/>
    <x v="1"/>
  </r>
  <r>
    <x v="5"/>
    <x v="333"/>
    <x v="0"/>
    <n v="1351"/>
    <x v="1"/>
  </r>
  <r>
    <x v="5"/>
    <x v="333"/>
    <x v="1"/>
    <n v="831"/>
    <x v="1"/>
  </r>
  <r>
    <x v="5"/>
    <x v="333"/>
    <x v="2"/>
    <n v="1574"/>
    <x v="1"/>
  </r>
  <r>
    <x v="5"/>
    <x v="333"/>
    <x v="3"/>
    <n v="2356"/>
    <x v="1"/>
  </r>
  <r>
    <x v="5"/>
    <x v="333"/>
    <x v="4"/>
    <n v="2367"/>
    <x v="1"/>
  </r>
  <r>
    <x v="5"/>
    <x v="333"/>
    <x v="5"/>
    <n v="1684"/>
    <x v="1"/>
  </r>
  <r>
    <x v="5"/>
    <x v="333"/>
    <x v="6"/>
    <n v="3053"/>
    <x v="1"/>
  </r>
  <r>
    <x v="5"/>
    <x v="333"/>
    <x v="7"/>
    <n v="2462"/>
    <x v="1"/>
  </r>
  <r>
    <x v="5"/>
    <x v="333"/>
    <x v="8"/>
    <n v="1609"/>
    <x v="1"/>
  </r>
  <r>
    <x v="5"/>
    <x v="333"/>
    <x v="9"/>
    <n v="1630"/>
    <x v="1"/>
  </r>
  <r>
    <x v="5"/>
    <x v="333"/>
    <x v="10"/>
    <n v="3694"/>
    <x v="1"/>
  </r>
  <r>
    <x v="5"/>
    <x v="333"/>
    <x v="11"/>
    <n v="2812"/>
    <x v="1"/>
  </r>
  <r>
    <x v="5"/>
    <x v="179"/>
    <x v="0"/>
    <n v="111"/>
    <x v="1"/>
  </r>
  <r>
    <x v="5"/>
    <x v="179"/>
    <x v="1"/>
    <n v="113"/>
    <x v="1"/>
  </r>
  <r>
    <x v="5"/>
    <x v="179"/>
    <x v="2"/>
    <n v="365"/>
    <x v="1"/>
  </r>
  <r>
    <x v="5"/>
    <x v="179"/>
    <x v="3"/>
    <n v="241"/>
    <x v="1"/>
  </r>
  <r>
    <x v="5"/>
    <x v="179"/>
    <x v="4"/>
    <n v="295"/>
    <x v="1"/>
  </r>
  <r>
    <x v="5"/>
    <x v="179"/>
    <x v="5"/>
    <n v="362"/>
    <x v="1"/>
  </r>
  <r>
    <x v="5"/>
    <x v="179"/>
    <x v="6"/>
    <n v="603"/>
    <x v="1"/>
  </r>
  <r>
    <x v="5"/>
    <x v="179"/>
    <x v="7"/>
    <n v="5611"/>
    <x v="1"/>
  </r>
  <r>
    <x v="5"/>
    <x v="179"/>
    <x v="8"/>
    <n v="848"/>
    <x v="1"/>
  </r>
  <r>
    <x v="5"/>
    <x v="179"/>
    <x v="9"/>
    <n v="1511"/>
    <x v="1"/>
  </r>
  <r>
    <x v="5"/>
    <x v="179"/>
    <x v="10"/>
    <n v="516"/>
    <x v="1"/>
  </r>
  <r>
    <x v="5"/>
    <x v="179"/>
    <x v="11"/>
    <n v="1739"/>
    <x v="1"/>
  </r>
  <r>
    <x v="4"/>
    <x v="334"/>
    <x v="0"/>
    <n v="4771"/>
    <x v="1"/>
  </r>
  <r>
    <x v="4"/>
    <x v="334"/>
    <x v="1"/>
    <n v="4677"/>
    <x v="1"/>
  </r>
  <r>
    <x v="4"/>
    <x v="334"/>
    <x v="2"/>
    <n v="4070"/>
    <x v="1"/>
  </r>
  <r>
    <x v="4"/>
    <x v="334"/>
    <x v="3"/>
    <n v="4544"/>
    <x v="1"/>
  </r>
  <r>
    <x v="4"/>
    <x v="334"/>
    <x v="4"/>
    <n v="4981"/>
    <x v="1"/>
  </r>
  <r>
    <x v="4"/>
    <x v="334"/>
    <x v="5"/>
    <n v="4950"/>
    <x v="1"/>
  </r>
  <r>
    <x v="4"/>
    <x v="334"/>
    <x v="6"/>
    <n v="4556"/>
    <x v="1"/>
  </r>
  <r>
    <x v="4"/>
    <x v="334"/>
    <x v="7"/>
    <n v="4562"/>
    <x v="1"/>
  </r>
  <r>
    <x v="4"/>
    <x v="334"/>
    <x v="8"/>
    <n v="4601"/>
    <x v="1"/>
  </r>
  <r>
    <x v="4"/>
    <x v="334"/>
    <x v="9"/>
    <n v="4817"/>
    <x v="1"/>
  </r>
  <r>
    <x v="4"/>
    <x v="334"/>
    <x v="10"/>
    <n v="775"/>
    <x v="1"/>
  </r>
  <r>
    <x v="4"/>
    <x v="334"/>
    <x v="11"/>
    <n v="9612"/>
    <x v="1"/>
  </r>
  <r>
    <x v="5"/>
    <x v="335"/>
    <x v="0"/>
    <n v="1803"/>
    <x v="1"/>
  </r>
  <r>
    <x v="5"/>
    <x v="335"/>
    <x v="1"/>
    <n v="1432"/>
    <x v="1"/>
  </r>
  <r>
    <x v="5"/>
    <x v="335"/>
    <x v="2"/>
    <n v="1356"/>
    <x v="1"/>
  </r>
  <r>
    <x v="5"/>
    <x v="335"/>
    <x v="3"/>
    <n v="410"/>
    <x v="1"/>
  </r>
  <r>
    <x v="5"/>
    <x v="335"/>
    <x v="4"/>
    <n v="1349"/>
    <x v="1"/>
  </r>
  <r>
    <x v="5"/>
    <x v="335"/>
    <x v="5"/>
    <n v="4349"/>
    <x v="1"/>
  </r>
  <r>
    <x v="5"/>
    <x v="335"/>
    <x v="6"/>
    <n v="1516"/>
    <x v="1"/>
  </r>
  <r>
    <x v="5"/>
    <x v="335"/>
    <x v="7"/>
    <n v="3072"/>
    <x v="1"/>
  </r>
  <r>
    <x v="5"/>
    <x v="335"/>
    <x v="8"/>
    <n v="2758"/>
    <x v="1"/>
  </r>
  <r>
    <x v="5"/>
    <x v="335"/>
    <x v="9"/>
    <n v="3583"/>
    <x v="1"/>
  </r>
  <r>
    <x v="5"/>
    <x v="335"/>
    <x v="10"/>
    <n v="2580"/>
    <x v="1"/>
  </r>
  <r>
    <x v="5"/>
    <x v="335"/>
    <x v="11"/>
    <n v="2292"/>
    <x v="1"/>
  </r>
  <r>
    <x v="4"/>
    <x v="336"/>
    <x v="0"/>
    <n v="1161"/>
    <x v="1"/>
  </r>
  <r>
    <x v="4"/>
    <x v="336"/>
    <x v="1"/>
    <n v="564"/>
    <x v="1"/>
  </r>
  <r>
    <x v="4"/>
    <x v="336"/>
    <x v="2"/>
    <n v="3471"/>
    <x v="1"/>
  </r>
  <r>
    <x v="4"/>
    <x v="336"/>
    <x v="3"/>
    <n v="3776"/>
    <x v="1"/>
  </r>
  <r>
    <x v="4"/>
    <x v="336"/>
    <x v="4"/>
    <n v="3471"/>
    <x v="1"/>
  </r>
  <r>
    <x v="4"/>
    <x v="336"/>
    <x v="5"/>
    <n v="7938"/>
    <x v="1"/>
  </r>
  <r>
    <x v="4"/>
    <x v="336"/>
    <x v="6"/>
    <n v="1796"/>
    <x v="1"/>
  </r>
  <r>
    <x v="4"/>
    <x v="336"/>
    <x v="7"/>
    <n v="3404"/>
    <x v="1"/>
  </r>
  <r>
    <x v="4"/>
    <x v="336"/>
    <x v="8"/>
    <n v="3457"/>
    <x v="1"/>
  </r>
  <r>
    <x v="4"/>
    <x v="336"/>
    <x v="9"/>
    <n v="3037"/>
    <x v="1"/>
  </r>
  <r>
    <x v="4"/>
    <x v="336"/>
    <x v="10"/>
    <n v="3903"/>
    <x v="1"/>
  </r>
  <r>
    <x v="4"/>
    <x v="336"/>
    <x v="11"/>
    <n v="3005"/>
    <x v="1"/>
  </r>
  <r>
    <x v="4"/>
    <x v="337"/>
    <x v="0"/>
    <n v="986"/>
    <x v="1"/>
  </r>
  <r>
    <x v="4"/>
    <x v="337"/>
    <x v="1"/>
    <n v="1121"/>
    <x v="1"/>
  </r>
  <r>
    <x v="4"/>
    <x v="337"/>
    <x v="2"/>
    <n v="986"/>
    <x v="1"/>
  </r>
  <r>
    <x v="4"/>
    <x v="337"/>
    <x v="3"/>
    <n v="1118"/>
    <x v="1"/>
  </r>
  <r>
    <x v="4"/>
    <x v="337"/>
    <x v="4"/>
    <n v="1125"/>
    <x v="1"/>
  </r>
  <r>
    <x v="4"/>
    <x v="337"/>
    <x v="5"/>
    <n v="1125"/>
    <x v="1"/>
  </r>
  <r>
    <x v="4"/>
    <x v="337"/>
    <x v="6"/>
    <n v="1123"/>
    <x v="1"/>
  </r>
  <r>
    <x v="4"/>
    <x v="337"/>
    <x v="7"/>
    <n v="1121"/>
    <x v="1"/>
  </r>
  <r>
    <x v="4"/>
    <x v="337"/>
    <x v="8"/>
    <n v="1122"/>
    <x v="1"/>
  </r>
  <r>
    <x v="4"/>
    <x v="337"/>
    <x v="9"/>
    <n v="1124"/>
    <x v="1"/>
  </r>
  <r>
    <x v="4"/>
    <x v="337"/>
    <x v="10"/>
    <n v="1122"/>
    <x v="1"/>
  </r>
  <r>
    <x v="4"/>
    <x v="337"/>
    <x v="11"/>
    <n v="1122"/>
    <x v="1"/>
  </r>
  <r>
    <x v="4"/>
    <x v="338"/>
    <x v="0"/>
    <n v="650"/>
    <x v="1"/>
  </r>
  <r>
    <x v="4"/>
    <x v="338"/>
    <x v="1"/>
    <n v="650"/>
    <x v="1"/>
  </r>
  <r>
    <x v="4"/>
    <x v="338"/>
    <x v="2"/>
    <n v="1300"/>
    <x v="1"/>
  </r>
  <r>
    <x v="4"/>
    <x v="338"/>
    <x v="3"/>
    <n v="650"/>
    <x v="1"/>
  </r>
  <r>
    <x v="4"/>
    <x v="338"/>
    <x v="4"/>
    <n v="650"/>
    <x v="1"/>
  </r>
  <r>
    <x v="4"/>
    <x v="338"/>
    <x v="5"/>
    <n v="650"/>
    <x v="1"/>
  </r>
  <r>
    <x v="4"/>
    <x v="338"/>
    <x v="6"/>
    <n v="650"/>
    <x v="1"/>
  </r>
  <r>
    <x v="4"/>
    <x v="338"/>
    <x v="7"/>
    <n v="650"/>
    <x v="1"/>
  </r>
  <r>
    <x v="4"/>
    <x v="338"/>
    <x v="8"/>
    <n v="650"/>
    <x v="1"/>
  </r>
  <r>
    <x v="4"/>
    <x v="338"/>
    <x v="9"/>
    <n v="650"/>
    <x v="1"/>
  </r>
  <r>
    <x v="4"/>
    <x v="338"/>
    <x v="10"/>
    <n v="650"/>
    <x v="1"/>
  </r>
  <r>
    <x v="4"/>
    <x v="338"/>
    <x v="11"/>
    <n v="650"/>
    <x v="1"/>
  </r>
  <r>
    <x v="4"/>
    <x v="339"/>
    <x v="0"/>
    <n v="5234"/>
    <x v="1"/>
  </r>
  <r>
    <x v="4"/>
    <x v="339"/>
    <x v="1"/>
    <n v="0"/>
    <x v="1"/>
  </r>
  <r>
    <x v="4"/>
    <x v="339"/>
    <x v="2"/>
    <n v="0"/>
    <x v="1"/>
  </r>
  <r>
    <x v="4"/>
    <x v="339"/>
    <x v="3"/>
    <n v="0"/>
    <x v="1"/>
  </r>
  <r>
    <x v="4"/>
    <x v="339"/>
    <x v="4"/>
    <n v="0"/>
    <x v="1"/>
  </r>
  <r>
    <x v="4"/>
    <x v="339"/>
    <x v="5"/>
    <n v="0"/>
    <x v="1"/>
  </r>
  <r>
    <x v="4"/>
    <x v="339"/>
    <x v="6"/>
    <n v="0"/>
    <x v="1"/>
  </r>
  <r>
    <x v="4"/>
    <x v="339"/>
    <x v="7"/>
    <n v="0"/>
    <x v="1"/>
  </r>
  <r>
    <x v="4"/>
    <x v="339"/>
    <x v="8"/>
    <n v="4168"/>
    <x v="1"/>
  </r>
  <r>
    <x v="4"/>
    <x v="339"/>
    <x v="9"/>
    <n v="8139"/>
    <x v="1"/>
  </r>
  <r>
    <x v="4"/>
    <x v="339"/>
    <x v="10"/>
    <n v="0"/>
    <x v="1"/>
  </r>
  <r>
    <x v="4"/>
    <x v="339"/>
    <x v="11"/>
    <n v="0"/>
    <x v="1"/>
  </r>
  <r>
    <x v="10"/>
    <x v="340"/>
    <x v="0"/>
    <n v="9720"/>
    <x v="1"/>
  </r>
  <r>
    <x v="10"/>
    <x v="340"/>
    <x v="1"/>
    <n v="2711"/>
    <x v="1"/>
  </r>
  <r>
    <x v="10"/>
    <x v="340"/>
    <x v="2"/>
    <n v="9675"/>
    <x v="1"/>
  </r>
  <r>
    <x v="10"/>
    <x v="340"/>
    <x v="3"/>
    <n v="17383"/>
    <x v="1"/>
  </r>
  <r>
    <x v="10"/>
    <x v="340"/>
    <x v="4"/>
    <n v="11056"/>
    <x v="1"/>
  </r>
  <r>
    <x v="10"/>
    <x v="340"/>
    <x v="5"/>
    <n v="8453"/>
    <x v="1"/>
  </r>
  <r>
    <x v="10"/>
    <x v="340"/>
    <x v="6"/>
    <n v="7808"/>
    <x v="1"/>
  </r>
  <r>
    <x v="10"/>
    <x v="340"/>
    <x v="7"/>
    <n v="6464"/>
    <x v="1"/>
  </r>
  <r>
    <x v="10"/>
    <x v="340"/>
    <x v="8"/>
    <n v="9114"/>
    <x v="1"/>
  </r>
  <r>
    <x v="10"/>
    <x v="340"/>
    <x v="9"/>
    <n v="13294"/>
    <x v="1"/>
  </r>
  <r>
    <x v="10"/>
    <x v="340"/>
    <x v="10"/>
    <n v="13325"/>
    <x v="1"/>
  </r>
  <r>
    <x v="10"/>
    <x v="340"/>
    <x v="11"/>
    <n v="21627"/>
    <x v="1"/>
  </r>
  <r>
    <x v="4"/>
    <x v="341"/>
    <x v="0"/>
    <n v="0"/>
    <x v="1"/>
  </r>
  <r>
    <x v="4"/>
    <x v="341"/>
    <x v="1"/>
    <n v="0"/>
    <x v="1"/>
  </r>
  <r>
    <x v="4"/>
    <x v="341"/>
    <x v="2"/>
    <n v="0"/>
    <x v="1"/>
  </r>
  <r>
    <x v="4"/>
    <x v="341"/>
    <x v="3"/>
    <n v="0"/>
    <x v="1"/>
  </r>
  <r>
    <x v="4"/>
    <x v="341"/>
    <x v="4"/>
    <n v="0"/>
    <x v="1"/>
  </r>
  <r>
    <x v="4"/>
    <x v="341"/>
    <x v="5"/>
    <n v="0"/>
    <x v="1"/>
  </r>
  <r>
    <x v="4"/>
    <x v="341"/>
    <x v="6"/>
    <n v="0"/>
    <x v="1"/>
  </r>
  <r>
    <x v="4"/>
    <x v="341"/>
    <x v="7"/>
    <n v="0"/>
    <x v="1"/>
  </r>
  <r>
    <x v="4"/>
    <x v="341"/>
    <x v="8"/>
    <n v="2054"/>
    <x v="1"/>
  </r>
  <r>
    <x v="4"/>
    <x v="341"/>
    <x v="9"/>
    <n v="1884"/>
    <x v="1"/>
  </r>
  <r>
    <x v="4"/>
    <x v="341"/>
    <x v="10"/>
    <n v="0"/>
    <x v="1"/>
  </r>
  <r>
    <x v="4"/>
    <x v="341"/>
    <x v="11"/>
    <n v="0"/>
    <x v="1"/>
  </r>
  <r>
    <x v="8"/>
    <x v="342"/>
    <x v="0"/>
    <n v="22825"/>
    <x v="1"/>
  </r>
  <r>
    <x v="8"/>
    <x v="342"/>
    <x v="1"/>
    <n v="0"/>
    <x v="1"/>
  </r>
  <r>
    <x v="8"/>
    <x v="342"/>
    <x v="2"/>
    <n v="5448"/>
    <x v="1"/>
  </r>
  <r>
    <x v="8"/>
    <x v="342"/>
    <x v="3"/>
    <n v="2648"/>
    <x v="1"/>
  </r>
  <r>
    <x v="8"/>
    <x v="342"/>
    <x v="4"/>
    <n v="41043"/>
    <x v="1"/>
  </r>
  <r>
    <x v="8"/>
    <x v="342"/>
    <x v="5"/>
    <n v="41625"/>
    <x v="1"/>
  </r>
  <r>
    <x v="8"/>
    <x v="342"/>
    <x v="6"/>
    <n v="31219"/>
    <x v="1"/>
  </r>
  <r>
    <x v="8"/>
    <x v="342"/>
    <x v="7"/>
    <n v="654"/>
    <x v="1"/>
  </r>
  <r>
    <x v="8"/>
    <x v="342"/>
    <x v="8"/>
    <n v="12426"/>
    <x v="1"/>
  </r>
  <r>
    <x v="8"/>
    <x v="342"/>
    <x v="9"/>
    <n v="25321"/>
    <x v="1"/>
  </r>
  <r>
    <x v="8"/>
    <x v="342"/>
    <x v="10"/>
    <n v="38341"/>
    <x v="1"/>
  </r>
  <r>
    <x v="8"/>
    <x v="342"/>
    <x v="11"/>
    <n v="30256"/>
    <x v="1"/>
  </r>
  <r>
    <x v="8"/>
    <x v="343"/>
    <x v="0"/>
    <n v="19669"/>
    <x v="1"/>
  </r>
  <r>
    <x v="8"/>
    <x v="343"/>
    <x v="1"/>
    <n v="0"/>
    <x v="1"/>
  </r>
  <r>
    <x v="8"/>
    <x v="343"/>
    <x v="2"/>
    <n v="0"/>
    <x v="1"/>
  </r>
  <r>
    <x v="8"/>
    <x v="343"/>
    <x v="3"/>
    <n v="0"/>
    <x v="1"/>
  </r>
  <r>
    <x v="8"/>
    <x v="343"/>
    <x v="4"/>
    <n v="6481"/>
    <x v="1"/>
  </r>
  <r>
    <x v="8"/>
    <x v="343"/>
    <x v="5"/>
    <n v="0"/>
    <x v="1"/>
  </r>
  <r>
    <x v="8"/>
    <x v="343"/>
    <x v="6"/>
    <n v="6432"/>
    <x v="1"/>
  </r>
  <r>
    <x v="8"/>
    <x v="343"/>
    <x v="7"/>
    <n v="102136"/>
    <x v="1"/>
  </r>
  <r>
    <x v="8"/>
    <x v="343"/>
    <x v="8"/>
    <n v="6350"/>
    <x v="1"/>
  </r>
  <r>
    <x v="8"/>
    <x v="343"/>
    <x v="9"/>
    <n v="8383"/>
    <x v="1"/>
  </r>
  <r>
    <x v="8"/>
    <x v="343"/>
    <x v="10"/>
    <n v="0"/>
    <x v="1"/>
  </r>
  <r>
    <x v="8"/>
    <x v="343"/>
    <x v="11"/>
    <n v="5046"/>
    <x v="1"/>
  </r>
  <r>
    <x v="8"/>
    <x v="344"/>
    <x v="0"/>
    <m/>
    <x v="1"/>
  </r>
  <r>
    <x v="8"/>
    <x v="344"/>
    <x v="1"/>
    <n v="0"/>
    <x v="1"/>
  </r>
  <r>
    <x v="8"/>
    <x v="344"/>
    <x v="2"/>
    <n v="0"/>
    <x v="1"/>
  </r>
  <r>
    <x v="8"/>
    <x v="344"/>
    <x v="3"/>
    <n v="-650"/>
    <x v="1"/>
  </r>
  <r>
    <x v="8"/>
    <x v="344"/>
    <x v="4"/>
    <n v="2465"/>
    <x v="1"/>
  </r>
  <r>
    <x v="8"/>
    <x v="344"/>
    <x v="5"/>
    <n v="0"/>
    <x v="1"/>
  </r>
  <r>
    <x v="8"/>
    <x v="344"/>
    <x v="6"/>
    <n v="0"/>
    <x v="1"/>
  </r>
  <r>
    <x v="8"/>
    <x v="344"/>
    <x v="7"/>
    <n v="0"/>
    <x v="1"/>
  </r>
  <r>
    <x v="8"/>
    <x v="344"/>
    <x v="8"/>
    <n v="0"/>
    <x v="1"/>
  </r>
  <r>
    <x v="8"/>
    <x v="344"/>
    <x v="9"/>
    <n v="0"/>
    <x v="1"/>
  </r>
  <r>
    <x v="8"/>
    <x v="344"/>
    <x v="10"/>
    <n v="0"/>
    <x v="1"/>
  </r>
  <r>
    <x v="8"/>
    <x v="344"/>
    <x v="11"/>
    <n v="1191"/>
    <x v="1"/>
  </r>
  <r>
    <x v="0"/>
    <x v="345"/>
    <x v="0"/>
    <n v="9871"/>
    <x v="1"/>
  </r>
  <r>
    <x v="0"/>
    <x v="345"/>
    <x v="1"/>
    <n v="12450"/>
    <x v="1"/>
  </r>
  <r>
    <x v="0"/>
    <x v="345"/>
    <x v="2"/>
    <n v="13381"/>
    <x v="1"/>
  </r>
  <r>
    <x v="0"/>
    <x v="345"/>
    <x v="3"/>
    <n v="10677"/>
    <x v="1"/>
  </r>
  <r>
    <x v="0"/>
    <x v="345"/>
    <x v="4"/>
    <n v="11337"/>
    <x v="1"/>
  </r>
  <r>
    <x v="0"/>
    <x v="345"/>
    <x v="5"/>
    <n v="14411"/>
    <x v="1"/>
  </r>
  <r>
    <x v="0"/>
    <x v="345"/>
    <x v="6"/>
    <n v="10231"/>
    <x v="1"/>
  </r>
  <r>
    <x v="0"/>
    <x v="345"/>
    <x v="7"/>
    <n v="13584"/>
    <x v="1"/>
  </r>
  <r>
    <x v="0"/>
    <x v="345"/>
    <x v="8"/>
    <n v="19679"/>
    <x v="1"/>
  </r>
  <r>
    <x v="0"/>
    <x v="345"/>
    <x v="9"/>
    <n v="10100"/>
    <x v="1"/>
  </r>
  <r>
    <x v="0"/>
    <x v="345"/>
    <x v="10"/>
    <n v="10242"/>
    <x v="1"/>
  </r>
  <r>
    <x v="0"/>
    <x v="345"/>
    <x v="11"/>
    <n v="13563"/>
    <x v="1"/>
  </r>
  <r>
    <x v="7"/>
    <x v="346"/>
    <x v="0"/>
    <n v="0"/>
    <x v="1"/>
  </r>
  <r>
    <x v="7"/>
    <x v="346"/>
    <x v="1"/>
    <n v="0"/>
    <x v="1"/>
  </r>
  <r>
    <x v="7"/>
    <x v="346"/>
    <x v="2"/>
    <n v="0"/>
    <x v="1"/>
  </r>
  <r>
    <x v="7"/>
    <x v="346"/>
    <x v="3"/>
    <n v="0"/>
    <x v="1"/>
  </r>
  <r>
    <x v="7"/>
    <x v="346"/>
    <x v="4"/>
    <n v="0"/>
    <x v="1"/>
  </r>
  <r>
    <x v="7"/>
    <x v="346"/>
    <x v="5"/>
    <n v="0"/>
    <x v="1"/>
  </r>
  <r>
    <x v="7"/>
    <x v="346"/>
    <x v="6"/>
    <n v="0"/>
    <x v="1"/>
  </r>
  <r>
    <x v="7"/>
    <x v="346"/>
    <x v="7"/>
    <n v="0"/>
    <x v="1"/>
  </r>
  <r>
    <x v="7"/>
    <x v="346"/>
    <x v="8"/>
    <n v="0"/>
    <x v="1"/>
  </r>
  <r>
    <x v="7"/>
    <x v="346"/>
    <x v="9"/>
    <n v="0"/>
    <x v="1"/>
  </r>
  <r>
    <x v="7"/>
    <x v="346"/>
    <x v="10"/>
    <n v="0"/>
    <x v="1"/>
  </r>
  <r>
    <x v="7"/>
    <x v="346"/>
    <x v="11"/>
    <n v="0"/>
    <x v="1"/>
  </r>
  <r>
    <x v="7"/>
    <x v="347"/>
    <x v="0"/>
    <n v="0"/>
    <x v="1"/>
  </r>
  <r>
    <x v="7"/>
    <x v="347"/>
    <x v="1"/>
    <n v="0"/>
    <x v="1"/>
  </r>
  <r>
    <x v="7"/>
    <x v="347"/>
    <x v="2"/>
    <n v="0"/>
    <x v="1"/>
  </r>
  <r>
    <x v="7"/>
    <x v="347"/>
    <x v="3"/>
    <n v="0"/>
    <x v="1"/>
  </r>
  <r>
    <x v="7"/>
    <x v="347"/>
    <x v="4"/>
    <n v="0"/>
    <x v="1"/>
  </r>
  <r>
    <x v="7"/>
    <x v="347"/>
    <x v="5"/>
    <n v="0"/>
    <x v="1"/>
  </r>
  <r>
    <x v="7"/>
    <x v="347"/>
    <x v="6"/>
    <n v="0"/>
    <x v="1"/>
  </r>
  <r>
    <x v="7"/>
    <x v="347"/>
    <x v="7"/>
    <n v="0"/>
    <x v="1"/>
  </r>
  <r>
    <x v="7"/>
    <x v="347"/>
    <x v="8"/>
    <n v="0"/>
    <x v="1"/>
  </r>
  <r>
    <x v="7"/>
    <x v="347"/>
    <x v="9"/>
    <n v="0"/>
    <x v="1"/>
  </r>
  <r>
    <x v="7"/>
    <x v="347"/>
    <x v="10"/>
    <n v="0"/>
    <x v="1"/>
  </r>
  <r>
    <x v="7"/>
    <x v="347"/>
    <x v="11"/>
    <n v="0"/>
    <x v="1"/>
  </r>
  <r>
    <x v="7"/>
    <x v="348"/>
    <x v="0"/>
    <n v="0"/>
    <x v="1"/>
  </r>
  <r>
    <x v="7"/>
    <x v="348"/>
    <x v="1"/>
    <n v="0"/>
    <x v="1"/>
  </r>
  <r>
    <x v="7"/>
    <x v="348"/>
    <x v="2"/>
    <n v="14000"/>
    <x v="1"/>
  </r>
  <r>
    <x v="7"/>
    <x v="348"/>
    <x v="3"/>
    <n v="0"/>
    <x v="1"/>
  </r>
  <r>
    <x v="7"/>
    <x v="348"/>
    <x v="4"/>
    <n v="0"/>
    <x v="1"/>
  </r>
  <r>
    <x v="7"/>
    <x v="348"/>
    <x v="5"/>
    <n v="14000"/>
    <x v="1"/>
  </r>
  <r>
    <x v="7"/>
    <x v="348"/>
    <x v="6"/>
    <n v="0"/>
    <x v="1"/>
  </r>
  <r>
    <x v="7"/>
    <x v="348"/>
    <x v="7"/>
    <n v="28000"/>
    <x v="1"/>
  </r>
  <r>
    <x v="7"/>
    <x v="348"/>
    <x v="8"/>
    <n v="28000"/>
    <x v="1"/>
  </r>
  <r>
    <x v="7"/>
    <x v="348"/>
    <x v="9"/>
    <n v="28000"/>
    <x v="1"/>
  </r>
  <r>
    <x v="7"/>
    <x v="348"/>
    <x v="10"/>
    <n v="147722"/>
    <x v="1"/>
  </r>
  <r>
    <x v="7"/>
    <x v="348"/>
    <x v="11"/>
    <n v="0"/>
    <x v="1"/>
  </r>
  <r>
    <x v="7"/>
    <x v="349"/>
    <x v="0"/>
    <n v="0"/>
    <x v="1"/>
  </r>
  <r>
    <x v="7"/>
    <x v="349"/>
    <x v="1"/>
    <n v="0"/>
    <x v="1"/>
  </r>
  <r>
    <x v="7"/>
    <x v="349"/>
    <x v="2"/>
    <n v="0"/>
    <x v="1"/>
  </r>
  <r>
    <x v="7"/>
    <x v="349"/>
    <x v="3"/>
    <n v="0"/>
    <x v="1"/>
  </r>
  <r>
    <x v="7"/>
    <x v="349"/>
    <x v="4"/>
    <n v="0"/>
    <x v="1"/>
  </r>
  <r>
    <x v="7"/>
    <x v="349"/>
    <x v="5"/>
    <n v="0"/>
    <x v="1"/>
  </r>
  <r>
    <x v="7"/>
    <x v="349"/>
    <x v="6"/>
    <n v="0"/>
    <x v="1"/>
  </r>
  <r>
    <x v="7"/>
    <x v="349"/>
    <x v="7"/>
    <n v="444152"/>
    <x v="1"/>
  </r>
  <r>
    <x v="7"/>
    <x v="349"/>
    <x v="8"/>
    <n v="0"/>
    <x v="1"/>
  </r>
  <r>
    <x v="7"/>
    <x v="349"/>
    <x v="9"/>
    <n v="124335"/>
    <x v="1"/>
  </r>
  <r>
    <x v="7"/>
    <x v="349"/>
    <x v="10"/>
    <n v="0"/>
    <x v="1"/>
  </r>
  <r>
    <x v="7"/>
    <x v="349"/>
    <x v="11"/>
    <n v="100000"/>
    <x v="1"/>
  </r>
  <r>
    <x v="0"/>
    <x v="350"/>
    <x v="0"/>
    <n v="1190"/>
    <x v="2"/>
  </r>
  <r>
    <x v="0"/>
    <x v="350"/>
    <x v="1"/>
    <n v="0"/>
    <x v="2"/>
  </r>
  <r>
    <x v="0"/>
    <x v="350"/>
    <x v="2"/>
    <n v="0"/>
    <x v="2"/>
  </r>
  <r>
    <x v="0"/>
    <x v="350"/>
    <x v="3"/>
    <n v="0"/>
    <x v="2"/>
  </r>
  <r>
    <x v="0"/>
    <x v="350"/>
    <x v="4"/>
    <n v="0"/>
    <x v="2"/>
  </r>
  <r>
    <x v="0"/>
    <x v="350"/>
    <x v="5"/>
    <n v="0"/>
    <x v="2"/>
  </r>
  <r>
    <x v="0"/>
    <x v="350"/>
    <x v="6"/>
    <n v="0"/>
    <x v="2"/>
  </r>
  <r>
    <x v="0"/>
    <x v="350"/>
    <x v="7"/>
    <n v="0"/>
    <x v="2"/>
  </r>
  <r>
    <x v="0"/>
    <x v="350"/>
    <x v="8"/>
    <n v="0"/>
    <x v="2"/>
  </r>
  <r>
    <x v="0"/>
    <x v="350"/>
    <x v="9"/>
    <n v="0"/>
    <x v="2"/>
  </r>
  <r>
    <x v="0"/>
    <x v="350"/>
    <x v="10"/>
    <n v="4327"/>
    <x v="2"/>
  </r>
  <r>
    <x v="0"/>
    <x v="350"/>
    <x v="11"/>
    <n v="0"/>
    <x v="2"/>
  </r>
  <r>
    <x v="0"/>
    <x v="351"/>
    <x v="0"/>
    <n v="1072"/>
    <x v="2"/>
  </r>
  <r>
    <x v="0"/>
    <x v="351"/>
    <x v="1"/>
    <n v="869"/>
    <x v="2"/>
  </r>
  <r>
    <x v="0"/>
    <x v="351"/>
    <x v="2"/>
    <n v="1072"/>
    <x v="2"/>
  </r>
  <r>
    <x v="0"/>
    <x v="351"/>
    <x v="3"/>
    <n v="1065"/>
    <x v="2"/>
  </r>
  <r>
    <x v="0"/>
    <x v="351"/>
    <x v="4"/>
    <n v="1068"/>
    <x v="2"/>
  </r>
  <r>
    <x v="0"/>
    <x v="351"/>
    <x v="5"/>
    <n v="952"/>
    <x v="2"/>
  </r>
  <r>
    <x v="0"/>
    <x v="351"/>
    <x v="6"/>
    <n v="880"/>
    <x v="2"/>
  </r>
  <r>
    <x v="0"/>
    <x v="351"/>
    <x v="7"/>
    <n v="1178"/>
    <x v="2"/>
  </r>
  <r>
    <x v="0"/>
    <x v="351"/>
    <x v="8"/>
    <n v="1452"/>
    <x v="2"/>
  </r>
  <r>
    <x v="0"/>
    <x v="351"/>
    <x v="9"/>
    <n v="2251"/>
    <x v="2"/>
  </r>
  <r>
    <x v="0"/>
    <x v="351"/>
    <x v="10"/>
    <n v="1962"/>
    <x v="2"/>
  </r>
  <r>
    <x v="0"/>
    <x v="351"/>
    <x v="11"/>
    <n v="1221"/>
    <x v="2"/>
  </r>
  <r>
    <x v="0"/>
    <x v="352"/>
    <x v="0"/>
    <n v="926"/>
    <x v="2"/>
  </r>
  <r>
    <x v="0"/>
    <x v="352"/>
    <x v="1"/>
    <n v="0"/>
    <x v="2"/>
  </r>
  <r>
    <x v="0"/>
    <x v="352"/>
    <x v="2"/>
    <n v="0"/>
    <x v="2"/>
  </r>
  <r>
    <x v="0"/>
    <x v="352"/>
    <x v="3"/>
    <n v="0"/>
    <x v="2"/>
  </r>
  <r>
    <x v="0"/>
    <x v="352"/>
    <x v="4"/>
    <n v="0"/>
    <x v="2"/>
  </r>
  <r>
    <x v="0"/>
    <x v="352"/>
    <x v="5"/>
    <n v="848"/>
    <x v="2"/>
  </r>
  <r>
    <x v="0"/>
    <x v="352"/>
    <x v="6"/>
    <n v="0"/>
    <x v="2"/>
  </r>
  <r>
    <x v="0"/>
    <x v="352"/>
    <x v="7"/>
    <n v="0"/>
    <x v="2"/>
  </r>
  <r>
    <x v="0"/>
    <x v="352"/>
    <x v="8"/>
    <n v="0"/>
    <x v="2"/>
  </r>
  <r>
    <x v="0"/>
    <x v="352"/>
    <x v="9"/>
    <n v="0"/>
    <x v="2"/>
  </r>
  <r>
    <x v="0"/>
    <x v="352"/>
    <x v="10"/>
    <n v="0"/>
    <x v="2"/>
  </r>
  <r>
    <x v="0"/>
    <x v="352"/>
    <x v="11"/>
    <n v="0"/>
    <x v="2"/>
  </r>
  <r>
    <x v="0"/>
    <x v="353"/>
    <x v="0"/>
    <n v="6303"/>
    <x v="2"/>
  </r>
  <r>
    <x v="0"/>
    <x v="353"/>
    <x v="1"/>
    <n v="0"/>
    <x v="2"/>
  </r>
  <r>
    <x v="0"/>
    <x v="353"/>
    <x v="2"/>
    <n v="0"/>
    <x v="2"/>
  </r>
  <r>
    <x v="0"/>
    <x v="353"/>
    <x v="3"/>
    <n v="0"/>
    <x v="2"/>
  </r>
  <r>
    <x v="0"/>
    <x v="353"/>
    <x v="4"/>
    <n v="0"/>
    <x v="2"/>
  </r>
  <r>
    <x v="0"/>
    <x v="353"/>
    <x v="5"/>
    <n v="0"/>
    <x v="2"/>
  </r>
  <r>
    <x v="0"/>
    <x v="353"/>
    <x v="6"/>
    <n v="0"/>
    <x v="2"/>
  </r>
  <r>
    <x v="0"/>
    <x v="353"/>
    <x v="7"/>
    <n v="0"/>
    <x v="2"/>
  </r>
  <r>
    <x v="0"/>
    <x v="353"/>
    <x v="8"/>
    <n v="0"/>
    <x v="2"/>
  </r>
  <r>
    <x v="0"/>
    <x v="353"/>
    <x v="9"/>
    <n v="0"/>
    <x v="2"/>
  </r>
  <r>
    <x v="0"/>
    <x v="353"/>
    <x v="10"/>
    <n v="0"/>
    <x v="2"/>
  </r>
  <r>
    <x v="0"/>
    <x v="353"/>
    <x v="11"/>
    <n v="4982"/>
    <x v="2"/>
  </r>
  <r>
    <x v="0"/>
    <x v="354"/>
    <x v="0"/>
    <m/>
    <x v="2"/>
  </r>
  <r>
    <x v="0"/>
    <x v="354"/>
    <x v="1"/>
    <n v="3052"/>
    <x v="2"/>
  </r>
  <r>
    <x v="0"/>
    <x v="354"/>
    <x v="2"/>
    <n v="3052"/>
    <x v="2"/>
  </r>
  <r>
    <x v="0"/>
    <x v="354"/>
    <x v="3"/>
    <n v="4270"/>
    <x v="2"/>
  </r>
  <r>
    <x v="0"/>
    <x v="354"/>
    <x v="4"/>
    <n v="4272"/>
    <x v="2"/>
  </r>
  <r>
    <x v="0"/>
    <x v="354"/>
    <x v="5"/>
    <n v="4720"/>
    <x v="2"/>
  </r>
  <r>
    <x v="0"/>
    <x v="354"/>
    <x v="6"/>
    <n v="4458"/>
    <x v="2"/>
  </r>
  <r>
    <x v="0"/>
    <x v="354"/>
    <x v="7"/>
    <n v="4267"/>
    <x v="2"/>
  </r>
  <r>
    <x v="0"/>
    <x v="354"/>
    <x v="8"/>
    <n v="59099"/>
    <x v="2"/>
  </r>
  <r>
    <x v="0"/>
    <x v="354"/>
    <x v="9"/>
    <n v="0"/>
    <x v="2"/>
  </r>
  <r>
    <x v="0"/>
    <x v="354"/>
    <x v="10"/>
    <n v="0"/>
    <x v="2"/>
  </r>
  <r>
    <x v="0"/>
    <x v="354"/>
    <x v="11"/>
    <n v="0"/>
    <x v="2"/>
  </r>
  <r>
    <x v="0"/>
    <x v="355"/>
    <x v="0"/>
    <n v="0"/>
    <x v="2"/>
  </r>
  <r>
    <x v="0"/>
    <x v="355"/>
    <x v="1"/>
    <n v="0"/>
    <x v="2"/>
  </r>
  <r>
    <x v="0"/>
    <x v="355"/>
    <x v="2"/>
    <n v="0"/>
    <x v="2"/>
  </r>
  <r>
    <x v="0"/>
    <x v="355"/>
    <x v="3"/>
    <n v="1026"/>
    <x v="2"/>
  </r>
  <r>
    <x v="0"/>
    <x v="355"/>
    <x v="4"/>
    <n v="3683"/>
    <x v="2"/>
  </r>
  <r>
    <x v="0"/>
    <x v="355"/>
    <x v="5"/>
    <n v="2945"/>
    <x v="2"/>
  </r>
  <r>
    <x v="0"/>
    <x v="355"/>
    <x v="6"/>
    <n v="8710"/>
    <x v="2"/>
  </r>
  <r>
    <x v="0"/>
    <x v="355"/>
    <x v="7"/>
    <n v="0"/>
    <x v="2"/>
  </r>
  <r>
    <x v="0"/>
    <x v="355"/>
    <x v="8"/>
    <n v="72"/>
    <x v="2"/>
  </r>
  <r>
    <x v="0"/>
    <x v="355"/>
    <x v="9"/>
    <n v="0"/>
    <x v="2"/>
  </r>
  <r>
    <x v="0"/>
    <x v="355"/>
    <x v="10"/>
    <n v="0"/>
    <x v="2"/>
  </r>
  <r>
    <x v="0"/>
    <x v="355"/>
    <x v="11"/>
    <n v="0"/>
    <x v="2"/>
  </r>
  <r>
    <x v="0"/>
    <x v="262"/>
    <x v="0"/>
    <n v="733"/>
    <x v="2"/>
  </r>
  <r>
    <x v="0"/>
    <x v="262"/>
    <x v="1"/>
    <n v="946"/>
    <x v="2"/>
  </r>
  <r>
    <x v="0"/>
    <x v="262"/>
    <x v="2"/>
    <n v="959"/>
    <x v="2"/>
  </r>
  <r>
    <x v="0"/>
    <x v="262"/>
    <x v="3"/>
    <n v="1544"/>
    <x v="2"/>
  </r>
  <r>
    <x v="0"/>
    <x v="262"/>
    <x v="4"/>
    <n v="1205"/>
    <x v="2"/>
  </r>
  <r>
    <x v="0"/>
    <x v="262"/>
    <x v="5"/>
    <n v="1554"/>
    <x v="2"/>
  </r>
  <r>
    <x v="0"/>
    <x v="262"/>
    <x v="6"/>
    <n v="1303"/>
    <x v="2"/>
  </r>
  <r>
    <x v="0"/>
    <x v="262"/>
    <x v="7"/>
    <n v="843"/>
    <x v="2"/>
  </r>
  <r>
    <x v="0"/>
    <x v="262"/>
    <x v="8"/>
    <n v="944"/>
    <x v="2"/>
  </r>
  <r>
    <x v="0"/>
    <x v="262"/>
    <x v="9"/>
    <n v="942"/>
    <x v="2"/>
  </r>
  <r>
    <x v="0"/>
    <x v="262"/>
    <x v="10"/>
    <n v="1029"/>
    <x v="2"/>
  </r>
  <r>
    <x v="0"/>
    <x v="262"/>
    <x v="11"/>
    <n v="958"/>
    <x v="2"/>
  </r>
  <r>
    <x v="0"/>
    <x v="356"/>
    <x v="0"/>
    <n v="209"/>
    <x v="2"/>
  </r>
  <r>
    <x v="0"/>
    <x v="356"/>
    <x v="1"/>
    <n v="229"/>
    <x v="2"/>
  </r>
  <r>
    <x v="0"/>
    <x v="356"/>
    <x v="2"/>
    <n v="297"/>
    <x v="2"/>
  </r>
  <r>
    <x v="0"/>
    <x v="356"/>
    <x v="3"/>
    <n v="225"/>
    <x v="2"/>
  </r>
  <r>
    <x v="0"/>
    <x v="356"/>
    <x v="4"/>
    <n v="225"/>
    <x v="2"/>
  </r>
  <r>
    <x v="0"/>
    <x v="356"/>
    <x v="5"/>
    <n v="249"/>
    <x v="2"/>
  </r>
  <r>
    <x v="0"/>
    <x v="356"/>
    <x v="6"/>
    <n v="235"/>
    <x v="2"/>
  </r>
  <r>
    <x v="0"/>
    <x v="356"/>
    <x v="7"/>
    <n v="249"/>
    <x v="2"/>
  </r>
  <r>
    <x v="0"/>
    <x v="356"/>
    <x v="8"/>
    <n v="248"/>
    <x v="2"/>
  </r>
  <r>
    <x v="0"/>
    <x v="356"/>
    <x v="9"/>
    <n v="250"/>
    <x v="2"/>
  </r>
  <r>
    <x v="0"/>
    <x v="356"/>
    <x v="10"/>
    <n v="253"/>
    <x v="2"/>
  </r>
  <r>
    <x v="0"/>
    <x v="356"/>
    <x v="11"/>
    <n v="245"/>
    <x v="2"/>
  </r>
  <r>
    <x v="0"/>
    <x v="357"/>
    <x v="0"/>
    <n v="0"/>
    <x v="2"/>
  </r>
  <r>
    <x v="0"/>
    <x v="357"/>
    <x v="1"/>
    <n v="0"/>
    <x v="2"/>
  </r>
  <r>
    <x v="0"/>
    <x v="357"/>
    <x v="2"/>
    <n v="0"/>
    <x v="2"/>
  </r>
  <r>
    <x v="0"/>
    <x v="357"/>
    <x v="3"/>
    <n v="18006"/>
    <x v="2"/>
  </r>
  <r>
    <x v="0"/>
    <x v="357"/>
    <x v="4"/>
    <n v="0"/>
    <x v="2"/>
  </r>
  <r>
    <x v="0"/>
    <x v="357"/>
    <x v="5"/>
    <n v="0"/>
    <x v="2"/>
  </r>
  <r>
    <x v="0"/>
    <x v="357"/>
    <x v="6"/>
    <n v="0"/>
    <x v="2"/>
  </r>
  <r>
    <x v="0"/>
    <x v="357"/>
    <x v="7"/>
    <n v="0"/>
    <x v="2"/>
  </r>
  <r>
    <x v="0"/>
    <x v="357"/>
    <x v="8"/>
    <n v="0"/>
    <x v="2"/>
  </r>
  <r>
    <x v="0"/>
    <x v="357"/>
    <x v="9"/>
    <n v="0"/>
    <x v="2"/>
  </r>
  <r>
    <x v="0"/>
    <x v="357"/>
    <x v="10"/>
    <n v="32739"/>
    <x v="2"/>
  </r>
  <r>
    <x v="0"/>
    <x v="357"/>
    <x v="11"/>
    <n v="0"/>
    <x v="2"/>
  </r>
  <r>
    <x v="0"/>
    <x v="358"/>
    <x v="0"/>
    <n v="0"/>
    <x v="2"/>
  </r>
  <r>
    <x v="0"/>
    <x v="358"/>
    <x v="1"/>
    <n v="0"/>
    <x v="2"/>
  </r>
  <r>
    <x v="0"/>
    <x v="358"/>
    <x v="2"/>
    <n v="0"/>
    <x v="2"/>
  </r>
  <r>
    <x v="0"/>
    <x v="358"/>
    <x v="3"/>
    <n v="0"/>
    <x v="2"/>
  </r>
  <r>
    <x v="0"/>
    <x v="358"/>
    <x v="4"/>
    <n v="0"/>
    <x v="2"/>
  </r>
  <r>
    <x v="0"/>
    <x v="358"/>
    <x v="5"/>
    <n v="0"/>
    <x v="2"/>
  </r>
  <r>
    <x v="0"/>
    <x v="358"/>
    <x v="6"/>
    <n v="0"/>
    <x v="2"/>
  </r>
  <r>
    <x v="0"/>
    <x v="358"/>
    <x v="7"/>
    <n v="0"/>
    <x v="2"/>
  </r>
  <r>
    <x v="0"/>
    <x v="358"/>
    <x v="8"/>
    <n v="0"/>
    <x v="2"/>
  </r>
  <r>
    <x v="0"/>
    <x v="358"/>
    <x v="9"/>
    <n v="0"/>
    <x v="2"/>
  </r>
  <r>
    <x v="0"/>
    <x v="358"/>
    <x v="10"/>
    <n v="68217"/>
    <x v="2"/>
  </r>
  <r>
    <x v="0"/>
    <x v="358"/>
    <x v="11"/>
    <n v="0"/>
    <x v="2"/>
  </r>
  <r>
    <x v="4"/>
    <x v="337"/>
    <x v="0"/>
    <m/>
    <x v="2"/>
  </r>
  <r>
    <x v="4"/>
    <x v="337"/>
    <x v="1"/>
    <m/>
    <x v="2"/>
  </r>
  <r>
    <x v="4"/>
    <x v="337"/>
    <x v="2"/>
    <n v="3312"/>
    <x v="2"/>
  </r>
  <r>
    <x v="4"/>
    <x v="337"/>
    <x v="3"/>
    <n v="1507"/>
    <x v="2"/>
  </r>
  <r>
    <x v="4"/>
    <x v="337"/>
    <x v="4"/>
    <n v="4067"/>
    <x v="2"/>
  </r>
  <r>
    <x v="4"/>
    <x v="337"/>
    <x v="5"/>
    <n v="2501"/>
    <x v="2"/>
  </r>
  <r>
    <x v="4"/>
    <x v="337"/>
    <x v="6"/>
    <n v="590"/>
    <x v="2"/>
  </r>
  <r>
    <x v="4"/>
    <x v="337"/>
    <x v="7"/>
    <n v="0"/>
    <x v="2"/>
  </r>
  <r>
    <x v="4"/>
    <x v="337"/>
    <x v="8"/>
    <n v="0"/>
    <x v="2"/>
  </r>
  <r>
    <x v="4"/>
    <x v="337"/>
    <x v="9"/>
    <n v="930"/>
    <x v="2"/>
  </r>
  <r>
    <x v="4"/>
    <x v="337"/>
    <x v="10"/>
    <n v="0"/>
    <x v="2"/>
  </r>
  <r>
    <x v="4"/>
    <x v="337"/>
    <x v="11"/>
    <n v="0"/>
    <x v="2"/>
  </r>
  <r>
    <x v="1"/>
    <x v="359"/>
    <x v="0"/>
    <n v="2101"/>
    <x v="2"/>
  </r>
  <r>
    <x v="1"/>
    <x v="359"/>
    <x v="1"/>
    <n v="2136"/>
    <x v="2"/>
  </r>
  <r>
    <x v="1"/>
    <x v="359"/>
    <x v="2"/>
    <n v="0"/>
    <x v="2"/>
  </r>
  <r>
    <x v="1"/>
    <x v="359"/>
    <x v="3"/>
    <n v="0"/>
    <x v="2"/>
  </r>
  <r>
    <x v="1"/>
    <x v="359"/>
    <x v="4"/>
    <n v="0"/>
    <x v="2"/>
  </r>
  <r>
    <x v="1"/>
    <x v="359"/>
    <x v="5"/>
    <n v="0"/>
    <x v="2"/>
  </r>
  <r>
    <x v="1"/>
    <x v="359"/>
    <x v="6"/>
    <n v="0"/>
    <x v="2"/>
  </r>
  <r>
    <x v="1"/>
    <x v="359"/>
    <x v="7"/>
    <n v="0"/>
    <x v="2"/>
  </r>
  <r>
    <x v="1"/>
    <x v="359"/>
    <x v="8"/>
    <n v="0"/>
    <x v="2"/>
  </r>
  <r>
    <x v="1"/>
    <x v="359"/>
    <x v="9"/>
    <n v="0"/>
    <x v="2"/>
  </r>
  <r>
    <x v="1"/>
    <x v="359"/>
    <x v="10"/>
    <n v="0"/>
    <x v="2"/>
  </r>
  <r>
    <x v="1"/>
    <x v="359"/>
    <x v="11"/>
    <n v="0"/>
    <x v="2"/>
  </r>
  <r>
    <x v="0"/>
    <x v="360"/>
    <x v="0"/>
    <n v="2919"/>
    <x v="2"/>
  </r>
  <r>
    <x v="0"/>
    <x v="360"/>
    <x v="1"/>
    <n v="2780"/>
    <x v="2"/>
  </r>
  <r>
    <x v="0"/>
    <x v="360"/>
    <x v="2"/>
    <n v="2835"/>
    <x v="2"/>
  </r>
  <r>
    <x v="0"/>
    <x v="360"/>
    <x v="3"/>
    <n v="2683"/>
    <x v="2"/>
  </r>
  <r>
    <x v="0"/>
    <x v="360"/>
    <x v="4"/>
    <n v="2689"/>
    <x v="2"/>
  </r>
  <r>
    <x v="0"/>
    <x v="360"/>
    <x v="5"/>
    <n v="2967"/>
    <x v="2"/>
  </r>
  <r>
    <x v="0"/>
    <x v="360"/>
    <x v="6"/>
    <n v="2667"/>
    <x v="2"/>
  </r>
  <r>
    <x v="0"/>
    <x v="360"/>
    <x v="7"/>
    <n v="2893"/>
    <x v="2"/>
  </r>
  <r>
    <x v="0"/>
    <x v="360"/>
    <x v="8"/>
    <n v="2801"/>
    <x v="2"/>
  </r>
  <r>
    <x v="0"/>
    <x v="360"/>
    <x v="9"/>
    <n v="2776"/>
    <x v="2"/>
  </r>
  <r>
    <x v="0"/>
    <x v="360"/>
    <x v="10"/>
    <n v="2852"/>
    <x v="2"/>
  </r>
  <r>
    <x v="0"/>
    <x v="360"/>
    <x v="11"/>
    <n v="2743"/>
    <x v="2"/>
  </r>
  <r>
    <x v="4"/>
    <x v="361"/>
    <x v="0"/>
    <n v="471"/>
    <x v="2"/>
  </r>
  <r>
    <x v="4"/>
    <x v="361"/>
    <x v="1"/>
    <n v="515"/>
    <x v="2"/>
  </r>
  <r>
    <x v="4"/>
    <x v="361"/>
    <x v="2"/>
    <n v="515"/>
    <x v="2"/>
  </r>
  <r>
    <x v="4"/>
    <x v="361"/>
    <x v="3"/>
    <n v="506"/>
    <x v="2"/>
  </r>
  <r>
    <x v="4"/>
    <x v="361"/>
    <x v="4"/>
    <n v="506"/>
    <x v="2"/>
  </r>
  <r>
    <x v="4"/>
    <x v="361"/>
    <x v="5"/>
    <n v="2500"/>
    <x v="2"/>
  </r>
  <r>
    <x v="4"/>
    <x v="361"/>
    <x v="6"/>
    <n v="559"/>
    <x v="2"/>
  </r>
  <r>
    <x v="4"/>
    <x v="361"/>
    <x v="7"/>
    <n v="518"/>
    <x v="2"/>
  </r>
  <r>
    <x v="4"/>
    <x v="361"/>
    <x v="8"/>
    <n v="557"/>
    <x v="2"/>
  </r>
  <r>
    <x v="4"/>
    <x v="361"/>
    <x v="9"/>
    <n v="562"/>
    <x v="2"/>
  </r>
  <r>
    <x v="4"/>
    <x v="361"/>
    <x v="10"/>
    <n v="570"/>
    <x v="2"/>
  </r>
  <r>
    <x v="4"/>
    <x v="361"/>
    <x v="11"/>
    <n v="1082"/>
    <x v="2"/>
  </r>
  <r>
    <x v="1"/>
    <x v="362"/>
    <x v="0"/>
    <n v="0"/>
    <x v="2"/>
  </r>
  <r>
    <x v="1"/>
    <x v="362"/>
    <x v="1"/>
    <n v="3051"/>
    <x v="2"/>
  </r>
  <r>
    <x v="1"/>
    <x v="362"/>
    <x v="2"/>
    <n v="3152"/>
    <x v="2"/>
  </r>
  <r>
    <x v="1"/>
    <x v="362"/>
    <x v="3"/>
    <n v="3000"/>
    <x v="2"/>
  </r>
  <r>
    <x v="1"/>
    <x v="362"/>
    <x v="4"/>
    <n v="0"/>
    <x v="2"/>
  </r>
  <r>
    <x v="1"/>
    <x v="362"/>
    <x v="5"/>
    <n v="0"/>
    <x v="2"/>
  </r>
  <r>
    <x v="1"/>
    <x v="362"/>
    <x v="6"/>
    <n v="0"/>
    <x v="2"/>
  </r>
  <r>
    <x v="1"/>
    <x v="362"/>
    <x v="7"/>
    <n v="0"/>
    <x v="2"/>
  </r>
  <r>
    <x v="1"/>
    <x v="362"/>
    <x v="8"/>
    <n v="0"/>
    <x v="2"/>
  </r>
  <r>
    <x v="1"/>
    <x v="362"/>
    <x v="9"/>
    <n v="0"/>
    <x v="2"/>
  </r>
  <r>
    <x v="1"/>
    <x v="362"/>
    <x v="10"/>
    <n v="0"/>
    <x v="2"/>
  </r>
  <r>
    <x v="1"/>
    <x v="362"/>
    <x v="11"/>
    <n v="0"/>
    <x v="2"/>
  </r>
  <r>
    <x v="1"/>
    <x v="363"/>
    <x v="0"/>
    <n v="0"/>
    <x v="2"/>
  </r>
  <r>
    <x v="1"/>
    <x v="363"/>
    <x v="1"/>
    <n v="0"/>
    <x v="2"/>
  </r>
  <r>
    <x v="1"/>
    <x v="363"/>
    <x v="2"/>
    <n v="2372"/>
    <x v="2"/>
  </r>
  <r>
    <x v="1"/>
    <x v="363"/>
    <x v="3"/>
    <n v="0"/>
    <x v="2"/>
  </r>
  <r>
    <x v="1"/>
    <x v="363"/>
    <x v="4"/>
    <n v="3000"/>
    <x v="2"/>
  </r>
  <r>
    <x v="1"/>
    <x v="363"/>
    <x v="5"/>
    <n v="5829"/>
    <x v="2"/>
  </r>
  <r>
    <x v="1"/>
    <x v="363"/>
    <x v="6"/>
    <n v="0"/>
    <x v="2"/>
  </r>
  <r>
    <x v="1"/>
    <x v="363"/>
    <x v="7"/>
    <n v="0"/>
    <x v="2"/>
  </r>
  <r>
    <x v="1"/>
    <x v="363"/>
    <x v="8"/>
    <n v="0"/>
    <x v="2"/>
  </r>
  <r>
    <x v="1"/>
    <x v="363"/>
    <x v="9"/>
    <n v="0"/>
    <x v="2"/>
  </r>
  <r>
    <x v="1"/>
    <x v="363"/>
    <x v="10"/>
    <n v="0"/>
    <x v="2"/>
  </r>
  <r>
    <x v="1"/>
    <x v="363"/>
    <x v="11"/>
    <n v="0"/>
    <x v="2"/>
  </r>
  <r>
    <x v="1"/>
    <x v="364"/>
    <x v="0"/>
    <n v="0"/>
    <x v="2"/>
  </r>
  <r>
    <x v="1"/>
    <x v="364"/>
    <x v="1"/>
    <n v="0"/>
    <x v="2"/>
  </r>
  <r>
    <x v="1"/>
    <x v="364"/>
    <x v="2"/>
    <n v="958"/>
    <x v="2"/>
  </r>
  <r>
    <x v="1"/>
    <x v="364"/>
    <x v="3"/>
    <n v="959"/>
    <x v="2"/>
  </r>
  <r>
    <x v="1"/>
    <x v="364"/>
    <x v="4"/>
    <n v="939"/>
    <x v="2"/>
  </r>
  <r>
    <x v="1"/>
    <x v="364"/>
    <x v="5"/>
    <n v="1037"/>
    <x v="2"/>
  </r>
  <r>
    <x v="1"/>
    <x v="364"/>
    <x v="6"/>
    <n v="979"/>
    <x v="2"/>
  </r>
  <r>
    <x v="1"/>
    <x v="364"/>
    <x v="7"/>
    <n v="1033"/>
    <x v="2"/>
  </r>
  <r>
    <x v="1"/>
    <x v="364"/>
    <x v="8"/>
    <n v="0"/>
    <x v="2"/>
  </r>
  <r>
    <x v="1"/>
    <x v="364"/>
    <x v="9"/>
    <n v="0"/>
    <x v="2"/>
  </r>
  <r>
    <x v="1"/>
    <x v="364"/>
    <x v="10"/>
    <n v="0"/>
    <x v="2"/>
  </r>
  <r>
    <x v="1"/>
    <x v="364"/>
    <x v="11"/>
    <n v="0"/>
    <x v="2"/>
  </r>
  <r>
    <x v="1"/>
    <x v="365"/>
    <x v="0"/>
    <n v="0"/>
    <x v="2"/>
  </r>
  <r>
    <x v="1"/>
    <x v="365"/>
    <x v="1"/>
    <n v="0"/>
    <x v="2"/>
  </r>
  <r>
    <x v="1"/>
    <x v="365"/>
    <x v="2"/>
    <n v="186"/>
    <x v="2"/>
  </r>
  <r>
    <x v="1"/>
    <x v="365"/>
    <x v="3"/>
    <n v="390"/>
    <x v="2"/>
  </r>
  <r>
    <x v="1"/>
    <x v="365"/>
    <x v="4"/>
    <n v="500"/>
    <x v="2"/>
  </r>
  <r>
    <x v="1"/>
    <x v="365"/>
    <x v="5"/>
    <n v="344"/>
    <x v="2"/>
  </r>
  <r>
    <x v="1"/>
    <x v="365"/>
    <x v="6"/>
    <n v="230"/>
    <x v="2"/>
  </r>
  <r>
    <x v="1"/>
    <x v="365"/>
    <x v="7"/>
    <n v="222"/>
    <x v="2"/>
  </r>
  <r>
    <x v="1"/>
    <x v="365"/>
    <x v="8"/>
    <n v="710"/>
    <x v="2"/>
  </r>
  <r>
    <x v="1"/>
    <x v="365"/>
    <x v="9"/>
    <n v="0"/>
    <x v="2"/>
  </r>
  <r>
    <x v="1"/>
    <x v="365"/>
    <x v="10"/>
    <n v="0"/>
    <x v="2"/>
  </r>
  <r>
    <x v="1"/>
    <x v="365"/>
    <x v="11"/>
    <n v="0"/>
    <x v="2"/>
  </r>
  <r>
    <x v="4"/>
    <x v="366"/>
    <x v="0"/>
    <n v="0"/>
    <x v="2"/>
  </r>
  <r>
    <x v="4"/>
    <x v="366"/>
    <x v="1"/>
    <n v="0"/>
    <x v="2"/>
  </r>
  <r>
    <x v="4"/>
    <x v="366"/>
    <x v="2"/>
    <n v="0"/>
    <x v="2"/>
  </r>
  <r>
    <x v="4"/>
    <x v="366"/>
    <x v="3"/>
    <n v="0"/>
    <x v="2"/>
  </r>
  <r>
    <x v="4"/>
    <x v="366"/>
    <x v="4"/>
    <n v="1613"/>
    <x v="2"/>
  </r>
  <r>
    <x v="4"/>
    <x v="366"/>
    <x v="5"/>
    <n v="0"/>
    <x v="2"/>
  </r>
  <r>
    <x v="4"/>
    <x v="366"/>
    <x v="6"/>
    <n v="0"/>
    <x v="2"/>
  </r>
  <r>
    <x v="4"/>
    <x v="366"/>
    <x v="7"/>
    <n v="0"/>
    <x v="2"/>
  </r>
  <r>
    <x v="4"/>
    <x v="366"/>
    <x v="8"/>
    <n v="661"/>
    <x v="2"/>
  </r>
  <r>
    <x v="4"/>
    <x v="366"/>
    <x v="9"/>
    <n v="0"/>
    <x v="2"/>
  </r>
  <r>
    <x v="4"/>
    <x v="366"/>
    <x v="10"/>
    <n v="0"/>
    <x v="2"/>
  </r>
  <r>
    <x v="4"/>
    <x v="366"/>
    <x v="11"/>
    <n v="52"/>
    <x v="2"/>
  </r>
  <r>
    <x v="1"/>
    <x v="367"/>
    <x v="0"/>
    <n v="0"/>
    <x v="2"/>
  </r>
  <r>
    <x v="1"/>
    <x v="367"/>
    <x v="1"/>
    <n v="0"/>
    <x v="2"/>
  </r>
  <r>
    <x v="1"/>
    <x v="367"/>
    <x v="2"/>
    <n v="0"/>
    <x v="2"/>
  </r>
  <r>
    <x v="1"/>
    <x v="367"/>
    <x v="3"/>
    <n v="0"/>
    <x v="2"/>
  </r>
  <r>
    <x v="1"/>
    <x v="367"/>
    <x v="4"/>
    <n v="0"/>
    <x v="2"/>
  </r>
  <r>
    <x v="1"/>
    <x v="367"/>
    <x v="5"/>
    <n v="0"/>
    <x v="2"/>
  </r>
  <r>
    <x v="1"/>
    <x v="367"/>
    <x v="6"/>
    <n v="0"/>
    <x v="2"/>
  </r>
  <r>
    <x v="1"/>
    <x v="367"/>
    <x v="7"/>
    <n v="0"/>
    <x v="2"/>
  </r>
  <r>
    <x v="1"/>
    <x v="367"/>
    <x v="8"/>
    <n v="0"/>
    <x v="2"/>
  </r>
  <r>
    <x v="1"/>
    <x v="367"/>
    <x v="9"/>
    <n v="0"/>
    <x v="2"/>
  </r>
  <r>
    <x v="1"/>
    <x v="367"/>
    <x v="10"/>
    <n v="0"/>
    <x v="2"/>
  </r>
  <r>
    <x v="1"/>
    <x v="367"/>
    <x v="11"/>
    <n v="0"/>
    <x v="2"/>
  </r>
  <r>
    <x v="1"/>
    <x v="368"/>
    <x v="0"/>
    <n v="0"/>
    <x v="2"/>
  </r>
  <r>
    <x v="1"/>
    <x v="368"/>
    <x v="1"/>
    <n v="0"/>
    <x v="2"/>
  </r>
  <r>
    <x v="1"/>
    <x v="368"/>
    <x v="2"/>
    <n v="0"/>
    <x v="2"/>
  </r>
  <r>
    <x v="1"/>
    <x v="368"/>
    <x v="3"/>
    <n v="0"/>
    <x v="2"/>
  </r>
  <r>
    <x v="1"/>
    <x v="368"/>
    <x v="4"/>
    <n v="0"/>
    <x v="2"/>
  </r>
  <r>
    <x v="1"/>
    <x v="368"/>
    <x v="5"/>
    <n v="810"/>
    <x v="2"/>
  </r>
  <r>
    <x v="1"/>
    <x v="368"/>
    <x v="6"/>
    <n v="0"/>
    <x v="2"/>
  </r>
  <r>
    <x v="1"/>
    <x v="368"/>
    <x v="7"/>
    <n v="0"/>
    <x v="2"/>
  </r>
  <r>
    <x v="1"/>
    <x v="368"/>
    <x v="8"/>
    <n v="0"/>
    <x v="2"/>
  </r>
  <r>
    <x v="1"/>
    <x v="368"/>
    <x v="9"/>
    <n v="0"/>
    <x v="2"/>
  </r>
  <r>
    <x v="1"/>
    <x v="368"/>
    <x v="10"/>
    <n v="0"/>
    <x v="2"/>
  </r>
  <r>
    <x v="1"/>
    <x v="368"/>
    <x v="11"/>
    <n v="754"/>
    <x v="2"/>
  </r>
  <r>
    <x v="1"/>
    <x v="369"/>
    <x v="0"/>
    <n v="0"/>
    <x v="2"/>
  </r>
  <r>
    <x v="1"/>
    <x v="369"/>
    <x v="1"/>
    <n v="0"/>
    <x v="2"/>
  </r>
  <r>
    <x v="1"/>
    <x v="369"/>
    <x v="2"/>
    <n v="0"/>
    <x v="2"/>
  </r>
  <r>
    <x v="1"/>
    <x v="369"/>
    <x v="3"/>
    <n v="0"/>
    <x v="2"/>
  </r>
  <r>
    <x v="1"/>
    <x v="369"/>
    <x v="4"/>
    <n v="0"/>
    <x v="2"/>
  </r>
  <r>
    <x v="1"/>
    <x v="369"/>
    <x v="5"/>
    <n v="1031"/>
    <x v="2"/>
  </r>
  <r>
    <x v="1"/>
    <x v="369"/>
    <x v="6"/>
    <n v="0"/>
    <x v="2"/>
  </r>
  <r>
    <x v="1"/>
    <x v="369"/>
    <x v="7"/>
    <n v="0"/>
    <x v="2"/>
  </r>
  <r>
    <x v="1"/>
    <x v="369"/>
    <x v="8"/>
    <n v="0"/>
    <x v="2"/>
  </r>
  <r>
    <x v="1"/>
    <x v="369"/>
    <x v="9"/>
    <n v="0"/>
    <x v="2"/>
  </r>
  <r>
    <x v="1"/>
    <x v="369"/>
    <x v="10"/>
    <n v="0"/>
    <x v="2"/>
  </r>
  <r>
    <x v="1"/>
    <x v="369"/>
    <x v="11"/>
    <n v="0"/>
    <x v="2"/>
  </r>
  <r>
    <x v="1"/>
    <x v="370"/>
    <x v="0"/>
    <n v="0"/>
    <x v="2"/>
  </r>
  <r>
    <x v="1"/>
    <x v="370"/>
    <x v="1"/>
    <n v="0"/>
    <x v="2"/>
  </r>
  <r>
    <x v="1"/>
    <x v="370"/>
    <x v="2"/>
    <n v="0"/>
    <x v="2"/>
  </r>
  <r>
    <x v="1"/>
    <x v="370"/>
    <x v="3"/>
    <n v="0"/>
    <x v="2"/>
  </r>
  <r>
    <x v="1"/>
    <x v="370"/>
    <x v="4"/>
    <n v="0"/>
    <x v="2"/>
  </r>
  <r>
    <x v="1"/>
    <x v="370"/>
    <x v="5"/>
    <n v="12123"/>
    <x v="2"/>
  </r>
  <r>
    <x v="1"/>
    <x v="370"/>
    <x v="6"/>
    <n v="0"/>
    <x v="2"/>
  </r>
  <r>
    <x v="1"/>
    <x v="370"/>
    <x v="7"/>
    <n v="0"/>
    <x v="2"/>
  </r>
  <r>
    <x v="1"/>
    <x v="370"/>
    <x v="8"/>
    <n v="0"/>
    <x v="2"/>
  </r>
  <r>
    <x v="1"/>
    <x v="370"/>
    <x v="9"/>
    <n v="0"/>
    <x v="2"/>
  </r>
  <r>
    <x v="1"/>
    <x v="370"/>
    <x v="10"/>
    <n v="0"/>
    <x v="2"/>
  </r>
  <r>
    <x v="1"/>
    <x v="370"/>
    <x v="11"/>
    <n v="0"/>
    <x v="2"/>
  </r>
  <r>
    <x v="4"/>
    <x v="371"/>
    <x v="0"/>
    <m/>
    <x v="2"/>
  </r>
  <r>
    <x v="4"/>
    <x v="371"/>
    <x v="1"/>
    <n v="483"/>
    <x v="2"/>
  </r>
  <r>
    <x v="4"/>
    <x v="371"/>
    <x v="2"/>
    <n v="0"/>
    <x v="2"/>
  </r>
  <r>
    <x v="4"/>
    <x v="371"/>
    <x v="3"/>
    <n v="0"/>
    <x v="2"/>
  </r>
  <r>
    <x v="4"/>
    <x v="371"/>
    <x v="4"/>
    <n v="0"/>
    <x v="2"/>
  </r>
  <r>
    <x v="4"/>
    <x v="371"/>
    <x v="5"/>
    <n v="0"/>
    <x v="2"/>
  </r>
  <r>
    <x v="4"/>
    <x v="371"/>
    <x v="6"/>
    <n v="0"/>
    <x v="2"/>
  </r>
  <r>
    <x v="4"/>
    <x v="371"/>
    <x v="7"/>
    <n v="0"/>
    <x v="2"/>
  </r>
  <r>
    <x v="4"/>
    <x v="371"/>
    <x v="8"/>
    <n v="0"/>
    <x v="2"/>
  </r>
  <r>
    <x v="4"/>
    <x v="371"/>
    <x v="9"/>
    <n v="0"/>
    <x v="2"/>
  </r>
  <r>
    <x v="4"/>
    <x v="371"/>
    <x v="10"/>
    <n v="0"/>
    <x v="2"/>
  </r>
  <r>
    <x v="4"/>
    <x v="371"/>
    <x v="11"/>
    <n v="0"/>
    <x v="2"/>
  </r>
  <r>
    <x v="4"/>
    <x v="372"/>
    <x v="0"/>
    <n v="0"/>
    <x v="2"/>
  </r>
  <r>
    <x v="4"/>
    <x v="372"/>
    <x v="1"/>
    <n v="3089"/>
    <x v="2"/>
  </r>
  <r>
    <x v="4"/>
    <x v="372"/>
    <x v="2"/>
    <n v="0"/>
    <x v="2"/>
  </r>
  <r>
    <x v="4"/>
    <x v="372"/>
    <x v="3"/>
    <n v="0"/>
    <x v="2"/>
  </r>
  <r>
    <x v="4"/>
    <x v="372"/>
    <x v="4"/>
    <n v="0"/>
    <x v="2"/>
  </r>
  <r>
    <x v="4"/>
    <x v="372"/>
    <x v="5"/>
    <n v="0"/>
    <x v="2"/>
  </r>
  <r>
    <x v="4"/>
    <x v="372"/>
    <x v="6"/>
    <n v="0"/>
    <x v="2"/>
  </r>
  <r>
    <x v="4"/>
    <x v="372"/>
    <x v="7"/>
    <n v="0"/>
    <x v="2"/>
  </r>
  <r>
    <x v="4"/>
    <x v="372"/>
    <x v="8"/>
    <n v="0"/>
    <x v="2"/>
  </r>
  <r>
    <x v="4"/>
    <x v="372"/>
    <x v="9"/>
    <n v="0"/>
    <x v="2"/>
  </r>
  <r>
    <x v="4"/>
    <x v="372"/>
    <x v="10"/>
    <n v="0"/>
    <x v="2"/>
  </r>
  <r>
    <x v="4"/>
    <x v="372"/>
    <x v="11"/>
    <n v="0"/>
    <x v="2"/>
  </r>
  <r>
    <x v="4"/>
    <x v="373"/>
    <x v="0"/>
    <n v="0"/>
    <x v="2"/>
  </r>
  <r>
    <x v="4"/>
    <x v="373"/>
    <x v="1"/>
    <n v="727"/>
    <x v="2"/>
  </r>
  <r>
    <x v="4"/>
    <x v="373"/>
    <x v="2"/>
    <n v="0"/>
    <x v="2"/>
  </r>
  <r>
    <x v="4"/>
    <x v="373"/>
    <x v="3"/>
    <n v="0"/>
    <x v="2"/>
  </r>
  <r>
    <x v="4"/>
    <x v="373"/>
    <x v="4"/>
    <n v="0"/>
    <x v="2"/>
  </r>
  <r>
    <x v="4"/>
    <x v="373"/>
    <x v="5"/>
    <n v="0"/>
    <x v="2"/>
  </r>
  <r>
    <x v="4"/>
    <x v="373"/>
    <x v="6"/>
    <n v="0"/>
    <x v="2"/>
  </r>
  <r>
    <x v="4"/>
    <x v="373"/>
    <x v="7"/>
    <n v="0"/>
    <x v="2"/>
  </r>
  <r>
    <x v="4"/>
    <x v="373"/>
    <x v="8"/>
    <n v="0"/>
    <x v="2"/>
  </r>
  <r>
    <x v="4"/>
    <x v="373"/>
    <x v="9"/>
    <n v="0"/>
    <x v="2"/>
  </r>
  <r>
    <x v="4"/>
    <x v="373"/>
    <x v="10"/>
    <n v="0"/>
    <x v="2"/>
  </r>
  <r>
    <x v="4"/>
    <x v="373"/>
    <x v="11"/>
    <n v="0"/>
    <x v="2"/>
  </r>
  <r>
    <x v="4"/>
    <x v="374"/>
    <x v="0"/>
    <n v="0"/>
    <x v="2"/>
  </r>
  <r>
    <x v="4"/>
    <x v="374"/>
    <x v="1"/>
    <n v="0"/>
    <x v="2"/>
  </r>
  <r>
    <x v="4"/>
    <x v="374"/>
    <x v="2"/>
    <n v="0"/>
    <x v="2"/>
  </r>
  <r>
    <x v="4"/>
    <x v="374"/>
    <x v="3"/>
    <n v="1058"/>
    <x v="2"/>
  </r>
  <r>
    <x v="4"/>
    <x v="374"/>
    <x v="4"/>
    <n v="438"/>
    <x v="2"/>
  </r>
  <r>
    <x v="4"/>
    <x v="374"/>
    <x v="5"/>
    <n v="0"/>
    <x v="2"/>
  </r>
  <r>
    <x v="4"/>
    <x v="374"/>
    <x v="6"/>
    <n v="0"/>
    <x v="2"/>
  </r>
  <r>
    <x v="4"/>
    <x v="374"/>
    <x v="7"/>
    <n v="0"/>
    <x v="2"/>
  </r>
  <r>
    <x v="4"/>
    <x v="374"/>
    <x v="8"/>
    <n v="0"/>
    <x v="2"/>
  </r>
  <r>
    <x v="4"/>
    <x v="374"/>
    <x v="9"/>
    <n v="0"/>
    <x v="2"/>
  </r>
  <r>
    <x v="4"/>
    <x v="374"/>
    <x v="10"/>
    <n v="0"/>
    <x v="2"/>
  </r>
  <r>
    <x v="4"/>
    <x v="374"/>
    <x v="11"/>
    <n v="0"/>
    <x v="2"/>
  </r>
  <r>
    <x v="4"/>
    <x v="375"/>
    <x v="0"/>
    <n v="0"/>
    <x v="2"/>
  </r>
  <r>
    <x v="4"/>
    <x v="375"/>
    <x v="1"/>
    <n v="0"/>
    <x v="2"/>
  </r>
  <r>
    <x v="4"/>
    <x v="375"/>
    <x v="2"/>
    <n v="0"/>
    <x v="2"/>
  </r>
  <r>
    <x v="4"/>
    <x v="375"/>
    <x v="3"/>
    <n v="2271"/>
    <x v="2"/>
  </r>
  <r>
    <x v="4"/>
    <x v="375"/>
    <x v="4"/>
    <n v="0"/>
    <x v="2"/>
  </r>
  <r>
    <x v="4"/>
    <x v="375"/>
    <x v="5"/>
    <n v="0"/>
    <x v="2"/>
  </r>
  <r>
    <x v="4"/>
    <x v="375"/>
    <x v="6"/>
    <n v="0"/>
    <x v="2"/>
  </r>
  <r>
    <x v="4"/>
    <x v="375"/>
    <x v="7"/>
    <n v="0"/>
    <x v="2"/>
  </r>
  <r>
    <x v="4"/>
    <x v="375"/>
    <x v="8"/>
    <n v="0"/>
    <x v="2"/>
  </r>
  <r>
    <x v="4"/>
    <x v="375"/>
    <x v="9"/>
    <n v="0"/>
    <x v="2"/>
  </r>
  <r>
    <x v="4"/>
    <x v="375"/>
    <x v="10"/>
    <n v="0"/>
    <x v="2"/>
  </r>
  <r>
    <x v="4"/>
    <x v="375"/>
    <x v="11"/>
    <n v="0"/>
    <x v="2"/>
  </r>
  <r>
    <x v="4"/>
    <x v="376"/>
    <x v="0"/>
    <n v="0"/>
    <x v="2"/>
  </r>
  <r>
    <x v="4"/>
    <x v="376"/>
    <x v="1"/>
    <n v="0"/>
    <x v="2"/>
  </r>
  <r>
    <x v="4"/>
    <x v="376"/>
    <x v="2"/>
    <n v="0"/>
    <x v="2"/>
  </r>
  <r>
    <x v="4"/>
    <x v="376"/>
    <x v="3"/>
    <n v="0"/>
    <x v="2"/>
  </r>
  <r>
    <x v="4"/>
    <x v="376"/>
    <x v="4"/>
    <n v="850"/>
    <x v="2"/>
  </r>
  <r>
    <x v="4"/>
    <x v="376"/>
    <x v="5"/>
    <n v="0"/>
    <x v="2"/>
  </r>
  <r>
    <x v="4"/>
    <x v="376"/>
    <x v="6"/>
    <n v="0"/>
    <x v="2"/>
  </r>
  <r>
    <x v="4"/>
    <x v="376"/>
    <x v="7"/>
    <n v="0"/>
    <x v="2"/>
  </r>
  <r>
    <x v="4"/>
    <x v="376"/>
    <x v="8"/>
    <n v="0"/>
    <x v="2"/>
  </r>
  <r>
    <x v="4"/>
    <x v="376"/>
    <x v="9"/>
    <n v="0"/>
    <x v="2"/>
  </r>
  <r>
    <x v="4"/>
    <x v="376"/>
    <x v="10"/>
    <n v="0"/>
    <x v="2"/>
  </r>
  <r>
    <x v="4"/>
    <x v="376"/>
    <x v="11"/>
    <n v="0"/>
    <x v="2"/>
  </r>
  <r>
    <x v="4"/>
    <x v="377"/>
    <x v="0"/>
    <n v="0"/>
    <x v="2"/>
  </r>
  <r>
    <x v="4"/>
    <x v="377"/>
    <x v="1"/>
    <n v="0"/>
    <x v="2"/>
  </r>
  <r>
    <x v="4"/>
    <x v="377"/>
    <x v="2"/>
    <n v="0"/>
    <x v="2"/>
  </r>
  <r>
    <x v="4"/>
    <x v="377"/>
    <x v="3"/>
    <n v="0"/>
    <x v="2"/>
  </r>
  <r>
    <x v="4"/>
    <x v="377"/>
    <x v="4"/>
    <n v="1894"/>
    <x v="2"/>
  </r>
  <r>
    <x v="4"/>
    <x v="377"/>
    <x v="5"/>
    <n v="0"/>
    <x v="2"/>
  </r>
  <r>
    <x v="4"/>
    <x v="377"/>
    <x v="6"/>
    <n v="0"/>
    <x v="2"/>
  </r>
  <r>
    <x v="4"/>
    <x v="377"/>
    <x v="7"/>
    <n v="0"/>
    <x v="2"/>
  </r>
  <r>
    <x v="4"/>
    <x v="377"/>
    <x v="8"/>
    <n v="0"/>
    <x v="2"/>
  </r>
  <r>
    <x v="4"/>
    <x v="377"/>
    <x v="9"/>
    <n v="0"/>
    <x v="2"/>
  </r>
  <r>
    <x v="4"/>
    <x v="377"/>
    <x v="10"/>
    <n v="0"/>
    <x v="2"/>
  </r>
  <r>
    <x v="4"/>
    <x v="377"/>
    <x v="11"/>
    <n v="0"/>
    <x v="2"/>
  </r>
  <r>
    <x v="4"/>
    <x v="378"/>
    <x v="0"/>
    <n v="0"/>
    <x v="2"/>
  </r>
  <r>
    <x v="4"/>
    <x v="378"/>
    <x v="1"/>
    <n v="0"/>
    <x v="2"/>
  </r>
  <r>
    <x v="4"/>
    <x v="378"/>
    <x v="2"/>
    <n v="0"/>
    <x v="2"/>
  </r>
  <r>
    <x v="4"/>
    <x v="378"/>
    <x v="3"/>
    <n v="0"/>
    <x v="2"/>
  </r>
  <r>
    <x v="4"/>
    <x v="378"/>
    <x v="4"/>
    <n v="0"/>
    <x v="2"/>
  </r>
  <r>
    <x v="4"/>
    <x v="378"/>
    <x v="5"/>
    <n v="0"/>
    <x v="2"/>
  </r>
  <r>
    <x v="4"/>
    <x v="378"/>
    <x v="6"/>
    <n v="0"/>
    <x v="2"/>
  </r>
  <r>
    <x v="4"/>
    <x v="378"/>
    <x v="7"/>
    <n v="0"/>
    <x v="2"/>
  </r>
  <r>
    <x v="4"/>
    <x v="378"/>
    <x v="8"/>
    <n v="0"/>
    <x v="2"/>
  </r>
  <r>
    <x v="4"/>
    <x v="378"/>
    <x v="9"/>
    <n v="0"/>
    <x v="2"/>
  </r>
  <r>
    <x v="4"/>
    <x v="378"/>
    <x v="10"/>
    <n v="0"/>
    <x v="2"/>
  </r>
  <r>
    <x v="4"/>
    <x v="378"/>
    <x v="11"/>
    <n v="0"/>
    <x v="2"/>
  </r>
  <r>
    <x v="4"/>
    <x v="379"/>
    <x v="0"/>
    <n v="0"/>
    <x v="2"/>
  </r>
  <r>
    <x v="4"/>
    <x v="379"/>
    <x v="1"/>
    <n v="0"/>
    <x v="2"/>
  </r>
  <r>
    <x v="4"/>
    <x v="379"/>
    <x v="2"/>
    <n v="0"/>
    <x v="2"/>
  </r>
  <r>
    <x v="4"/>
    <x v="379"/>
    <x v="3"/>
    <n v="0"/>
    <x v="2"/>
  </r>
  <r>
    <x v="4"/>
    <x v="379"/>
    <x v="4"/>
    <n v="0"/>
    <x v="2"/>
  </r>
  <r>
    <x v="4"/>
    <x v="379"/>
    <x v="5"/>
    <n v="737"/>
    <x v="2"/>
  </r>
  <r>
    <x v="4"/>
    <x v="379"/>
    <x v="6"/>
    <n v="0"/>
    <x v="2"/>
  </r>
  <r>
    <x v="4"/>
    <x v="379"/>
    <x v="7"/>
    <n v="0"/>
    <x v="2"/>
  </r>
  <r>
    <x v="4"/>
    <x v="379"/>
    <x v="8"/>
    <n v="0"/>
    <x v="2"/>
  </r>
  <r>
    <x v="4"/>
    <x v="379"/>
    <x v="9"/>
    <n v="0"/>
    <x v="2"/>
  </r>
  <r>
    <x v="4"/>
    <x v="379"/>
    <x v="10"/>
    <n v="0"/>
    <x v="2"/>
  </r>
  <r>
    <x v="4"/>
    <x v="379"/>
    <x v="11"/>
    <n v="0"/>
    <x v="2"/>
  </r>
  <r>
    <x v="4"/>
    <x v="380"/>
    <x v="0"/>
    <n v="0"/>
    <x v="2"/>
  </r>
  <r>
    <x v="4"/>
    <x v="380"/>
    <x v="1"/>
    <n v="0"/>
    <x v="2"/>
  </r>
  <r>
    <x v="4"/>
    <x v="380"/>
    <x v="2"/>
    <n v="0"/>
    <x v="2"/>
  </r>
  <r>
    <x v="4"/>
    <x v="380"/>
    <x v="3"/>
    <n v="0"/>
    <x v="2"/>
  </r>
  <r>
    <x v="4"/>
    <x v="380"/>
    <x v="4"/>
    <n v="0"/>
    <x v="2"/>
  </r>
  <r>
    <x v="4"/>
    <x v="380"/>
    <x v="5"/>
    <n v="15147"/>
    <x v="2"/>
  </r>
  <r>
    <x v="4"/>
    <x v="380"/>
    <x v="6"/>
    <n v="0"/>
    <x v="2"/>
  </r>
  <r>
    <x v="4"/>
    <x v="380"/>
    <x v="7"/>
    <n v="0"/>
    <x v="2"/>
  </r>
  <r>
    <x v="4"/>
    <x v="380"/>
    <x v="8"/>
    <n v="0"/>
    <x v="2"/>
  </r>
  <r>
    <x v="4"/>
    <x v="380"/>
    <x v="9"/>
    <n v="0"/>
    <x v="2"/>
  </r>
  <r>
    <x v="4"/>
    <x v="380"/>
    <x v="10"/>
    <n v="0"/>
    <x v="2"/>
  </r>
  <r>
    <x v="4"/>
    <x v="380"/>
    <x v="11"/>
    <n v="0"/>
    <x v="2"/>
  </r>
  <r>
    <x v="4"/>
    <x v="381"/>
    <x v="0"/>
    <n v="0"/>
    <x v="2"/>
  </r>
  <r>
    <x v="4"/>
    <x v="381"/>
    <x v="1"/>
    <n v="0"/>
    <x v="2"/>
  </r>
  <r>
    <x v="4"/>
    <x v="381"/>
    <x v="2"/>
    <n v="0"/>
    <x v="2"/>
  </r>
  <r>
    <x v="4"/>
    <x v="381"/>
    <x v="3"/>
    <n v="0"/>
    <x v="2"/>
  </r>
  <r>
    <x v="4"/>
    <x v="381"/>
    <x v="4"/>
    <n v="0"/>
    <x v="2"/>
  </r>
  <r>
    <x v="4"/>
    <x v="381"/>
    <x v="5"/>
    <n v="4639"/>
    <x v="2"/>
  </r>
  <r>
    <x v="4"/>
    <x v="381"/>
    <x v="6"/>
    <n v="0"/>
    <x v="2"/>
  </r>
  <r>
    <x v="4"/>
    <x v="381"/>
    <x v="7"/>
    <n v="994"/>
    <x v="2"/>
  </r>
  <r>
    <x v="4"/>
    <x v="381"/>
    <x v="8"/>
    <n v="0"/>
    <x v="2"/>
  </r>
  <r>
    <x v="4"/>
    <x v="381"/>
    <x v="9"/>
    <n v="0"/>
    <x v="2"/>
  </r>
  <r>
    <x v="4"/>
    <x v="381"/>
    <x v="10"/>
    <n v="0"/>
    <x v="2"/>
  </r>
  <r>
    <x v="4"/>
    <x v="381"/>
    <x v="11"/>
    <n v="0"/>
    <x v="2"/>
  </r>
  <r>
    <x v="4"/>
    <x v="382"/>
    <x v="0"/>
    <n v="0"/>
    <x v="2"/>
  </r>
  <r>
    <x v="4"/>
    <x v="382"/>
    <x v="1"/>
    <n v="0"/>
    <x v="2"/>
  </r>
  <r>
    <x v="4"/>
    <x v="382"/>
    <x v="2"/>
    <n v="0"/>
    <x v="2"/>
  </r>
  <r>
    <x v="4"/>
    <x v="382"/>
    <x v="3"/>
    <n v="0"/>
    <x v="2"/>
  </r>
  <r>
    <x v="4"/>
    <x v="382"/>
    <x v="4"/>
    <n v="0"/>
    <x v="2"/>
  </r>
  <r>
    <x v="4"/>
    <x v="382"/>
    <x v="5"/>
    <n v="2379"/>
    <x v="2"/>
  </r>
  <r>
    <x v="4"/>
    <x v="382"/>
    <x v="6"/>
    <n v="0"/>
    <x v="2"/>
  </r>
  <r>
    <x v="4"/>
    <x v="382"/>
    <x v="7"/>
    <n v="0"/>
    <x v="2"/>
  </r>
  <r>
    <x v="4"/>
    <x v="382"/>
    <x v="8"/>
    <n v="3378"/>
    <x v="2"/>
  </r>
  <r>
    <x v="4"/>
    <x v="382"/>
    <x v="9"/>
    <n v="4377"/>
    <x v="2"/>
  </r>
  <r>
    <x v="4"/>
    <x v="382"/>
    <x v="10"/>
    <n v="0"/>
    <x v="2"/>
  </r>
  <r>
    <x v="4"/>
    <x v="382"/>
    <x v="11"/>
    <n v="6000"/>
    <x v="2"/>
  </r>
  <r>
    <x v="4"/>
    <x v="383"/>
    <x v="0"/>
    <n v="380"/>
    <x v="2"/>
  </r>
  <r>
    <x v="4"/>
    <x v="383"/>
    <x v="1"/>
    <n v="0"/>
    <x v="2"/>
  </r>
  <r>
    <x v="4"/>
    <x v="383"/>
    <x v="2"/>
    <n v="0"/>
    <x v="2"/>
  </r>
  <r>
    <x v="4"/>
    <x v="383"/>
    <x v="3"/>
    <n v="0"/>
    <x v="2"/>
  </r>
  <r>
    <x v="4"/>
    <x v="383"/>
    <x v="4"/>
    <n v="0"/>
    <x v="2"/>
  </r>
  <r>
    <x v="4"/>
    <x v="383"/>
    <x v="5"/>
    <n v="0"/>
    <x v="2"/>
  </r>
  <r>
    <x v="4"/>
    <x v="383"/>
    <x v="6"/>
    <n v="0"/>
    <x v="2"/>
  </r>
  <r>
    <x v="4"/>
    <x v="383"/>
    <x v="7"/>
    <n v="0"/>
    <x v="2"/>
  </r>
  <r>
    <x v="4"/>
    <x v="383"/>
    <x v="8"/>
    <n v="0"/>
    <x v="2"/>
  </r>
  <r>
    <x v="4"/>
    <x v="383"/>
    <x v="9"/>
    <n v="0"/>
    <x v="2"/>
  </r>
  <r>
    <x v="4"/>
    <x v="383"/>
    <x v="10"/>
    <n v="0"/>
    <x v="2"/>
  </r>
  <r>
    <x v="4"/>
    <x v="383"/>
    <x v="11"/>
    <n v="0"/>
    <x v="2"/>
  </r>
  <r>
    <x v="4"/>
    <x v="384"/>
    <x v="0"/>
    <n v="532"/>
    <x v="2"/>
  </r>
  <r>
    <x v="4"/>
    <x v="384"/>
    <x v="1"/>
    <n v="0"/>
    <x v="2"/>
  </r>
  <r>
    <x v="4"/>
    <x v="384"/>
    <x v="2"/>
    <n v="0"/>
    <x v="2"/>
  </r>
  <r>
    <x v="4"/>
    <x v="384"/>
    <x v="3"/>
    <n v="0"/>
    <x v="2"/>
  </r>
  <r>
    <x v="4"/>
    <x v="384"/>
    <x v="4"/>
    <n v="0"/>
    <x v="2"/>
  </r>
  <r>
    <x v="4"/>
    <x v="384"/>
    <x v="5"/>
    <n v="0"/>
    <x v="2"/>
  </r>
  <r>
    <x v="4"/>
    <x v="384"/>
    <x v="6"/>
    <n v="0"/>
    <x v="2"/>
  </r>
  <r>
    <x v="4"/>
    <x v="384"/>
    <x v="7"/>
    <n v="0"/>
    <x v="2"/>
  </r>
  <r>
    <x v="4"/>
    <x v="384"/>
    <x v="8"/>
    <n v="0"/>
    <x v="2"/>
  </r>
  <r>
    <x v="4"/>
    <x v="384"/>
    <x v="9"/>
    <n v="0"/>
    <x v="2"/>
  </r>
  <r>
    <x v="4"/>
    <x v="384"/>
    <x v="10"/>
    <n v="0"/>
    <x v="2"/>
  </r>
  <r>
    <x v="4"/>
    <x v="384"/>
    <x v="11"/>
    <n v="0"/>
    <x v="2"/>
  </r>
  <r>
    <x v="4"/>
    <x v="385"/>
    <x v="0"/>
    <n v="625"/>
    <x v="2"/>
  </r>
  <r>
    <x v="4"/>
    <x v="385"/>
    <x v="1"/>
    <n v="0"/>
    <x v="2"/>
  </r>
  <r>
    <x v="4"/>
    <x v="385"/>
    <x v="2"/>
    <n v="0"/>
    <x v="2"/>
  </r>
  <r>
    <x v="4"/>
    <x v="385"/>
    <x v="3"/>
    <n v="0"/>
    <x v="2"/>
  </r>
  <r>
    <x v="4"/>
    <x v="385"/>
    <x v="4"/>
    <n v="0"/>
    <x v="2"/>
  </r>
  <r>
    <x v="4"/>
    <x v="385"/>
    <x v="5"/>
    <n v="0"/>
    <x v="2"/>
  </r>
  <r>
    <x v="4"/>
    <x v="385"/>
    <x v="6"/>
    <n v="0"/>
    <x v="2"/>
  </r>
  <r>
    <x v="4"/>
    <x v="385"/>
    <x v="7"/>
    <n v="0"/>
    <x v="2"/>
  </r>
  <r>
    <x v="4"/>
    <x v="385"/>
    <x v="8"/>
    <n v="0"/>
    <x v="2"/>
  </r>
  <r>
    <x v="4"/>
    <x v="385"/>
    <x v="9"/>
    <n v="0"/>
    <x v="2"/>
  </r>
  <r>
    <x v="4"/>
    <x v="385"/>
    <x v="10"/>
    <n v="0"/>
    <x v="2"/>
  </r>
  <r>
    <x v="4"/>
    <x v="385"/>
    <x v="11"/>
    <n v="0"/>
    <x v="2"/>
  </r>
  <r>
    <x v="4"/>
    <x v="386"/>
    <x v="0"/>
    <n v="0"/>
    <x v="2"/>
  </r>
  <r>
    <x v="4"/>
    <x v="386"/>
    <x v="1"/>
    <n v="1450"/>
    <x v="2"/>
  </r>
  <r>
    <x v="4"/>
    <x v="386"/>
    <x v="2"/>
    <n v="399"/>
    <x v="2"/>
  </r>
  <r>
    <x v="4"/>
    <x v="386"/>
    <x v="3"/>
    <n v="0"/>
    <x v="2"/>
  </r>
  <r>
    <x v="4"/>
    <x v="386"/>
    <x v="4"/>
    <n v="0"/>
    <x v="2"/>
  </r>
  <r>
    <x v="4"/>
    <x v="386"/>
    <x v="5"/>
    <n v="0"/>
    <x v="2"/>
  </r>
  <r>
    <x v="4"/>
    <x v="386"/>
    <x v="6"/>
    <n v="0"/>
    <x v="2"/>
  </r>
  <r>
    <x v="4"/>
    <x v="386"/>
    <x v="7"/>
    <n v="0"/>
    <x v="2"/>
  </r>
  <r>
    <x v="4"/>
    <x v="386"/>
    <x v="8"/>
    <n v="0"/>
    <x v="2"/>
  </r>
  <r>
    <x v="4"/>
    <x v="386"/>
    <x v="9"/>
    <n v="0"/>
    <x v="2"/>
  </r>
  <r>
    <x v="4"/>
    <x v="386"/>
    <x v="10"/>
    <n v="0"/>
    <x v="2"/>
  </r>
  <r>
    <x v="4"/>
    <x v="386"/>
    <x v="11"/>
    <n v="0"/>
    <x v="2"/>
  </r>
  <r>
    <x v="4"/>
    <x v="387"/>
    <x v="0"/>
    <n v="0"/>
    <x v="2"/>
  </r>
  <r>
    <x v="4"/>
    <x v="387"/>
    <x v="1"/>
    <n v="0"/>
    <x v="2"/>
  </r>
  <r>
    <x v="4"/>
    <x v="387"/>
    <x v="2"/>
    <n v="300"/>
    <x v="2"/>
  </r>
  <r>
    <x v="4"/>
    <x v="387"/>
    <x v="3"/>
    <n v="0"/>
    <x v="2"/>
  </r>
  <r>
    <x v="4"/>
    <x v="387"/>
    <x v="4"/>
    <n v="0"/>
    <x v="2"/>
  </r>
  <r>
    <x v="4"/>
    <x v="387"/>
    <x v="5"/>
    <n v="0"/>
    <x v="2"/>
  </r>
  <r>
    <x v="4"/>
    <x v="387"/>
    <x v="6"/>
    <n v="0"/>
    <x v="2"/>
  </r>
  <r>
    <x v="4"/>
    <x v="387"/>
    <x v="7"/>
    <n v="0"/>
    <x v="2"/>
  </r>
  <r>
    <x v="4"/>
    <x v="387"/>
    <x v="8"/>
    <n v="0"/>
    <x v="2"/>
  </r>
  <r>
    <x v="4"/>
    <x v="387"/>
    <x v="9"/>
    <n v="0"/>
    <x v="2"/>
  </r>
  <r>
    <x v="4"/>
    <x v="387"/>
    <x v="10"/>
    <n v="0"/>
    <x v="2"/>
  </r>
  <r>
    <x v="4"/>
    <x v="387"/>
    <x v="11"/>
    <n v="0"/>
    <x v="2"/>
  </r>
  <r>
    <x v="4"/>
    <x v="374"/>
    <x v="0"/>
    <n v="0"/>
    <x v="2"/>
  </r>
  <r>
    <x v="4"/>
    <x v="374"/>
    <x v="1"/>
    <n v="0"/>
    <x v="2"/>
  </r>
  <r>
    <x v="4"/>
    <x v="374"/>
    <x v="2"/>
    <n v="0"/>
    <x v="2"/>
  </r>
  <r>
    <x v="4"/>
    <x v="374"/>
    <x v="3"/>
    <n v="1557"/>
    <x v="2"/>
  </r>
  <r>
    <x v="4"/>
    <x v="374"/>
    <x v="4"/>
    <n v="0"/>
    <x v="2"/>
  </r>
  <r>
    <x v="4"/>
    <x v="374"/>
    <x v="5"/>
    <n v="0"/>
    <x v="2"/>
  </r>
  <r>
    <x v="4"/>
    <x v="374"/>
    <x v="6"/>
    <n v="0"/>
    <x v="2"/>
  </r>
  <r>
    <x v="4"/>
    <x v="374"/>
    <x v="7"/>
    <n v="0"/>
    <x v="2"/>
  </r>
  <r>
    <x v="4"/>
    <x v="374"/>
    <x v="8"/>
    <n v="0"/>
    <x v="2"/>
  </r>
  <r>
    <x v="4"/>
    <x v="374"/>
    <x v="9"/>
    <n v="0"/>
    <x v="2"/>
  </r>
  <r>
    <x v="4"/>
    <x v="374"/>
    <x v="10"/>
    <n v="0"/>
    <x v="2"/>
  </r>
  <r>
    <x v="4"/>
    <x v="374"/>
    <x v="11"/>
    <n v="0"/>
    <x v="2"/>
  </r>
  <r>
    <x v="4"/>
    <x v="376"/>
    <x v="0"/>
    <n v="0"/>
    <x v="2"/>
  </r>
  <r>
    <x v="4"/>
    <x v="376"/>
    <x v="1"/>
    <n v="0"/>
    <x v="2"/>
  </r>
  <r>
    <x v="4"/>
    <x v="376"/>
    <x v="2"/>
    <n v="0"/>
    <x v="2"/>
  </r>
  <r>
    <x v="4"/>
    <x v="376"/>
    <x v="3"/>
    <n v="0"/>
    <x v="2"/>
  </r>
  <r>
    <x v="4"/>
    <x v="376"/>
    <x v="4"/>
    <n v="340"/>
    <x v="2"/>
  </r>
  <r>
    <x v="4"/>
    <x v="376"/>
    <x v="5"/>
    <n v="0"/>
    <x v="2"/>
  </r>
  <r>
    <x v="4"/>
    <x v="376"/>
    <x v="6"/>
    <n v="0"/>
    <x v="2"/>
  </r>
  <r>
    <x v="4"/>
    <x v="376"/>
    <x v="7"/>
    <n v="0"/>
    <x v="2"/>
  </r>
  <r>
    <x v="4"/>
    <x v="376"/>
    <x v="8"/>
    <n v="0"/>
    <x v="2"/>
  </r>
  <r>
    <x v="4"/>
    <x v="376"/>
    <x v="9"/>
    <n v="0"/>
    <x v="2"/>
  </r>
  <r>
    <x v="4"/>
    <x v="376"/>
    <x v="10"/>
    <n v="0"/>
    <x v="2"/>
  </r>
  <r>
    <x v="4"/>
    <x v="376"/>
    <x v="11"/>
    <n v="0"/>
    <x v="2"/>
  </r>
  <r>
    <x v="4"/>
    <x v="388"/>
    <x v="0"/>
    <n v="0"/>
    <x v="2"/>
  </r>
  <r>
    <x v="4"/>
    <x v="388"/>
    <x v="1"/>
    <n v="0"/>
    <x v="2"/>
  </r>
  <r>
    <x v="4"/>
    <x v="388"/>
    <x v="2"/>
    <n v="0"/>
    <x v="2"/>
  </r>
  <r>
    <x v="4"/>
    <x v="388"/>
    <x v="3"/>
    <n v="0"/>
    <x v="2"/>
  </r>
  <r>
    <x v="4"/>
    <x v="388"/>
    <x v="4"/>
    <n v="428"/>
    <x v="2"/>
  </r>
  <r>
    <x v="4"/>
    <x v="388"/>
    <x v="5"/>
    <n v="0"/>
    <x v="2"/>
  </r>
  <r>
    <x v="4"/>
    <x v="388"/>
    <x v="6"/>
    <n v="0"/>
    <x v="2"/>
  </r>
  <r>
    <x v="4"/>
    <x v="388"/>
    <x v="7"/>
    <n v="0"/>
    <x v="2"/>
  </r>
  <r>
    <x v="4"/>
    <x v="388"/>
    <x v="8"/>
    <n v="0"/>
    <x v="2"/>
  </r>
  <r>
    <x v="4"/>
    <x v="388"/>
    <x v="9"/>
    <n v="0"/>
    <x v="2"/>
  </r>
  <r>
    <x v="4"/>
    <x v="388"/>
    <x v="10"/>
    <n v="0"/>
    <x v="2"/>
  </r>
  <r>
    <x v="4"/>
    <x v="388"/>
    <x v="11"/>
    <n v="0"/>
    <x v="2"/>
  </r>
  <r>
    <x v="4"/>
    <x v="379"/>
    <x v="0"/>
    <n v="0"/>
    <x v="2"/>
  </r>
  <r>
    <x v="4"/>
    <x v="379"/>
    <x v="1"/>
    <n v="0"/>
    <x v="2"/>
  </r>
  <r>
    <x v="4"/>
    <x v="379"/>
    <x v="2"/>
    <n v="0"/>
    <x v="2"/>
  </r>
  <r>
    <x v="4"/>
    <x v="379"/>
    <x v="3"/>
    <n v="0"/>
    <x v="2"/>
  </r>
  <r>
    <x v="4"/>
    <x v="379"/>
    <x v="4"/>
    <n v="0"/>
    <x v="2"/>
  </r>
  <r>
    <x v="4"/>
    <x v="379"/>
    <x v="5"/>
    <n v="553"/>
    <x v="2"/>
  </r>
  <r>
    <x v="4"/>
    <x v="379"/>
    <x v="6"/>
    <n v="1141"/>
    <x v="2"/>
  </r>
  <r>
    <x v="4"/>
    <x v="379"/>
    <x v="7"/>
    <n v="0"/>
    <x v="2"/>
  </r>
  <r>
    <x v="4"/>
    <x v="379"/>
    <x v="8"/>
    <n v="0"/>
    <x v="2"/>
  </r>
  <r>
    <x v="4"/>
    <x v="379"/>
    <x v="9"/>
    <n v="0"/>
    <x v="2"/>
  </r>
  <r>
    <x v="4"/>
    <x v="379"/>
    <x v="10"/>
    <n v="0"/>
    <x v="2"/>
  </r>
  <r>
    <x v="4"/>
    <x v="379"/>
    <x v="11"/>
    <n v="0"/>
    <x v="2"/>
  </r>
  <r>
    <x v="4"/>
    <x v="380"/>
    <x v="0"/>
    <n v="0"/>
    <x v="2"/>
  </r>
  <r>
    <x v="4"/>
    <x v="380"/>
    <x v="1"/>
    <n v="0"/>
    <x v="2"/>
  </r>
  <r>
    <x v="4"/>
    <x v="380"/>
    <x v="2"/>
    <n v="0"/>
    <x v="2"/>
  </r>
  <r>
    <x v="4"/>
    <x v="380"/>
    <x v="3"/>
    <n v="0"/>
    <x v="2"/>
  </r>
  <r>
    <x v="4"/>
    <x v="380"/>
    <x v="4"/>
    <n v="0"/>
    <x v="2"/>
  </r>
  <r>
    <x v="4"/>
    <x v="380"/>
    <x v="5"/>
    <n v="3002"/>
    <x v="2"/>
  </r>
  <r>
    <x v="4"/>
    <x v="380"/>
    <x v="6"/>
    <n v="0"/>
    <x v="2"/>
  </r>
  <r>
    <x v="4"/>
    <x v="380"/>
    <x v="7"/>
    <n v="0"/>
    <x v="2"/>
  </r>
  <r>
    <x v="4"/>
    <x v="380"/>
    <x v="8"/>
    <n v="0"/>
    <x v="2"/>
  </r>
  <r>
    <x v="4"/>
    <x v="380"/>
    <x v="9"/>
    <n v="0"/>
    <x v="2"/>
  </r>
  <r>
    <x v="4"/>
    <x v="380"/>
    <x v="10"/>
    <n v="0"/>
    <x v="2"/>
  </r>
  <r>
    <x v="4"/>
    <x v="380"/>
    <x v="11"/>
    <n v="0"/>
    <x v="2"/>
  </r>
  <r>
    <x v="4"/>
    <x v="381"/>
    <x v="0"/>
    <n v="0"/>
    <x v="2"/>
  </r>
  <r>
    <x v="4"/>
    <x v="381"/>
    <x v="1"/>
    <n v="0"/>
    <x v="2"/>
  </r>
  <r>
    <x v="4"/>
    <x v="381"/>
    <x v="2"/>
    <n v="0"/>
    <x v="2"/>
  </r>
  <r>
    <x v="4"/>
    <x v="381"/>
    <x v="3"/>
    <n v="0"/>
    <x v="2"/>
  </r>
  <r>
    <x v="4"/>
    <x v="381"/>
    <x v="4"/>
    <n v="0"/>
    <x v="2"/>
  </r>
  <r>
    <x v="4"/>
    <x v="381"/>
    <x v="5"/>
    <n v="1038"/>
    <x v="2"/>
  </r>
  <r>
    <x v="4"/>
    <x v="381"/>
    <x v="6"/>
    <n v="0"/>
    <x v="2"/>
  </r>
  <r>
    <x v="4"/>
    <x v="381"/>
    <x v="7"/>
    <n v="0"/>
    <x v="2"/>
  </r>
  <r>
    <x v="4"/>
    <x v="381"/>
    <x v="8"/>
    <n v="0"/>
    <x v="2"/>
  </r>
  <r>
    <x v="4"/>
    <x v="381"/>
    <x v="9"/>
    <n v="0"/>
    <x v="2"/>
  </r>
  <r>
    <x v="4"/>
    <x v="381"/>
    <x v="10"/>
    <n v="0"/>
    <x v="2"/>
  </r>
  <r>
    <x v="4"/>
    <x v="381"/>
    <x v="11"/>
    <n v="0"/>
    <x v="2"/>
  </r>
  <r>
    <x v="4"/>
    <x v="382"/>
    <x v="0"/>
    <n v="0"/>
    <x v="2"/>
  </r>
  <r>
    <x v="4"/>
    <x v="382"/>
    <x v="1"/>
    <n v="0"/>
    <x v="2"/>
  </r>
  <r>
    <x v="4"/>
    <x v="382"/>
    <x v="2"/>
    <n v="0"/>
    <x v="2"/>
  </r>
  <r>
    <x v="4"/>
    <x v="382"/>
    <x v="3"/>
    <n v="0"/>
    <x v="2"/>
  </r>
  <r>
    <x v="4"/>
    <x v="382"/>
    <x v="4"/>
    <n v="0"/>
    <x v="2"/>
  </r>
  <r>
    <x v="4"/>
    <x v="382"/>
    <x v="5"/>
    <n v="0"/>
    <x v="2"/>
  </r>
  <r>
    <x v="4"/>
    <x v="382"/>
    <x v="6"/>
    <n v="2105"/>
    <x v="2"/>
  </r>
  <r>
    <x v="4"/>
    <x v="382"/>
    <x v="7"/>
    <n v="217"/>
    <x v="2"/>
  </r>
  <r>
    <x v="4"/>
    <x v="382"/>
    <x v="8"/>
    <n v="0"/>
    <x v="2"/>
  </r>
  <r>
    <x v="4"/>
    <x v="382"/>
    <x v="9"/>
    <n v="0"/>
    <x v="2"/>
  </r>
  <r>
    <x v="4"/>
    <x v="382"/>
    <x v="10"/>
    <n v="0"/>
    <x v="2"/>
  </r>
  <r>
    <x v="4"/>
    <x v="382"/>
    <x v="11"/>
    <n v="0"/>
    <x v="2"/>
  </r>
  <r>
    <x v="4"/>
    <x v="389"/>
    <x v="0"/>
    <n v="0"/>
    <x v="2"/>
  </r>
  <r>
    <x v="4"/>
    <x v="389"/>
    <x v="1"/>
    <n v="0"/>
    <x v="2"/>
  </r>
  <r>
    <x v="4"/>
    <x v="389"/>
    <x v="2"/>
    <n v="0"/>
    <x v="2"/>
  </r>
  <r>
    <x v="4"/>
    <x v="389"/>
    <x v="3"/>
    <n v="0"/>
    <x v="2"/>
  </r>
  <r>
    <x v="4"/>
    <x v="389"/>
    <x v="4"/>
    <n v="0"/>
    <x v="2"/>
  </r>
  <r>
    <x v="4"/>
    <x v="389"/>
    <x v="5"/>
    <n v="0"/>
    <x v="2"/>
  </r>
  <r>
    <x v="4"/>
    <x v="389"/>
    <x v="6"/>
    <n v="167"/>
    <x v="2"/>
  </r>
  <r>
    <x v="4"/>
    <x v="389"/>
    <x v="7"/>
    <n v="0"/>
    <x v="2"/>
  </r>
  <r>
    <x v="4"/>
    <x v="389"/>
    <x v="8"/>
    <n v="0"/>
    <x v="2"/>
  </r>
  <r>
    <x v="4"/>
    <x v="389"/>
    <x v="9"/>
    <n v="0"/>
    <x v="2"/>
  </r>
  <r>
    <x v="4"/>
    <x v="389"/>
    <x v="10"/>
    <n v="0"/>
    <x v="2"/>
  </r>
  <r>
    <x v="4"/>
    <x v="389"/>
    <x v="11"/>
    <n v="0"/>
    <x v="2"/>
  </r>
  <r>
    <x v="4"/>
    <x v="390"/>
    <x v="0"/>
    <n v="0"/>
    <x v="2"/>
  </r>
  <r>
    <x v="4"/>
    <x v="390"/>
    <x v="1"/>
    <n v="0"/>
    <x v="2"/>
  </r>
  <r>
    <x v="4"/>
    <x v="390"/>
    <x v="2"/>
    <n v="0"/>
    <x v="2"/>
  </r>
  <r>
    <x v="4"/>
    <x v="390"/>
    <x v="3"/>
    <n v="0"/>
    <x v="2"/>
  </r>
  <r>
    <x v="4"/>
    <x v="390"/>
    <x v="4"/>
    <n v="0"/>
    <x v="2"/>
  </r>
  <r>
    <x v="4"/>
    <x v="390"/>
    <x v="5"/>
    <n v="0"/>
    <x v="2"/>
  </r>
  <r>
    <x v="4"/>
    <x v="390"/>
    <x v="6"/>
    <n v="0"/>
    <x v="2"/>
  </r>
  <r>
    <x v="4"/>
    <x v="390"/>
    <x v="7"/>
    <n v="215"/>
    <x v="2"/>
  </r>
  <r>
    <x v="4"/>
    <x v="390"/>
    <x v="8"/>
    <n v="0"/>
    <x v="2"/>
  </r>
  <r>
    <x v="4"/>
    <x v="390"/>
    <x v="9"/>
    <n v="0"/>
    <x v="2"/>
  </r>
  <r>
    <x v="4"/>
    <x v="390"/>
    <x v="10"/>
    <n v="0"/>
    <x v="2"/>
  </r>
  <r>
    <x v="4"/>
    <x v="390"/>
    <x v="11"/>
    <n v="0"/>
    <x v="2"/>
  </r>
  <r>
    <x v="4"/>
    <x v="391"/>
    <x v="0"/>
    <n v="0"/>
    <x v="2"/>
  </r>
  <r>
    <x v="4"/>
    <x v="391"/>
    <x v="1"/>
    <n v="0"/>
    <x v="2"/>
  </r>
  <r>
    <x v="4"/>
    <x v="391"/>
    <x v="2"/>
    <n v="0"/>
    <x v="2"/>
  </r>
  <r>
    <x v="4"/>
    <x v="391"/>
    <x v="3"/>
    <n v="0"/>
    <x v="2"/>
  </r>
  <r>
    <x v="4"/>
    <x v="391"/>
    <x v="4"/>
    <n v="0"/>
    <x v="2"/>
  </r>
  <r>
    <x v="4"/>
    <x v="391"/>
    <x v="5"/>
    <n v="0"/>
    <x v="2"/>
  </r>
  <r>
    <x v="4"/>
    <x v="391"/>
    <x v="6"/>
    <n v="0"/>
    <x v="2"/>
  </r>
  <r>
    <x v="4"/>
    <x v="391"/>
    <x v="7"/>
    <n v="0"/>
    <x v="2"/>
  </r>
  <r>
    <x v="4"/>
    <x v="391"/>
    <x v="8"/>
    <n v="78"/>
    <x v="2"/>
  </r>
  <r>
    <x v="4"/>
    <x v="391"/>
    <x v="9"/>
    <n v="0"/>
    <x v="2"/>
  </r>
  <r>
    <x v="4"/>
    <x v="391"/>
    <x v="10"/>
    <n v="0"/>
    <x v="2"/>
  </r>
  <r>
    <x v="4"/>
    <x v="391"/>
    <x v="11"/>
    <n v="0"/>
    <x v="2"/>
  </r>
  <r>
    <x v="4"/>
    <x v="392"/>
    <x v="0"/>
    <n v="0"/>
    <x v="2"/>
  </r>
  <r>
    <x v="4"/>
    <x v="392"/>
    <x v="1"/>
    <n v="0"/>
    <x v="2"/>
  </r>
  <r>
    <x v="4"/>
    <x v="392"/>
    <x v="2"/>
    <n v="0"/>
    <x v="2"/>
  </r>
  <r>
    <x v="4"/>
    <x v="392"/>
    <x v="3"/>
    <n v="0"/>
    <x v="2"/>
  </r>
  <r>
    <x v="4"/>
    <x v="392"/>
    <x v="4"/>
    <n v="0"/>
    <x v="2"/>
  </r>
  <r>
    <x v="4"/>
    <x v="392"/>
    <x v="5"/>
    <n v="0"/>
    <x v="2"/>
  </r>
  <r>
    <x v="4"/>
    <x v="392"/>
    <x v="6"/>
    <n v="0"/>
    <x v="2"/>
  </r>
  <r>
    <x v="4"/>
    <x v="392"/>
    <x v="7"/>
    <n v="0"/>
    <x v="2"/>
  </r>
  <r>
    <x v="4"/>
    <x v="392"/>
    <x v="8"/>
    <n v="0"/>
    <x v="2"/>
  </r>
  <r>
    <x v="4"/>
    <x v="392"/>
    <x v="9"/>
    <n v="0"/>
    <x v="2"/>
  </r>
  <r>
    <x v="4"/>
    <x v="392"/>
    <x v="10"/>
    <n v="1000"/>
    <x v="2"/>
  </r>
  <r>
    <x v="4"/>
    <x v="392"/>
    <x v="11"/>
    <n v="0"/>
    <x v="2"/>
  </r>
  <r>
    <x v="4"/>
    <x v="393"/>
    <x v="0"/>
    <n v="52"/>
    <x v="2"/>
  </r>
  <r>
    <x v="4"/>
    <x v="393"/>
    <x v="1"/>
    <n v="0"/>
    <x v="2"/>
  </r>
  <r>
    <x v="4"/>
    <x v="393"/>
    <x v="2"/>
    <n v="0"/>
    <x v="2"/>
  </r>
  <r>
    <x v="4"/>
    <x v="393"/>
    <x v="3"/>
    <n v="0"/>
    <x v="2"/>
  </r>
  <r>
    <x v="4"/>
    <x v="393"/>
    <x v="4"/>
    <n v="0"/>
    <x v="2"/>
  </r>
  <r>
    <x v="4"/>
    <x v="393"/>
    <x v="5"/>
    <n v="0"/>
    <x v="2"/>
  </r>
  <r>
    <x v="4"/>
    <x v="393"/>
    <x v="6"/>
    <n v="0"/>
    <x v="2"/>
  </r>
  <r>
    <x v="4"/>
    <x v="393"/>
    <x v="7"/>
    <n v="0"/>
    <x v="2"/>
  </r>
  <r>
    <x v="4"/>
    <x v="393"/>
    <x v="8"/>
    <n v="0"/>
    <x v="2"/>
  </r>
  <r>
    <x v="4"/>
    <x v="393"/>
    <x v="9"/>
    <n v="0"/>
    <x v="2"/>
  </r>
  <r>
    <x v="4"/>
    <x v="393"/>
    <x v="10"/>
    <n v="0"/>
    <x v="2"/>
  </r>
  <r>
    <x v="4"/>
    <x v="393"/>
    <x v="11"/>
    <n v="0"/>
    <x v="2"/>
  </r>
  <r>
    <x v="4"/>
    <x v="394"/>
    <x v="0"/>
    <n v="827"/>
    <x v="2"/>
  </r>
  <r>
    <x v="4"/>
    <x v="394"/>
    <x v="1"/>
    <n v="0"/>
    <x v="2"/>
  </r>
  <r>
    <x v="4"/>
    <x v="394"/>
    <x v="2"/>
    <n v="0"/>
    <x v="2"/>
  </r>
  <r>
    <x v="4"/>
    <x v="394"/>
    <x v="3"/>
    <n v="0"/>
    <x v="2"/>
  </r>
  <r>
    <x v="4"/>
    <x v="394"/>
    <x v="4"/>
    <n v="0"/>
    <x v="2"/>
  </r>
  <r>
    <x v="4"/>
    <x v="394"/>
    <x v="5"/>
    <n v="0"/>
    <x v="2"/>
  </r>
  <r>
    <x v="4"/>
    <x v="394"/>
    <x v="6"/>
    <n v="0"/>
    <x v="2"/>
  </r>
  <r>
    <x v="4"/>
    <x v="394"/>
    <x v="7"/>
    <n v="0"/>
    <x v="2"/>
  </r>
  <r>
    <x v="4"/>
    <x v="394"/>
    <x v="8"/>
    <n v="0"/>
    <x v="2"/>
  </r>
  <r>
    <x v="4"/>
    <x v="394"/>
    <x v="9"/>
    <n v="0"/>
    <x v="2"/>
  </r>
  <r>
    <x v="4"/>
    <x v="394"/>
    <x v="10"/>
    <n v="0"/>
    <x v="2"/>
  </r>
  <r>
    <x v="4"/>
    <x v="394"/>
    <x v="11"/>
    <n v="0"/>
    <x v="2"/>
  </r>
  <r>
    <x v="4"/>
    <x v="395"/>
    <x v="0"/>
    <n v="795"/>
    <x v="2"/>
  </r>
  <r>
    <x v="4"/>
    <x v="395"/>
    <x v="1"/>
    <n v="0"/>
    <x v="2"/>
  </r>
  <r>
    <x v="4"/>
    <x v="395"/>
    <x v="2"/>
    <n v="0"/>
    <x v="2"/>
  </r>
  <r>
    <x v="4"/>
    <x v="395"/>
    <x v="3"/>
    <n v="0"/>
    <x v="2"/>
  </r>
  <r>
    <x v="4"/>
    <x v="395"/>
    <x v="4"/>
    <n v="0"/>
    <x v="2"/>
  </r>
  <r>
    <x v="4"/>
    <x v="395"/>
    <x v="5"/>
    <n v="0"/>
    <x v="2"/>
  </r>
  <r>
    <x v="4"/>
    <x v="395"/>
    <x v="6"/>
    <n v="0"/>
    <x v="2"/>
  </r>
  <r>
    <x v="4"/>
    <x v="395"/>
    <x v="7"/>
    <n v="350"/>
    <x v="2"/>
  </r>
  <r>
    <x v="4"/>
    <x v="395"/>
    <x v="8"/>
    <n v="0"/>
    <x v="2"/>
  </r>
  <r>
    <x v="4"/>
    <x v="395"/>
    <x v="9"/>
    <n v="0"/>
    <x v="2"/>
  </r>
  <r>
    <x v="4"/>
    <x v="395"/>
    <x v="10"/>
    <n v="0"/>
    <x v="2"/>
  </r>
  <r>
    <x v="4"/>
    <x v="395"/>
    <x v="11"/>
    <n v="0"/>
    <x v="2"/>
  </r>
  <r>
    <x v="4"/>
    <x v="396"/>
    <x v="0"/>
    <n v="297"/>
    <x v="2"/>
  </r>
  <r>
    <x v="4"/>
    <x v="396"/>
    <x v="1"/>
    <n v="0"/>
    <x v="2"/>
  </r>
  <r>
    <x v="4"/>
    <x v="396"/>
    <x v="2"/>
    <n v="150"/>
    <x v="2"/>
  </r>
  <r>
    <x v="4"/>
    <x v="396"/>
    <x v="3"/>
    <n v="0"/>
    <x v="2"/>
  </r>
  <r>
    <x v="4"/>
    <x v="396"/>
    <x v="4"/>
    <n v="0"/>
    <x v="2"/>
  </r>
  <r>
    <x v="4"/>
    <x v="396"/>
    <x v="5"/>
    <n v="0"/>
    <x v="2"/>
  </r>
  <r>
    <x v="4"/>
    <x v="396"/>
    <x v="6"/>
    <n v="14"/>
    <x v="2"/>
  </r>
  <r>
    <x v="4"/>
    <x v="396"/>
    <x v="7"/>
    <n v="0"/>
    <x v="2"/>
  </r>
  <r>
    <x v="4"/>
    <x v="396"/>
    <x v="8"/>
    <n v="0"/>
    <x v="2"/>
  </r>
  <r>
    <x v="4"/>
    <x v="396"/>
    <x v="9"/>
    <n v="0"/>
    <x v="2"/>
  </r>
  <r>
    <x v="4"/>
    <x v="396"/>
    <x v="10"/>
    <n v="0"/>
    <x v="2"/>
  </r>
  <r>
    <x v="4"/>
    <x v="396"/>
    <x v="11"/>
    <n v="0"/>
    <x v="2"/>
  </r>
  <r>
    <x v="4"/>
    <x v="397"/>
    <x v="0"/>
    <n v="0"/>
    <x v="2"/>
  </r>
  <r>
    <x v="4"/>
    <x v="397"/>
    <x v="1"/>
    <n v="145"/>
    <x v="2"/>
  </r>
  <r>
    <x v="4"/>
    <x v="397"/>
    <x v="2"/>
    <n v="0"/>
    <x v="2"/>
  </r>
  <r>
    <x v="4"/>
    <x v="397"/>
    <x v="3"/>
    <n v="0"/>
    <x v="2"/>
  </r>
  <r>
    <x v="4"/>
    <x v="397"/>
    <x v="4"/>
    <n v="0"/>
    <x v="2"/>
  </r>
  <r>
    <x v="4"/>
    <x v="397"/>
    <x v="5"/>
    <n v="0"/>
    <x v="2"/>
  </r>
  <r>
    <x v="4"/>
    <x v="397"/>
    <x v="6"/>
    <n v="0"/>
    <x v="2"/>
  </r>
  <r>
    <x v="4"/>
    <x v="397"/>
    <x v="7"/>
    <n v="0"/>
    <x v="2"/>
  </r>
  <r>
    <x v="4"/>
    <x v="397"/>
    <x v="8"/>
    <n v="0"/>
    <x v="2"/>
  </r>
  <r>
    <x v="4"/>
    <x v="397"/>
    <x v="9"/>
    <n v="0"/>
    <x v="2"/>
  </r>
  <r>
    <x v="4"/>
    <x v="397"/>
    <x v="10"/>
    <n v="0"/>
    <x v="2"/>
  </r>
  <r>
    <x v="4"/>
    <x v="397"/>
    <x v="11"/>
    <n v="0"/>
    <x v="2"/>
  </r>
  <r>
    <x v="4"/>
    <x v="398"/>
    <x v="0"/>
    <n v="0"/>
    <x v="2"/>
  </r>
  <r>
    <x v="4"/>
    <x v="398"/>
    <x v="1"/>
    <n v="593"/>
    <x v="2"/>
  </r>
  <r>
    <x v="4"/>
    <x v="398"/>
    <x v="2"/>
    <n v="0"/>
    <x v="2"/>
  </r>
  <r>
    <x v="4"/>
    <x v="398"/>
    <x v="3"/>
    <n v="0"/>
    <x v="2"/>
  </r>
  <r>
    <x v="4"/>
    <x v="398"/>
    <x v="4"/>
    <n v="0"/>
    <x v="2"/>
  </r>
  <r>
    <x v="4"/>
    <x v="398"/>
    <x v="5"/>
    <n v="0"/>
    <x v="2"/>
  </r>
  <r>
    <x v="4"/>
    <x v="398"/>
    <x v="6"/>
    <n v="0"/>
    <x v="2"/>
  </r>
  <r>
    <x v="4"/>
    <x v="398"/>
    <x v="7"/>
    <n v="0"/>
    <x v="2"/>
  </r>
  <r>
    <x v="4"/>
    <x v="398"/>
    <x v="8"/>
    <n v="0"/>
    <x v="2"/>
  </r>
  <r>
    <x v="4"/>
    <x v="398"/>
    <x v="9"/>
    <n v="0"/>
    <x v="2"/>
  </r>
  <r>
    <x v="4"/>
    <x v="398"/>
    <x v="10"/>
    <n v="0"/>
    <x v="2"/>
  </r>
  <r>
    <x v="4"/>
    <x v="398"/>
    <x v="11"/>
    <n v="0"/>
    <x v="2"/>
  </r>
  <r>
    <x v="4"/>
    <x v="374"/>
    <x v="0"/>
    <n v="0"/>
    <x v="2"/>
  </r>
  <r>
    <x v="4"/>
    <x v="374"/>
    <x v="1"/>
    <n v="0"/>
    <x v="2"/>
  </r>
  <r>
    <x v="4"/>
    <x v="374"/>
    <x v="2"/>
    <n v="0"/>
    <x v="2"/>
  </r>
  <r>
    <x v="4"/>
    <x v="374"/>
    <x v="3"/>
    <n v="36.4"/>
    <x v="2"/>
  </r>
  <r>
    <x v="4"/>
    <x v="374"/>
    <x v="4"/>
    <n v="0"/>
    <x v="2"/>
  </r>
  <r>
    <x v="4"/>
    <x v="374"/>
    <x v="5"/>
    <n v="0"/>
    <x v="2"/>
  </r>
  <r>
    <x v="4"/>
    <x v="374"/>
    <x v="6"/>
    <n v="0"/>
    <x v="2"/>
  </r>
  <r>
    <x v="4"/>
    <x v="374"/>
    <x v="7"/>
    <n v="0"/>
    <x v="2"/>
  </r>
  <r>
    <x v="4"/>
    <x v="374"/>
    <x v="8"/>
    <n v="0"/>
    <x v="2"/>
  </r>
  <r>
    <x v="4"/>
    <x v="374"/>
    <x v="9"/>
    <n v="0"/>
    <x v="2"/>
  </r>
  <r>
    <x v="4"/>
    <x v="374"/>
    <x v="10"/>
    <n v="0"/>
    <x v="2"/>
  </r>
  <r>
    <x v="4"/>
    <x v="374"/>
    <x v="11"/>
    <n v="0"/>
    <x v="2"/>
  </r>
  <r>
    <x v="4"/>
    <x v="399"/>
    <x v="0"/>
    <n v="0"/>
    <x v="2"/>
  </r>
  <r>
    <x v="4"/>
    <x v="399"/>
    <x v="1"/>
    <n v="0"/>
    <x v="2"/>
  </r>
  <r>
    <x v="4"/>
    <x v="399"/>
    <x v="2"/>
    <n v="0"/>
    <x v="2"/>
  </r>
  <r>
    <x v="4"/>
    <x v="399"/>
    <x v="3"/>
    <n v="649"/>
    <x v="2"/>
  </r>
  <r>
    <x v="4"/>
    <x v="399"/>
    <x v="4"/>
    <n v="0"/>
    <x v="2"/>
  </r>
  <r>
    <x v="4"/>
    <x v="399"/>
    <x v="5"/>
    <n v="0"/>
    <x v="2"/>
  </r>
  <r>
    <x v="4"/>
    <x v="399"/>
    <x v="6"/>
    <n v="0"/>
    <x v="2"/>
  </r>
  <r>
    <x v="4"/>
    <x v="399"/>
    <x v="7"/>
    <n v="0"/>
    <x v="2"/>
  </r>
  <r>
    <x v="4"/>
    <x v="399"/>
    <x v="8"/>
    <n v="0"/>
    <x v="2"/>
  </r>
  <r>
    <x v="4"/>
    <x v="399"/>
    <x v="9"/>
    <n v="0"/>
    <x v="2"/>
  </r>
  <r>
    <x v="4"/>
    <x v="399"/>
    <x v="10"/>
    <n v="0"/>
    <x v="2"/>
  </r>
  <r>
    <x v="4"/>
    <x v="399"/>
    <x v="11"/>
    <n v="0"/>
    <x v="2"/>
  </r>
  <r>
    <x v="4"/>
    <x v="400"/>
    <x v="0"/>
    <n v="0"/>
    <x v="2"/>
  </r>
  <r>
    <x v="4"/>
    <x v="400"/>
    <x v="1"/>
    <n v="0"/>
    <x v="2"/>
  </r>
  <r>
    <x v="4"/>
    <x v="400"/>
    <x v="2"/>
    <n v="0"/>
    <x v="2"/>
  </r>
  <r>
    <x v="4"/>
    <x v="400"/>
    <x v="3"/>
    <n v="456"/>
    <x v="2"/>
  </r>
  <r>
    <x v="4"/>
    <x v="400"/>
    <x v="4"/>
    <n v="0"/>
    <x v="2"/>
  </r>
  <r>
    <x v="4"/>
    <x v="400"/>
    <x v="5"/>
    <n v="0"/>
    <x v="2"/>
  </r>
  <r>
    <x v="4"/>
    <x v="400"/>
    <x v="6"/>
    <n v="0"/>
    <x v="2"/>
  </r>
  <r>
    <x v="4"/>
    <x v="400"/>
    <x v="7"/>
    <n v="0"/>
    <x v="2"/>
  </r>
  <r>
    <x v="4"/>
    <x v="400"/>
    <x v="8"/>
    <n v="0"/>
    <x v="2"/>
  </r>
  <r>
    <x v="4"/>
    <x v="400"/>
    <x v="9"/>
    <n v="0"/>
    <x v="2"/>
  </r>
  <r>
    <x v="4"/>
    <x v="400"/>
    <x v="10"/>
    <n v="0"/>
    <x v="2"/>
  </r>
  <r>
    <x v="4"/>
    <x v="400"/>
    <x v="11"/>
    <n v="0"/>
    <x v="2"/>
  </r>
  <r>
    <x v="4"/>
    <x v="401"/>
    <x v="0"/>
    <n v="0"/>
    <x v="2"/>
  </r>
  <r>
    <x v="4"/>
    <x v="401"/>
    <x v="1"/>
    <n v="0"/>
    <x v="2"/>
  </r>
  <r>
    <x v="4"/>
    <x v="401"/>
    <x v="2"/>
    <n v="0"/>
    <x v="2"/>
  </r>
  <r>
    <x v="4"/>
    <x v="401"/>
    <x v="3"/>
    <n v="0"/>
    <x v="2"/>
  </r>
  <r>
    <x v="4"/>
    <x v="401"/>
    <x v="4"/>
    <n v="436"/>
    <x v="2"/>
  </r>
  <r>
    <x v="4"/>
    <x v="401"/>
    <x v="5"/>
    <n v="0"/>
    <x v="2"/>
  </r>
  <r>
    <x v="4"/>
    <x v="401"/>
    <x v="6"/>
    <n v="0"/>
    <x v="2"/>
  </r>
  <r>
    <x v="4"/>
    <x v="401"/>
    <x v="7"/>
    <n v="0"/>
    <x v="2"/>
  </r>
  <r>
    <x v="4"/>
    <x v="401"/>
    <x v="8"/>
    <n v="0"/>
    <x v="2"/>
  </r>
  <r>
    <x v="4"/>
    <x v="401"/>
    <x v="9"/>
    <n v="0"/>
    <x v="2"/>
  </r>
  <r>
    <x v="4"/>
    <x v="401"/>
    <x v="10"/>
    <n v="0"/>
    <x v="2"/>
  </r>
  <r>
    <x v="4"/>
    <x v="401"/>
    <x v="11"/>
    <n v="0"/>
    <x v="2"/>
  </r>
  <r>
    <x v="4"/>
    <x v="381"/>
    <x v="0"/>
    <n v="0"/>
    <x v="2"/>
  </r>
  <r>
    <x v="4"/>
    <x v="381"/>
    <x v="1"/>
    <n v="0"/>
    <x v="2"/>
  </r>
  <r>
    <x v="4"/>
    <x v="381"/>
    <x v="2"/>
    <n v="0"/>
    <x v="2"/>
  </r>
  <r>
    <x v="4"/>
    <x v="381"/>
    <x v="3"/>
    <n v="0"/>
    <x v="2"/>
  </r>
  <r>
    <x v="4"/>
    <x v="381"/>
    <x v="4"/>
    <n v="0"/>
    <x v="2"/>
  </r>
  <r>
    <x v="4"/>
    <x v="381"/>
    <x v="5"/>
    <n v="0"/>
    <x v="2"/>
  </r>
  <r>
    <x v="4"/>
    <x v="381"/>
    <x v="6"/>
    <n v="117"/>
    <x v="2"/>
  </r>
  <r>
    <x v="4"/>
    <x v="381"/>
    <x v="7"/>
    <n v="0"/>
    <x v="2"/>
  </r>
  <r>
    <x v="4"/>
    <x v="381"/>
    <x v="8"/>
    <n v="0"/>
    <x v="2"/>
  </r>
  <r>
    <x v="4"/>
    <x v="381"/>
    <x v="9"/>
    <n v="0"/>
    <x v="2"/>
  </r>
  <r>
    <x v="4"/>
    <x v="381"/>
    <x v="10"/>
    <n v="0"/>
    <x v="2"/>
  </r>
  <r>
    <x v="4"/>
    <x v="381"/>
    <x v="11"/>
    <n v="0"/>
    <x v="2"/>
  </r>
  <r>
    <x v="4"/>
    <x v="402"/>
    <x v="0"/>
    <n v="0"/>
    <x v="2"/>
  </r>
  <r>
    <x v="4"/>
    <x v="402"/>
    <x v="1"/>
    <n v="0"/>
    <x v="2"/>
  </r>
  <r>
    <x v="4"/>
    <x v="402"/>
    <x v="2"/>
    <n v="0"/>
    <x v="2"/>
  </r>
  <r>
    <x v="4"/>
    <x v="402"/>
    <x v="3"/>
    <n v="0"/>
    <x v="2"/>
  </r>
  <r>
    <x v="4"/>
    <x v="402"/>
    <x v="4"/>
    <n v="0"/>
    <x v="2"/>
  </r>
  <r>
    <x v="4"/>
    <x v="402"/>
    <x v="5"/>
    <n v="0"/>
    <x v="2"/>
  </r>
  <r>
    <x v="4"/>
    <x v="402"/>
    <x v="6"/>
    <n v="0"/>
    <x v="2"/>
  </r>
  <r>
    <x v="4"/>
    <x v="402"/>
    <x v="7"/>
    <n v="276"/>
    <x v="2"/>
  </r>
  <r>
    <x v="4"/>
    <x v="402"/>
    <x v="8"/>
    <n v="0"/>
    <x v="2"/>
  </r>
  <r>
    <x v="4"/>
    <x v="402"/>
    <x v="9"/>
    <n v="0"/>
    <x v="2"/>
  </r>
  <r>
    <x v="4"/>
    <x v="402"/>
    <x v="10"/>
    <n v="0"/>
    <x v="2"/>
  </r>
  <r>
    <x v="4"/>
    <x v="402"/>
    <x v="11"/>
    <n v="0"/>
    <x v="2"/>
  </r>
  <r>
    <x v="4"/>
    <x v="403"/>
    <x v="0"/>
    <n v="0"/>
    <x v="2"/>
  </r>
  <r>
    <x v="4"/>
    <x v="403"/>
    <x v="1"/>
    <n v="0"/>
    <x v="2"/>
  </r>
  <r>
    <x v="4"/>
    <x v="403"/>
    <x v="2"/>
    <n v="0"/>
    <x v="2"/>
  </r>
  <r>
    <x v="4"/>
    <x v="403"/>
    <x v="3"/>
    <n v="0"/>
    <x v="2"/>
  </r>
  <r>
    <x v="4"/>
    <x v="403"/>
    <x v="4"/>
    <n v="0"/>
    <x v="2"/>
  </r>
  <r>
    <x v="4"/>
    <x v="403"/>
    <x v="5"/>
    <n v="0"/>
    <x v="2"/>
  </r>
  <r>
    <x v="4"/>
    <x v="403"/>
    <x v="6"/>
    <n v="0"/>
    <x v="2"/>
  </r>
  <r>
    <x v="4"/>
    <x v="403"/>
    <x v="7"/>
    <n v="0"/>
    <x v="2"/>
  </r>
  <r>
    <x v="4"/>
    <x v="403"/>
    <x v="8"/>
    <n v="0"/>
    <x v="2"/>
  </r>
  <r>
    <x v="4"/>
    <x v="403"/>
    <x v="9"/>
    <n v="0"/>
    <x v="2"/>
  </r>
  <r>
    <x v="4"/>
    <x v="403"/>
    <x v="10"/>
    <n v="0"/>
    <x v="2"/>
  </r>
  <r>
    <x v="4"/>
    <x v="403"/>
    <x v="11"/>
    <n v="0"/>
    <x v="2"/>
  </r>
  <r>
    <x v="4"/>
    <x v="404"/>
    <x v="0"/>
    <n v="0"/>
    <x v="2"/>
  </r>
  <r>
    <x v="4"/>
    <x v="404"/>
    <x v="1"/>
    <n v="0"/>
    <x v="2"/>
  </r>
  <r>
    <x v="4"/>
    <x v="404"/>
    <x v="2"/>
    <n v="0"/>
    <x v="2"/>
  </r>
  <r>
    <x v="4"/>
    <x v="404"/>
    <x v="3"/>
    <n v="0"/>
    <x v="2"/>
  </r>
  <r>
    <x v="4"/>
    <x v="404"/>
    <x v="4"/>
    <n v="0"/>
    <x v="2"/>
  </r>
  <r>
    <x v="4"/>
    <x v="404"/>
    <x v="5"/>
    <n v="0"/>
    <x v="2"/>
  </r>
  <r>
    <x v="4"/>
    <x v="404"/>
    <x v="6"/>
    <n v="0"/>
    <x v="2"/>
  </r>
  <r>
    <x v="4"/>
    <x v="404"/>
    <x v="7"/>
    <n v="0"/>
    <x v="2"/>
  </r>
  <r>
    <x v="4"/>
    <x v="404"/>
    <x v="8"/>
    <n v="0"/>
    <x v="2"/>
  </r>
  <r>
    <x v="4"/>
    <x v="404"/>
    <x v="9"/>
    <n v="0"/>
    <x v="2"/>
  </r>
  <r>
    <x v="4"/>
    <x v="404"/>
    <x v="10"/>
    <n v="205"/>
    <x v="2"/>
  </r>
  <r>
    <x v="4"/>
    <x v="404"/>
    <x v="11"/>
    <n v="0"/>
    <x v="2"/>
  </r>
  <r>
    <x v="4"/>
    <x v="405"/>
    <x v="0"/>
    <n v="23"/>
    <x v="2"/>
  </r>
  <r>
    <x v="4"/>
    <x v="405"/>
    <x v="1"/>
    <n v="0"/>
    <x v="2"/>
  </r>
  <r>
    <x v="4"/>
    <x v="405"/>
    <x v="2"/>
    <n v="0"/>
    <x v="2"/>
  </r>
  <r>
    <x v="4"/>
    <x v="405"/>
    <x v="3"/>
    <n v="0"/>
    <x v="2"/>
  </r>
  <r>
    <x v="4"/>
    <x v="405"/>
    <x v="4"/>
    <n v="0"/>
    <x v="2"/>
  </r>
  <r>
    <x v="4"/>
    <x v="405"/>
    <x v="5"/>
    <n v="0"/>
    <x v="2"/>
  </r>
  <r>
    <x v="4"/>
    <x v="405"/>
    <x v="6"/>
    <n v="0"/>
    <x v="2"/>
  </r>
  <r>
    <x v="4"/>
    <x v="405"/>
    <x v="7"/>
    <n v="0"/>
    <x v="2"/>
  </r>
  <r>
    <x v="4"/>
    <x v="405"/>
    <x v="8"/>
    <n v="0"/>
    <x v="2"/>
  </r>
  <r>
    <x v="4"/>
    <x v="405"/>
    <x v="9"/>
    <n v="0"/>
    <x v="2"/>
  </r>
  <r>
    <x v="4"/>
    <x v="405"/>
    <x v="10"/>
    <n v="0"/>
    <x v="2"/>
  </r>
  <r>
    <x v="4"/>
    <x v="405"/>
    <x v="11"/>
    <n v="0"/>
    <x v="2"/>
  </r>
  <r>
    <x v="4"/>
    <x v="406"/>
    <x v="0"/>
    <n v="0"/>
    <x v="2"/>
  </r>
  <r>
    <x v="4"/>
    <x v="406"/>
    <x v="1"/>
    <n v="0"/>
    <x v="2"/>
  </r>
  <r>
    <x v="4"/>
    <x v="406"/>
    <x v="2"/>
    <n v="0"/>
    <x v="2"/>
  </r>
  <r>
    <x v="4"/>
    <x v="406"/>
    <x v="3"/>
    <n v="0"/>
    <x v="2"/>
  </r>
  <r>
    <x v="4"/>
    <x v="406"/>
    <x v="4"/>
    <n v="0"/>
    <x v="2"/>
  </r>
  <r>
    <x v="4"/>
    <x v="406"/>
    <x v="5"/>
    <n v="0"/>
    <x v="2"/>
  </r>
  <r>
    <x v="4"/>
    <x v="406"/>
    <x v="6"/>
    <n v="0"/>
    <x v="2"/>
  </r>
  <r>
    <x v="4"/>
    <x v="406"/>
    <x v="7"/>
    <n v="350"/>
    <x v="2"/>
  </r>
  <r>
    <x v="4"/>
    <x v="406"/>
    <x v="8"/>
    <n v="0"/>
    <x v="2"/>
  </r>
  <r>
    <x v="4"/>
    <x v="406"/>
    <x v="9"/>
    <n v="0"/>
    <x v="2"/>
  </r>
  <r>
    <x v="4"/>
    <x v="406"/>
    <x v="10"/>
    <n v="0"/>
    <x v="2"/>
  </r>
  <r>
    <x v="4"/>
    <x v="406"/>
    <x v="11"/>
    <n v="0"/>
    <x v="2"/>
  </r>
  <r>
    <x v="4"/>
    <x v="396"/>
    <x v="0"/>
    <n v="0"/>
    <x v="2"/>
  </r>
  <r>
    <x v="4"/>
    <x v="396"/>
    <x v="1"/>
    <n v="96"/>
    <x v="2"/>
  </r>
  <r>
    <x v="4"/>
    <x v="396"/>
    <x v="2"/>
    <n v="206"/>
    <x v="2"/>
  </r>
  <r>
    <x v="4"/>
    <x v="396"/>
    <x v="3"/>
    <n v="0"/>
    <x v="2"/>
  </r>
  <r>
    <x v="4"/>
    <x v="396"/>
    <x v="4"/>
    <n v="0"/>
    <x v="2"/>
  </r>
  <r>
    <x v="4"/>
    <x v="396"/>
    <x v="5"/>
    <n v="0"/>
    <x v="2"/>
  </r>
  <r>
    <x v="4"/>
    <x v="396"/>
    <x v="6"/>
    <n v="0"/>
    <x v="2"/>
  </r>
  <r>
    <x v="4"/>
    <x v="396"/>
    <x v="7"/>
    <n v="0"/>
    <x v="2"/>
  </r>
  <r>
    <x v="4"/>
    <x v="396"/>
    <x v="8"/>
    <n v="0"/>
    <x v="2"/>
  </r>
  <r>
    <x v="4"/>
    <x v="396"/>
    <x v="9"/>
    <n v="0"/>
    <x v="2"/>
  </r>
  <r>
    <x v="4"/>
    <x v="396"/>
    <x v="10"/>
    <n v="0"/>
    <x v="2"/>
  </r>
  <r>
    <x v="4"/>
    <x v="396"/>
    <x v="11"/>
    <n v="0"/>
    <x v="2"/>
  </r>
  <r>
    <x v="4"/>
    <x v="372"/>
    <x v="0"/>
    <n v="0"/>
    <x v="2"/>
  </r>
  <r>
    <x v="4"/>
    <x v="372"/>
    <x v="1"/>
    <n v="72"/>
    <x v="2"/>
  </r>
  <r>
    <x v="4"/>
    <x v="372"/>
    <x v="2"/>
    <n v="176"/>
    <x v="2"/>
  </r>
  <r>
    <x v="4"/>
    <x v="372"/>
    <x v="3"/>
    <n v="0"/>
    <x v="2"/>
  </r>
  <r>
    <x v="4"/>
    <x v="372"/>
    <x v="4"/>
    <n v="0"/>
    <x v="2"/>
  </r>
  <r>
    <x v="4"/>
    <x v="372"/>
    <x v="5"/>
    <n v="0"/>
    <x v="2"/>
  </r>
  <r>
    <x v="4"/>
    <x v="372"/>
    <x v="6"/>
    <n v="0"/>
    <x v="2"/>
  </r>
  <r>
    <x v="4"/>
    <x v="372"/>
    <x v="7"/>
    <n v="0"/>
    <x v="2"/>
  </r>
  <r>
    <x v="4"/>
    <x v="372"/>
    <x v="8"/>
    <n v="0"/>
    <x v="2"/>
  </r>
  <r>
    <x v="4"/>
    <x v="372"/>
    <x v="9"/>
    <n v="0"/>
    <x v="2"/>
  </r>
  <r>
    <x v="4"/>
    <x v="372"/>
    <x v="10"/>
    <n v="0"/>
    <x v="2"/>
  </r>
  <r>
    <x v="4"/>
    <x v="372"/>
    <x v="11"/>
    <n v="0"/>
    <x v="2"/>
  </r>
  <r>
    <x v="4"/>
    <x v="407"/>
    <x v="0"/>
    <n v="0"/>
    <x v="2"/>
  </r>
  <r>
    <x v="4"/>
    <x v="407"/>
    <x v="1"/>
    <n v="2508"/>
    <x v="2"/>
  </r>
  <r>
    <x v="4"/>
    <x v="407"/>
    <x v="2"/>
    <n v="0"/>
    <x v="2"/>
  </r>
  <r>
    <x v="4"/>
    <x v="407"/>
    <x v="3"/>
    <n v="0"/>
    <x v="2"/>
  </r>
  <r>
    <x v="4"/>
    <x v="407"/>
    <x v="4"/>
    <n v="0"/>
    <x v="2"/>
  </r>
  <r>
    <x v="4"/>
    <x v="407"/>
    <x v="5"/>
    <n v="0"/>
    <x v="2"/>
  </r>
  <r>
    <x v="4"/>
    <x v="407"/>
    <x v="6"/>
    <n v="0"/>
    <x v="2"/>
  </r>
  <r>
    <x v="4"/>
    <x v="407"/>
    <x v="7"/>
    <n v="0"/>
    <x v="2"/>
  </r>
  <r>
    <x v="4"/>
    <x v="407"/>
    <x v="8"/>
    <n v="0"/>
    <x v="2"/>
  </r>
  <r>
    <x v="4"/>
    <x v="407"/>
    <x v="9"/>
    <n v="0"/>
    <x v="2"/>
  </r>
  <r>
    <x v="4"/>
    <x v="407"/>
    <x v="10"/>
    <n v="0"/>
    <x v="2"/>
  </r>
  <r>
    <x v="4"/>
    <x v="407"/>
    <x v="11"/>
    <n v="0"/>
    <x v="2"/>
  </r>
  <r>
    <x v="4"/>
    <x v="408"/>
    <x v="0"/>
    <n v="0"/>
    <x v="2"/>
  </r>
  <r>
    <x v="4"/>
    <x v="408"/>
    <x v="1"/>
    <n v="0"/>
    <x v="2"/>
  </r>
  <r>
    <x v="4"/>
    <x v="408"/>
    <x v="2"/>
    <n v="0"/>
    <x v="2"/>
  </r>
  <r>
    <x v="4"/>
    <x v="408"/>
    <x v="3"/>
    <n v="959"/>
    <x v="2"/>
  </r>
  <r>
    <x v="4"/>
    <x v="408"/>
    <x v="4"/>
    <n v="0"/>
    <x v="2"/>
  </r>
  <r>
    <x v="4"/>
    <x v="408"/>
    <x v="5"/>
    <n v="0"/>
    <x v="2"/>
  </r>
  <r>
    <x v="4"/>
    <x v="408"/>
    <x v="6"/>
    <n v="0"/>
    <x v="2"/>
  </r>
  <r>
    <x v="4"/>
    <x v="408"/>
    <x v="7"/>
    <n v="0"/>
    <x v="2"/>
  </r>
  <r>
    <x v="4"/>
    <x v="408"/>
    <x v="8"/>
    <n v="0"/>
    <x v="2"/>
  </r>
  <r>
    <x v="4"/>
    <x v="408"/>
    <x v="9"/>
    <n v="0"/>
    <x v="2"/>
  </r>
  <r>
    <x v="4"/>
    <x v="408"/>
    <x v="10"/>
    <n v="0"/>
    <x v="2"/>
  </r>
  <r>
    <x v="4"/>
    <x v="408"/>
    <x v="11"/>
    <n v="0"/>
    <x v="2"/>
  </r>
  <r>
    <x v="4"/>
    <x v="409"/>
    <x v="0"/>
    <n v="0"/>
    <x v="2"/>
  </r>
  <r>
    <x v="4"/>
    <x v="409"/>
    <x v="1"/>
    <n v="0"/>
    <x v="2"/>
  </r>
  <r>
    <x v="4"/>
    <x v="409"/>
    <x v="2"/>
    <n v="0"/>
    <x v="2"/>
  </r>
  <r>
    <x v="4"/>
    <x v="409"/>
    <x v="3"/>
    <n v="527"/>
    <x v="2"/>
  </r>
  <r>
    <x v="4"/>
    <x v="409"/>
    <x v="4"/>
    <n v="0"/>
    <x v="2"/>
  </r>
  <r>
    <x v="4"/>
    <x v="409"/>
    <x v="5"/>
    <n v="0"/>
    <x v="2"/>
  </r>
  <r>
    <x v="4"/>
    <x v="409"/>
    <x v="6"/>
    <n v="0"/>
    <x v="2"/>
  </r>
  <r>
    <x v="4"/>
    <x v="409"/>
    <x v="7"/>
    <n v="0"/>
    <x v="2"/>
  </r>
  <r>
    <x v="4"/>
    <x v="409"/>
    <x v="8"/>
    <n v="0"/>
    <x v="2"/>
  </r>
  <r>
    <x v="4"/>
    <x v="409"/>
    <x v="9"/>
    <n v="0"/>
    <x v="2"/>
  </r>
  <r>
    <x v="4"/>
    <x v="409"/>
    <x v="10"/>
    <n v="0"/>
    <x v="2"/>
  </r>
  <r>
    <x v="4"/>
    <x v="409"/>
    <x v="11"/>
    <n v="0"/>
    <x v="2"/>
  </r>
  <r>
    <x v="4"/>
    <x v="410"/>
    <x v="0"/>
    <n v="0"/>
    <x v="2"/>
  </r>
  <r>
    <x v="4"/>
    <x v="410"/>
    <x v="1"/>
    <n v="0"/>
    <x v="2"/>
  </r>
  <r>
    <x v="4"/>
    <x v="410"/>
    <x v="2"/>
    <n v="0"/>
    <x v="2"/>
  </r>
  <r>
    <x v="4"/>
    <x v="410"/>
    <x v="3"/>
    <n v="0"/>
    <x v="2"/>
  </r>
  <r>
    <x v="4"/>
    <x v="410"/>
    <x v="4"/>
    <n v="633"/>
    <x v="2"/>
  </r>
  <r>
    <x v="4"/>
    <x v="410"/>
    <x v="5"/>
    <n v="0"/>
    <x v="2"/>
  </r>
  <r>
    <x v="4"/>
    <x v="410"/>
    <x v="6"/>
    <n v="0"/>
    <x v="2"/>
  </r>
  <r>
    <x v="4"/>
    <x v="410"/>
    <x v="7"/>
    <n v="0"/>
    <x v="2"/>
  </r>
  <r>
    <x v="4"/>
    <x v="410"/>
    <x v="8"/>
    <n v="0"/>
    <x v="2"/>
  </r>
  <r>
    <x v="4"/>
    <x v="410"/>
    <x v="9"/>
    <n v="0"/>
    <x v="2"/>
  </r>
  <r>
    <x v="4"/>
    <x v="410"/>
    <x v="10"/>
    <n v="0"/>
    <x v="2"/>
  </r>
  <r>
    <x v="4"/>
    <x v="410"/>
    <x v="11"/>
    <n v="0"/>
    <x v="2"/>
  </r>
  <r>
    <x v="4"/>
    <x v="411"/>
    <x v="0"/>
    <n v="0"/>
    <x v="2"/>
  </r>
  <r>
    <x v="4"/>
    <x v="411"/>
    <x v="1"/>
    <n v="0"/>
    <x v="2"/>
  </r>
  <r>
    <x v="4"/>
    <x v="411"/>
    <x v="2"/>
    <n v="0"/>
    <x v="2"/>
  </r>
  <r>
    <x v="4"/>
    <x v="411"/>
    <x v="3"/>
    <n v="0"/>
    <x v="2"/>
  </r>
  <r>
    <x v="4"/>
    <x v="411"/>
    <x v="4"/>
    <n v="0"/>
    <x v="2"/>
  </r>
  <r>
    <x v="4"/>
    <x v="411"/>
    <x v="5"/>
    <n v="368"/>
    <x v="2"/>
  </r>
  <r>
    <x v="4"/>
    <x v="411"/>
    <x v="6"/>
    <n v="162"/>
    <x v="2"/>
  </r>
  <r>
    <x v="4"/>
    <x v="411"/>
    <x v="7"/>
    <n v="0"/>
    <x v="2"/>
  </r>
  <r>
    <x v="4"/>
    <x v="411"/>
    <x v="8"/>
    <n v="0"/>
    <x v="2"/>
  </r>
  <r>
    <x v="4"/>
    <x v="411"/>
    <x v="9"/>
    <n v="0"/>
    <x v="2"/>
  </r>
  <r>
    <x v="4"/>
    <x v="411"/>
    <x v="10"/>
    <n v="0"/>
    <x v="2"/>
  </r>
  <r>
    <x v="4"/>
    <x v="411"/>
    <x v="11"/>
    <n v="0"/>
    <x v="2"/>
  </r>
  <r>
    <x v="4"/>
    <x v="412"/>
    <x v="0"/>
    <n v="0"/>
    <x v="2"/>
  </r>
  <r>
    <x v="4"/>
    <x v="412"/>
    <x v="1"/>
    <n v="0"/>
    <x v="2"/>
  </r>
  <r>
    <x v="4"/>
    <x v="412"/>
    <x v="2"/>
    <n v="0"/>
    <x v="2"/>
  </r>
  <r>
    <x v="4"/>
    <x v="412"/>
    <x v="3"/>
    <n v="0"/>
    <x v="2"/>
  </r>
  <r>
    <x v="4"/>
    <x v="412"/>
    <x v="4"/>
    <n v="0"/>
    <x v="2"/>
  </r>
  <r>
    <x v="4"/>
    <x v="412"/>
    <x v="5"/>
    <n v="459"/>
    <x v="2"/>
  </r>
  <r>
    <x v="4"/>
    <x v="412"/>
    <x v="6"/>
    <n v="0"/>
    <x v="2"/>
  </r>
  <r>
    <x v="4"/>
    <x v="412"/>
    <x v="7"/>
    <n v="0"/>
    <x v="2"/>
  </r>
  <r>
    <x v="4"/>
    <x v="412"/>
    <x v="8"/>
    <n v="0"/>
    <x v="2"/>
  </r>
  <r>
    <x v="4"/>
    <x v="412"/>
    <x v="9"/>
    <n v="0"/>
    <x v="2"/>
  </r>
  <r>
    <x v="4"/>
    <x v="412"/>
    <x v="10"/>
    <n v="0"/>
    <x v="2"/>
  </r>
  <r>
    <x v="4"/>
    <x v="412"/>
    <x v="11"/>
    <n v="0"/>
    <x v="2"/>
  </r>
  <r>
    <x v="4"/>
    <x v="413"/>
    <x v="0"/>
    <n v="0"/>
    <x v="2"/>
  </r>
  <r>
    <x v="4"/>
    <x v="413"/>
    <x v="1"/>
    <n v="0"/>
    <x v="2"/>
  </r>
  <r>
    <x v="4"/>
    <x v="413"/>
    <x v="2"/>
    <n v="0"/>
    <x v="2"/>
  </r>
  <r>
    <x v="4"/>
    <x v="413"/>
    <x v="3"/>
    <n v="0"/>
    <x v="2"/>
  </r>
  <r>
    <x v="4"/>
    <x v="413"/>
    <x v="4"/>
    <n v="0"/>
    <x v="2"/>
  </r>
  <r>
    <x v="4"/>
    <x v="413"/>
    <x v="5"/>
    <n v="0"/>
    <x v="2"/>
  </r>
  <r>
    <x v="4"/>
    <x v="413"/>
    <x v="6"/>
    <n v="0"/>
    <x v="2"/>
  </r>
  <r>
    <x v="4"/>
    <x v="413"/>
    <x v="7"/>
    <n v="276"/>
    <x v="2"/>
  </r>
  <r>
    <x v="4"/>
    <x v="413"/>
    <x v="8"/>
    <n v="0"/>
    <x v="2"/>
  </r>
  <r>
    <x v="4"/>
    <x v="413"/>
    <x v="9"/>
    <n v="0"/>
    <x v="2"/>
  </r>
  <r>
    <x v="4"/>
    <x v="413"/>
    <x v="10"/>
    <n v="0"/>
    <x v="2"/>
  </r>
  <r>
    <x v="4"/>
    <x v="413"/>
    <x v="11"/>
    <n v="0"/>
    <x v="2"/>
  </r>
  <r>
    <x v="4"/>
    <x v="403"/>
    <x v="0"/>
    <n v="0"/>
    <x v="2"/>
  </r>
  <r>
    <x v="4"/>
    <x v="403"/>
    <x v="1"/>
    <n v="0"/>
    <x v="2"/>
  </r>
  <r>
    <x v="4"/>
    <x v="403"/>
    <x v="2"/>
    <n v="0"/>
    <x v="2"/>
  </r>
  <r>
    <x v="4"/>
    <x v="403"/>
    <x v="3"/>
    <n v="0"/>
    <x v="2"/>
  </r>
  <r>
    <x v="4"/>
    <x v="403"/>
    <x v="4"/>
    <n v="0"/>
    <x v="2"/>
  </r>
  <r>
    <x v="4"/>
    <x v="403"/>
    <x v="5"/>
    <n v="0"/>
    <x v="2"/>
  </r>
  <r>
    <x v="4"/>
    <x v="403"/>
    <x v="6"/>
    <n v="0"/>
    <x v="2"/>
  </r>
  <r>
    <x v="4"/>
    <x v="403"/>
    <x v="7"/>
    <n v="930"/>
    <x v="2"/>
  </r>
  <r>
    <x v="4"/>
    <x v="403"/>
    <x v="8"/>
    <n v="0"/>
    <x v="2"/>
  </r>
  <r>
    <x v="4"/>
    <x v="403"/>
    <x v="9"/>
    <n v="0"/>
    <x v="2"/>
  </r>
  <r>
    <x v="4"/>
    <x v="403"/>
    <x v="10"/>
    <n v="384"/>
    <x v="2"/>
  </r>
  <r>
    <x v="4"/>
    <x v="403"/>
    <x v="11"/>
    <n v="0"/>
    <x v="2"/>
  </r>
  <r>
    <x v="4"/>
    <x v="414"/>
    <x v="0"/>
    <n v="0"/>
    <x v="2"/>
  </r>
  <r>
    <x v="4"/>
    <x v="414"/>
    <x v="1"/>
    <n v="0"/>
    <x v="2"/>
  </r>
  <r>
    <x v="4"/>
    <x v="414"/>
    <x v="2"/>
    <n v="0"/>
    <x v="2"/>
  </r>
  <r>
    <x v="4"/>
    <x v="414"/>
    <x v="3"/>
    <n v="0"/>
    <x v="2"/>
  </r>
  <r>
    <x v="4"/>
    <x v="414"/>
    <x v="4"/>
    <n v="0"/>
    <x v="2"/>
  </r>
  <r>
    <x v="4"/>
    <x v="414"/>
    <x v="5"/>
    <n v="0"/>
    <x v="2"/>
  </r>
  <r>
    <x v="4"/>
    <x v="414"/>
    <x v="6"/>
    <n v="0"/>
    <x v="2"/>
  </r>
  <r>
    <x v="4"/>
    <x v="414"/>
    <x v="7"/>
    <n v="0"/>
    <x v="2"/>
  </r>
  <r>
    <x v="4"/>
    <x v="414"/>
    <x v="8"/>
    <n v="0"/>
    <x v="2"/>
  </r>
  <r>
    <x v="4"/>
    <x v="414"/>
    <x v="9"/>
    <n v="0"/>
    <x v="2"/>
  </r>
  <r>
    <x v="4"/>
    <x v="414"/>
    <x v="10"/>
    <n v="0"/>
    <x v="2"/>
  </r>
  <r>
    <x v="4"/>
    <x v="414"/>
    <x v="11"/>
    <n v="1000"/>
    <x v="2"/>
  </r>
  <r>
    <x v="4"/>
    <x v="328"/>
    <x v="0"/>
    <m/>
    <x v="2"/>
  </r>
  <r>
    <x v="4"/>
    <x v="328"/>
    <x v="1"/>
    <m/>
    <x v="2"/>
  </r>
  <r>
    <x v="4"/>
    <x v="328"/>
    <x v="2"/>
    <m/>
    <x v="2"/>
  </r>
  <r>
    <x v="4"/>
    <x v="328"/>
    <x v="3"/>
    <m/>
    <x v="2"/>
  </r>
  <r>
    <x v="4"/>
    <x v="328"/>
    <x v="4"/>
    <m/>
    <x v="2"/>
  </r>
  <r>
    <x v="4"/>
    <x v="328"/>
    <x v="5"/>
    <m/>
    <x v="2"/>
  </r>
  <r>
    <x v="4"/>
    <x v="328"/>
    <x v="6"/>
    <m/>
    <x v="2"/>
  </r>
  <r>
    <x v="4"/>
    <x v="328"/>
    <x v="7"/>
    <m/>
    <x v="2"/>
  </r>
  <r>
    <x v="4"/>
    <x v="328"/>
    <x v="8"/>
    <n v="0"/>
    <x v="2"/>
  </r>
  <r>
    <x v="4"/>
    <x v="328"/>
    <x v="9"/>
    <n v="0"/>
    <x v="2"/>
  </r>
  <r>
    <x v="4"/>
    <x v="328"/>
    <x v="10"/>
    <n v="0"/>
    <x v="2"/>
  </r>
  <r>
    <x v="4"/>
    <x v="328"/>
    <x v="11"/>
    <n v="0"/>
    <x v="2"/>
  </r>
  <r>
    <x v="4"/>
    <x v="415"/>
    <x v="0"/>
    <m/>
    <x v="2"/>
  </r>
  <r>
    <x v="4"/>
    <x v="415"/>
    <x v="1"/>
    <m/>
    <x v="2"/>
  </r>
  <r>
    <x v="4"/>
    <x v="415"/>
    <x v="2"/>
    <m/>
    <x v="2"/>
  </r>
  <r>
    <x v="4"/>
    <x v="415"/>
    <x v="3"/>
    <m/>
    <x v="2"/>
  </r>
  <r>
    <x v="4"/>
    <x v="415"/>
    <x v="4"/>
    <m/>
    <x v="2"/>
  </r>
  <r>
    <x v="4"/>
    <x v="415"/>
    <x v="5"/>
    <m/>
    <x v="2"/>
  </r>
  <r>
    <x v="4"/>
    <x v="415"/>
    <x v="6"/>
    <m/>
    <x v="2"/>
  </r>
  <r>
    <x v="4"/>
    <x v="415"/>
    <x v="7"/>
    <m/>
    <x v="2"/>
  </r>
  <r>
    <x v="4"/>
    <x v="415"/>
    <x v="8"/>
    <n v="0"/>
    <x v="2"/>
  </r>
  <r>
    <x v="4"/>
    <x v="415"/>
    <x v="9"/>
    <n v="0"/>
    <x v="2"/>
  </r>
  <r>
    <x v="4"/>
    <x v="415"/>
    <x v="10"/>
    <n v="0"/>
    <x v="2"/>
  </r>
  <r>
    <x v="4"/>
    <x v="415"/>
    <x v="11"/>
    <n v="0"/>
    <x v="2"/>
  </r>
  <r>
    <x v="4"/>
    <x v="330"/>
    <x v="0"/>
    <m/>
    <x v="2"/>
  </r>
  <r>
    <x v="4"/>
    <x v="330"/>
    <x v="1"/>
    <m/>
    <x v="2"/>
  </r>
  <r>
    <x v="4"/>
    <x v="330"/>
    <x v="2"/>
    <m/>
    <x v="2"/>
  </r>
  <r>
    <x v="4"/>
    <x v="330"/>
    <x v="3"/>
    <m/>
    <x v="2"/>
  </r>
  <r>
    <x v="4"/>
    <x v="330"/>
    <x v="4"/>
    <m/>
    <x v="2"/>
  </r>
  <r>
    <x v="4"/>
    <x v="330"/>
    <x v="5"/>
    <m/>
    <x v="2"/>
  </r>
  <r>
    <x v="4"/>
    <x v="330"/>
    <x v="6"/>
    <m/>
    <x v="2"/>
  </r>
  <r>
    <x v="4"/>
    <x v="330"/>
    <x v="7"/>
    <m/>
    <x v="2"/>
  </r>
  <r>
    <x v="4"/>
    <x v="330"/>
    <x v="8"/>
    <n v="0"/>
    <x v="2"/>
  </r>
  <r>
    <x v="4"/>
    <x v="330"/>
    <x v="9"/>
    <n v="0"/>
    <x v="2"/>
  </r>
  <r>
    <x v="4"/>
    <x v="330"/>
    <x v="10"/>
    <n v="0"/>
    <x v="2"/>
  </r>
  <r>
    <x v="4"/>
    <x v="330"/>
    <x v="11"/>
    <n v="0"/>
    <x v="2"/>
  </r>
  <r>
    <x v="4"/>
    <x v="331"/>
    <x v="0"/>
    <m/>
    <x v="2"/>
  </r>
  <r>
    <x v="4"/>
    <x v="331"/>
    <x v="1"/>
    <m/>
    <x v="2"/>
  </r>
  <r>
    <x v="4"/>
    <x v="331"/>
    <x v="2"/>
    <m/>
    <x v="2"/>
  </r>
  <r>
    <x v="4"/>
    <x v="331"/>
    <x v="3"/>
    <m/>
    <x v="2"/>
  </r>
  <r>
    <x v="4"/>
    <x v="331"/>
    <x v="4"/>
    <m/>
    <x v="2"/>
  </r>
  <r>
    <x v="4"/>
    <x v="331"/>
    <x v="5"/>
    <m/>
    <x v="2"/>
  </r>
  <r>
    <x v="4"/>
    <x v="331"/>
    <x v="6"/>
    <m/>
    <x v="2"/>
  </r>
  <r>
    <x v="4"/>
    <x v="331"/>
    <x v="7"/>
    <m/>
    <x v="2"/>
  </r>
  <r>
    <x v="4"/>
    <x v="331"/>
    <x v="8"/>
    <n v="0"/>
    <x v="2"/>
  </r>
  <r>
    <x v="4"/>
    <x v="331"/>
    <x v="9"/>
    <n v="0"/>
    <x v="2"/>
  </r>
  <r>
    <x v="4"/>
    <x v="331"/>
    <x v="10"/>
    <n v="0"/>
    <x v="2"/>
  </r>
  <r>
    <x v="4"/>
    <x v="331"/>
    <x v="11"/>
    <n v="0"/>
    <x v="2"/>
  </r>
  <r>
    <x v="4"/>
    <x v="416"/>
    <x v="0"/>
    <m/>
    <x v="2"/>
  </r>
  <r>
    <x v="4"/>
    <x v="416"/>
    <x v="1"/>
    <m/>
    <x v="2"/>
  </r>
  <r>
    <x v="4"/>
    <x v="416"/>
    <x v="2"/>
    <m/>
    <x v="2"/>
  </r>
  <r>
    <x v="4"/>
    <x v="416"/>
    <x v="3"/>
    <m/>
    <x v="2"/>
  </r>
  <r>
    <x v="4"/>
    <x v="416"/>
    <x v="4"/>
    <m/>
    <x v="2"/>
  </r>
  <r>
    <x v="4"/>
    <x v="416"/>
    <x v="5"/>
    <m/>
    <x v="2"/>
  </r>
  <r>
    <x v="4"/>
    <x v="416"/>
    <x v="6"/>
    <m/>
    <x v="2"/>
  </r>
  <r>
    <x v="4"/>
    <x v="416"/>
    <x v="7"/>
    <m/>
    <x v="2"/>
  </r>
  <r>
    <x v="4"/>
    <x v="416"/>
    <x v="8"/>
    <n v="0"/>
    <x v="2"/>
  </r>
  <r>
    <x v="4"/>
    <x v="416"/>
    <x v="9"/>
    <n v="0"/>
    <x v="2"/>
  </r>
  <r>
    <x v="4"/>
    <x v="416"/>
    <x v="10"/>
    <n v="0"/>
    <x v="2"/>
  </r>
  <r>
    <x v="4"/>
    <x v="416"/>
    <x v="11"/>
    <n v="0"/>
    <x v="2"/>
  </r>
  <r>
    <x v="5"/>
    <x v="333"/>
    <x v="0"/>
    <n v="0"/>
    <x v="2"/>
  </r>
  <r>
    <x v="5"/>
    <x v="333"/>
    <x v="1"/>
    <n v="0"/>
    <x v="2"/>
  </r>
  <r>
    <x v="5"/>
    <x v="333"/>
    <x v="2"/>
    <n v="16"/>
    <x v="2"/>
  </r>
  <r>
    <x v="5"/>
    <x v="333"/>
    <x v="3"/>
    <n v="0"/>
    <x v="2"/>
  </r>
  <r>
    <x v="5"/>
    <x v="333"/>
    <x v="4"/>
    <n v="0"/>
    <x v="2"/>
  </r>
  <r>
    <x v="5"/>
    <x v="333"/>
    <x v="5"/>
    <n v="0"/>
    <x v="2"/>
  </r>
  <r>
    <x v="5"/>
    <x v="333"/>
    <x v="6"/>
    <n v="0"/>
    <x v="2"/>
  </r>
  <r>
    <x v="5"/>
    <x v="333"/>
    <x v="7"/>
    <n v="0"/>
    <x v="2"/>
  </r>
  <r>
    <x v="5"/>
    <x v="333"/>
    <x v="8"/>
    <n v="0"/>
    <x v="2"/>
  </r>
  <r>
    <x v="5"/>
    <x v="333"/>
    <x v="9"/>
    <n v="0"/>
    <x v="2"/>
  </r>
  <r>
    <x v="5"/>
    <x v="333"/>
    <x v="10"/>
    <n v="0"/>
    <x v="2"/>
  </r>
  <r>
    <x v="5"/>
    <x v="333"/>
    <x v="11"/>
    <n v="0"/>
    <x v="2"/>
  </r>
  <r>
    <x v="5"/>
    <x v="179"/>
    <x v="0"/>
    <n v="42"/>
    <x v="2"/>
  </r>
  <r>
    <x v="5"/>
    <x v="179"/>
    <x v="1"/>
    <n v="55"/>
    <x v="2"/>
  </r>
  <r>
    <x v="5"/>
    <x v="179"/>
    <x v="2"/>
    <n v="1425"/>
    <x v="2"/>
  </r>
  <r>
    <x v="5"/>
    <x v="179"/>
    <x v="3"/>
    <n v="137"/>
    <x v="2"/>
  </r>
  <r>
    <x v="5"/>
    <x v="179"/>
    <x v="4"/>
    <n v="152"/>
    <x v="2"/>
  </r>
  <r>
    <x v="5"/>
    <x v="179"/>
    <x v="5"/>
    <n v="1657"/>
    <x v="2"/>
  </r>
  <r>
    <x v="5"/>
    <x v="179"/>
    <x v="6"/>
    <n v="1556"/>
    <x v="2"/>
  </r>
  <r>
    <x v="5"/>
    <x v="179"/>
    <x v="7"/>
    <n v="51"/>
    <x v="2"/>
  </r>
  <r>
    <x v="5"/>
    <x v="179"/>
    <x v="8"/>
    <n v="58"/>
    <x v="2"/>
  </r>
  <r>
    <x v="5"/>
    <x v="179"/>
    <x v="9"/>
    <n v="51"/>
    <x v="2"/>
  </r>
  <r>
    <x v="5"/>
    <x v="179"/>
    <x v="10"/>
    <n v="244"/>
    <x v="2"/>
  </r>
  <r>
    <x v="5"/>
    <x v="179"/>
    <x v="11"/>
    <n v="300"/>
    <x v="2"/>
  </r>
  <r>
    <x v="4"/>
    <x v="334"/>
    <x v="0"/>
    <n v="1023"/>
    <x v="2"/>
  </r>
  <r>
    <x v="4"/>
    <x v="334"/>
    <x v="1"/>
    <n v="1041"/>
    <x v="2"/>
  </r>
  <r>
    <x v="4"/>
    <x v="334"/>
    <x v="2"/>
    <n v="1041"/>
    <x v="2"/>
  </r>
  <r>
    <x v="4"/>
    <x v="334"/>
    <x v="3"/>
    <n v="1541"/>
    <x v="2"/>
  </r>
  <r>
    <x v="4"/>
    <x v="334"/>
    <x v="4"/>
    <n v="1393"/>
    <x v="2"/>
  </r>
  <r>
    <x v="4"/>
    <x v="334"/>
    <x v="5"/>
    <n v="1602"/>
    <x v="2"/>
  </r>
  <r>
    <x v="4"/>
    <x v="334"/>
    <x v="6"/>
    <n v="1068"/>
    <x v="2"/>
  </r>
  <r>
    <x v="4"/>
    <x v="334"/>
    <x v="7"/>
    <n v="1492"/>
    <x v="2"/>
  </r>
  <r>
    <x v="4"/>
    <x v="334"/>
    <x v="8"/>
    <n v="784"/>
    <x v="2"/>
  </r>
  <r>
    <x v="4"/>
    <x v="334"/>
    <x v="9"/>
    <n v="1130"/>
    <x v="2"/>
  </r>
  <r>
    <x v="4"/>
    <x v="334"/>
    <x v="10"/>
    <n v="1664"/>
    <x v="2"/>
  </r>
  <r>
    <x v="4"/>
    <x v="334"/>
    <x v="11"/>
    <n v="1664"/>
    <x v="2"/>
  </r>
  <r>
    <x v="5"/>
    <x v="417"/>
    <x v="0"/>
    <n v="0"/>
    <x v="2"/>
  </r>
  <r>
    <x v="5"/>
    <x v="417"/>
    <x v="1"/>
    <n v="0"/>
    <x v="2"/>
  </r>
  <r>
    <x v="5"/>
    <x v="417"/>
    <x v="2"/>
    <n v="3390"/>
    <x v="2"/>
  </r>
  <r>
    <x v="5"/>
    <x v="417"/>
    <x v="3"/>
    <n v="0"/>
    <x v="2"/>
  </r>
  <r>
    <x v="5"/>
    <x v="417"/>
    <x v="4"/>
    <n v="0"/>
    <x v="2"/>
  </r>
  <r>
    <x v="5"/>
    <x v="417"/>
    <x v="5"/>
    <n v="0"/>
    <x v="2"/>
  </r>
  <r>
    <x v="5"/>
    <x v="417"/>
    <x v="6"/>
    <n v="0"/>
    <x v="2"/>
  </r>
  <r>
    <x v="5"/>
    <x v="417"/>
    <x v="7"/>
    <n v="0"/>
    <x v="2"/>
  </r>
  <r>
    <x v="5"/>
    <x v="417"/>
    <x v="8"/>
    <n v="0"/>
    <x v="2"/>
  </r>
  <r>
    <x v="5"/>
    <x v="417"/>
    <x v="9"/>
    <n v="0"/>
    <x v="2"/>
  </r>
  <r>
    <x v="5"/>
    <x v="417"/>
    <x v="10"/>
    <n v="0"/>
    <x v="2"/>
  </r>
  <r>
    <x v="5"/>
    <x v="417"/>
    <x v="11"/>
    <n v="0"/>
    <x v="2"/>
  </r>
  <r>
    <x v="4"/>
    <x v="336"/>
    <x v="0"/>
    <n v="503"/>
    <x v="2"/>
  </r>
  <r>
    <x v="4"/>
    <x v="336"/>
    <x v="1"/>
    <n v="1124"/>
    <x v="2"/>
  </r>
  <r>
    <x v="4"/>
    <x v="336"/>
    <x v="2"/>
    <n v="612"/>
    <x v="2"/>
  </r>
  <r>
    <x v="4"/>
    <x v="336"/>
    <x v="3"/>
    <n v="7632"/>
    <x v="2"/>
  </r>
  <r>
    <x v="4"/>
    <x v="336"/>
    <x v="4"/>
    <n v="2998"/>
    <x v="2"/>
  </r>
  <r>
    <x v="4"/>
    <x v="336"/>
    <x v="5"/>
    <n v="4295"/>
    <x v="2"/>
  </r>
  <r>
    <x v="4"/>
    <x v="336"/>
    <x v="6"/>
    <n v="4078"/>
    <x v="2"/>
  </r>
  <r>
    <x v="4"/>
    <x v="336"/>
    <x v="7"/>
    <n v="5121"/>
    <x v="2"/>
  </r>
  <r>
    <x v="4"/>
    <x v="336"/>
    <x v="8"/>
    <n v="6481"/>
    <x v="2"/>
  </r>
  <r>
    <x v="4"/>
    <x v="336"/>
    <x v="9"/>
    <n v="780"/>
    <x v="2"/>
  </r>
  <r>
    <x v="4"/>
    <x v="336"/>
    <x v="10"/>
    <n v="742"/>
    <x v="2"/>
  </r>
  <r>
    <x v="4"/>
    <x v="336"/>
    <x v="11"/>
    <n v="2000"/>
    <x v="2"/>
  </r>
  <r>
    <x v="4"/>
    <x v="418"/>
    <x v="0"/>
    <n v="0"/>
    <x v="2"/>
  </r>
  <r>
    <x v="4"/>
    <x v="418"/>
    <x v="1"/>
    <n v="2851"/>
    <x v="2"/>
  </r>
  <r>
    <x v="4"/>
    <x v="418"/>
    <x v="2"/>
    <n v="0"/>
    <x v="2"/>
  </r>
  <r>
    <x v="4"/>
    <x v="418"/>
    <x v="3"/>
    <n v="0"/>
    <x v="2"/>
  </r>
  <r>
    <x v="4"/>
    <x v="418"/>
    <x v="4"/>
    <n v="0"/>
    <x v="2"/>
  </r>
  <r>
    <x v="4"/>
    <x v="418"/>
    <x v="5"/>
    <n v="0"/>
    <x v="2"/>
  </r>
  <r>
    <x v="4"/>
    <x v="418"/>
    <x v="6"/>
    <n v="0"/>
    <x v="2"/>
  </r>
  <r>
    <x v="4"/>
    <x v="418"/>
    <x v="7"/>
    <n v="0"/>
    <x v="2"/>
  </r>
  <r>
    <x v="4"/>
    <x v="418"/>
    <x v="8"/>
    <n v="0"/>
    <x v="2"/>
  </r>
  <r>
    <x v="4"/>
    <x v="418"/>
    <x v="9"/>
    <n v="0"/>
    <x v="2"/>
  </r>
  <r>
    <x v="4"/>
    <x v="418"/>
    <x v="10"/>
    <n v="0"/>
    <x v="2"/>
  </r>
  <r>
    <x v="4"/>
    <x v="418"/>
    <x v="11"/>
    <n v="0"/>
    <x v="2"/>
  </r>
  <r>
    <x v="4"/>
    <x v="341"/>
    <x v="0"/>
    <n v="0"/>
    <x v="2"/>
  </r>
  <r>
    <x v="4"/>
    <x v="341"/>
    <x v="1"/>
    <n v="0"/>
    <x v="2"/>
  </r>
  <r>
    <x v="4"/>
    <x v="341"/>
    <x v="2"/>
    <n v="0"/>
    <x v="2"/>
  </r>
  <r>
    <x v="4"/>
    <x v="341"/>
    <x v="3"/>
    <n v="0"/>
    <x v="2"/>
  </r>
  <r>
    <x v="4"/>
    <x v="341"/>
    <x v="4"/>
    <n v="0"/>
    <x v="2"/>
  </r>
  <r>
    <x v="4"/>
    <x v="341"/>
    <x v="5"/>
    <n v="0"/>
    <x v="2"/>
  </r>
  <r>
    <x v="4"/>
    <x v="341"/>
    <x v="6"/>
    <n v="0"/>
    <x v="2"/>
  </r>
  <r>
    <x v="4"/>
    <x v="341"/>
    <x v="7"/>
    <n v="0"/>
    <x v="2"/>
  </r>
  <r>
    <x v="4"/>
    <x v="341"/>
    <x v="8"/>
    <n v="0"/>
    <x v="2"/>
  </r>
  <r>
    <x v="4"/>
    <x v="341"/>
    <x v="9"/>
    <n v="0"/>
    <x v="2"/>
  </r>
  <r>
    <x v="4"/>
    <x v="341"/>
    <x v="10"/>
    <n v="0"/>
    <x v="2"/>
  </r>
  <r>
    <x v="4"/>
    <x v="341"/>
    <x v="11"/>
    <n v="0"/>
    <x v="2"/>
  </r>
  <r>
    <x v="8"/>
    <x v="419"/>
    <x v="0"/>
    <n v="2659"/>
    <x v="2"/>
  </r>
  <r>
    <x v="8"/>
    <x v="419"/>
    <x v="1"/>
    <n v="265"/>
    <x v="2"/>
  </r>
  <r>
    <x v="8"/>
    <x v="419"/>
    <x v="2"/>
    <n v="231"/>
    <x v="2"/>
  </r>
  <r>
    <x v="8"/>
    <x v="419"/>
    <x v="3"/>
    <n v="581"/>
    <x v="2"/>
  </r>
  <r>
    <x v="8"/>
    <x v="419"/>
    <x v="4"/>
    <n v="815"/>
    <x v="2"/>
  </r>
  <r>
    <x v="8"/>
    <x v="419"/>
    <x v="5"/>
    <n v="966"/>
    <x v="2"/>
  </r>
  <r>
    <x v="8"/>
    <x v="419"/>
    <x v="6"/>
    <n v="1571"/>
    <x v="2"/>
  </r>
  <r>
    <x v="8"/>
    <x v="419"/>
    <x v="7"/>
    <n v="639"/>
    <x v="2"/>
  </r>
  <r>
    <x v="8"/>
    <x v="419"/>
    <x v="8"/>
    <n v="709"/>
    <x v="2"/>
  </r>
  <r>
    <x v="8"/>
    <x v="419"/>
    <x v="9"/>
    <n v="4924"/>
    <x v="2"/>
  </r>
  <r>
    <x v="8"/>
    <x v="419"/>
    <x v="10"/>
    <n v="143"/>
    <x v="2"/>
  </r>
  <r>
    <x v="8"/>
    <x v="419"/>
    <x v="11"/>
    <n v="143"/>
    <x v="2"/>
  </r>
  <r>
    <x v="8"/>
    <x v="420"/>
    <x v="0"/>
    <n v="2927"/>
    <x v="2"/>
  </r>
  <r>
    <x v="8"/>
    <x v="420"/>
    <x v="1"/>
    <n v="5625"/>
    <x v="2"/>
  </r>
  <r>
    <x v="8"/>
    <x v="420"/>
    <x v="2"/>
    <n v="964"/>
    <x v="2"/>
  </r>
  <r>
    <x v="8"/>
    <x v="420"/>
    <x v="3"/>
    <n v="4088"/>
    <x v="2"/>
  </r>
  <r>
    <x v="8"/>
    <x v="420"/>
    <x v="4"/>
    <n v="5239"/>
    <x v="2"/>
  </r>
  <r>
    <x v="8"/>
    <x v="420"/>
    <x v="5"/>
    <n v="6620"/>
    <x v="2"/>
  </r>
  <r>
    <x v="8"/>
    <x v="420"/>
    <x v="6"/>
    <n v="8941"/>
    <x v="2"/>
  </r>
  <r>
    <x v="8"/>
    <x v="420"/>
    <x v="7"/>
    <n v="6898"/>
    <x v="2"/>
  </r>
  <r>
    <x v="8"/>
    <x v="420"/>
    <x v="8"/>
    <n v="4746"/>
    <x v="2"/>
  </r>
  <r>
    <x v="8"/>
    <x v="420"/>
    <x v="9"/>
    <n v="35828"/>
    <x v="2"/>
  </r>
  <r>
    <x v="8"/>
    <x v="420"/>
    <x v="10"/>
    <n v="995"/>
    <x v="2"/>
  </r>
  <r>
    <x v="8"/>
    <x v="420"/>
    <x v="11"/>
    <n v="995"/>
    <x v="2"/>
  </r>
  <r>
    <x v="8"/>
    <x v="421"/>
    <x v="0"/>
    <n v="1252"/>
    <x v="2"/>
  </r>
  <r>
    <x v="8"/>
    <x v="421"/>
    <x v="1"/>
    <n v="3023"/>
    <x v="2"/>
  </r>
  <r>
    <x v="8"/>
    <x v="421"/>
    <x v="2"/>
    <n v="70"/>
    <x v="2"/>
  </r>
  <r>
    <x v="8"/>
    <x v="421"/>
    <x v="3"/>
    <n v="2415"/>
    <x v="2"/>
  </r>
  <r>
    <x v="8"/>
    <x v="421"/>
    <x v="4"/>
    <n v="1340"/>
    <x v="2"/>
  </r>
  <r>
    <x v="8"/>
    <x v="421"/>
    <x v="5"/>
    <n v="1810"/>
    <x v="2"/>
  </r>
  <r>
    <x v="8"/>
    <x v="421"/>
    <x v="6"/>
    <n v="2"/>
    <x v="2"/>
  </r>
  <r>
    <x v="8"/>
    <x v="421"/>
    <x v="7"/>
    <n v="12250"/>
    <x v="2"/>
  </r>
  <r>
    <x v="8"/>
    <x v="421"/>
    <x v="8"/>
    <n v="8618"/>
    <x v="2"/>
  </r>
  <r>
    <x v="8"/>
    <x v="421"/>
    <x v="9"/>
    <n v="6595"/>
    <x v="2"/>
  </r>
  <r>
    <x v="8"/>
    <x v="421"/>
    <x v="10"/>
    <n v="5316"/>
    <x v="2"/>
  </r>
  <r>
    <x v="8"/>
    <x v="421"/>
    <x v="11"/>
    <n v="7869"/>
    <x v="2"/>
  </r>
  <r>
    <x v="8"/>
    <x v="422"/>
    <x v="0"/>
    <n v="956"/>
    <x v="2"/>
  </r>
  <r>
    <x v="8"/>
    <x v="422"/>
    <x v="1"/>
    <n v="0"/>
    <x v="2"/>
  </r>
  <r>
    <x v="8"/>
    <x v="422"/>
    <x v="2"/>
    <n v="75"/>
    <x v="2"/>
  </r>
  <r>
    <x v="8"/>
    <x v="422"/>
    <x v="3"/>
    <n v="1128"/>
    <x v="2"/>
  </r>
  <r>
    <x v="8"/>
    <x v="422"/>
    <x v="4"/>
    <n v="1500"/>
    <x v="2"/>
  </r>
  <r>
    <x v="8"/>
    <x v="422"/>
    <x v="5"/>
    <n v="495"/>
    <x v="2"/>
  </r>
  <r>
    <x v="8"/>
    <x v="422"/>
    <x v="6"/>
    <n v="842"/>
    <x v="2"/>
  </r>
  <r>
    <x v="8"/>
    <x v="422"/>
    <x v="7"/>
    <n v="142"/>
    <x v="2"/>
  </r>
  <r>
    <x v="8"/>
    <x v="422"/>
    <x v="8"/>
    <n v="190"/>
    <x v="2"/>
  </r>
  <r>
    <x v="8"/>
    <x v="422"/>
    <x v="9"/>
    <n v="189"/>
    <x v="2"/>
  </r>
  <r>
    <x v="8"/>
    <x v="422"/>
    <x v="10"/>
    <n v="0"/>
    <x v="2"/>
  </r>
  <r>
    <x v="8"/>
    <x v="422"/>
    <x v="11"/>
    <n v="0"/>
    <x v="2"/>
  </r>
  <r>
    <x v="8"/>
    <x v="423"/>
    <x v="0"/>
    <n v="0"/>
    <x v="2"/>
  </r>
  <r>
    <x v="8"/>
    <x v="423"/>
    <x v="1"/>
    <n v="0"/>
    <x v="2"/>
  </r>
  <r>
    <x v="8"/>
    <x v="423"/>
    <x v="2"/>
    <n v="0"/>
    <x v="2"/>
  </r>
  <r>
    <x v="8"/>
    <x v="423"/>
    <x v="3"/>
    <n v="4123"/>
    <x v="2"/>
  </r>
  <r>
    <x v="8"/>
    <x v="423"/>
    <x v="4"/>
    <n v="517"/>
    <x v="2"/>
  </r>
  <r>
    <x v="8"/>
    <x v="423"/>
    <x v="5"/>
    <n v="2139"/>
    <x v="2"/>
  </r>
  <r>
    <x v="8"/>
    <x v="423"/>
    <x v="6"/>
    <n v="0"/>
    <x v="2"/>
  </r>
  <r>
    <x v="8"/>
    <x v="423"/>
    <x v="7"/>
    <n v="0"/>
    <x v="2"/>
  </r>
  <r>
    <x v="8"/>
    <x v="423"/>
    <x v="8"/>
    <n v="0"/>
    <x v="2"/>
  </r>
  <r>
    <x v="8"/>
    <x v="423"/>
    <x v="9"/>
    <n v="0"/>
    <x v="2"/>
  </r>
  <r>
    <x v="8"/>
    <x v="423"/>
    <x v="10"/>
    <n v="30668"/>
    <x v="2"/>
  </r>
  <r>
    <x v="8"/>
    <x v="423"/>
    <x v="11"/>
    <n v="40100"/>
    <x v="2"/>
  </r>
  <r>
    <x v="8"/>
    <x v="424"/>
    <x v="0"/>
    <n v="0"/>
    <x v="2"/>
  </r>
  <r>
    <x v="8"/>
    <x v="424"/>
    <x v="1"/>
    <n v="0"/>
    <x v="2"/>
  </r>
  <r>
    <x v="8"/>
    <x v="424"/>
    <x v="2"/>
    <n v="0"/>
    <x v="2"/>
  </r>
  <r>
    <x v="8"/>
    <x v="424"/>
    <x v="3"/>
    <n v="0"/>
    <x v="2"/>
  </r>
  <r>
    <x v="8"/>
    <x v="424"/>
    <x v="4"/>
    <n v="0"/>
    <x v="2"/>
  </r>
  <r>
    <x v="8"/>
    <x v="424"/>
    <x v="5"/>
    <n v="424"/>
    <x v="2"/>
  </r>
  <r>
    <x v="8"/>
    <x v="424"/>
    <x v="6"/>
    <n v="0"/>
    <x v="2"/>
  </r>
  <r>
    <x v="8"/>
    <x v="424"/>
    <x v="7"/>
    <n v="0"/>
    <x v="2"/>
  </r>
  <r>
    <x v="8"/>
    <x v="424"/>
    <x v="8"/>
    <n v="0"/>
    <x v="2"/>
  </r>
  <r>
    <x v="8"/>
    <x v="424"/>
    <x v="9"/>
    <n v="0"/>
    <x v="2"/>
  </r>
  <r>
    <x v="8"/>
    <x v="424"/>
    <x v="10"/>
    <n v="0"/>
    <x v="2"/>
  </r>
  <r>
    <x v="8"/>
    <x v="424"/>
    <x v="11"/>
    <n v="0"/>
    <x v="2"/>
  </r>
  <r>
    <x v="8"/>
    <x v="425"/>
    <x v="0"/>
    <n v="0"/>
    <x v="2"/>
  </r>
  <r>
    <x v="8"/>
    <x v="425"/>
    <x v="1"/>
    <n v="0"/>
    <x v="2"/>
  </r>
  <r>
    <x v="8"/>
    <x v="425"/>
    <x v="2"/>
    <n v="0"/>
    <x v="2"/>
  </r>
  <r>
    <x v="8"/>
    <x v="425"/>
    <x v="3"/>
    <n v="0"/>
    <x v="2"/>
  </r>
  <r>
    <x v="8"/>
    <x v="425"/>
    <x v="4"/>
    <n v="0"/>
    <x v="2"/>
  </r>
  <r>
    <x v="8"/>
    <x v="425"/>
    <x v="5"/>
    <n v="0"/>
    <x v="2"/>
  </r>
  <r>
    <x v="8"/>
    <x v="425"/>
    <x v="6"/>
    <n v="0"/>
    <x v="2"/>
  </r>
  <r>
    <x v="8"/>
    <x v="425"/>
    <x v="7"/>
    <n v="0"/>
    <x v="2"/>
  </r>
  <r>
    <x v="8"/>
    <x v="425"/>
    <x v="8"/>
    <n v="0"/>
    <x v="2"/>
  </r>
  <r>
    <x v="8"/>
    <x v="425"/>
    <x v="9"/>
    <n v="0"/>
    <x v="2"/>
  </r>
  <r>
    <x v="8"/>
    <x v="425"/>
    <x v="10"/>
    <n v="0"/>
    <x v="2"/>
  </r>
  <r>
    <x v="8"/>
    <x v="425"/>
    <x v="11"/>
    <n v="25000"/>
    <x v="2"/>
  </r>
  <r>
    <x v="8"/>
    <x v="426"/>
    <x v="0"/>
    <n v="4700"/>
    <x v="2"/>
  </r>
  <r>
    <x v="8"/>
    <x v="426"/>
    <x v="1"/>
    <n v="4827"/>
    <x v="2"/>
  </r>
  <r>
    <x v="8"/>
    <x v="426"/>
    <x v="2"/>
    <n v="5037"/>
    <x v="2"/>
  </r>
  <r>
    <x v="8"/>
    <x v="426"/>
    <x v="3"/>
    <n v="10677"/>
    <x v="2"/>
  </r>
  <r>
    <x v="8"/>
    <x v="426"/>
    <x v="4"/>
    <n v="0"/>
    <x v="2"/>
  </r>
  <r>
    <x v="8"/>
    <x v="426"/>
    <x v="5"/>
    <n v="0"/>
    <x v="2"/>
  </r>
  <r>
    <x v="8"/>
    <x v="426"/>
    <x v="6"/>
    <n v="5469"/>
    <x v="2"/>
  </r>
  <r>
    <x v="8"/>
    <x v="426"/>
    <x v="7"/>
    <n v="5828"/>
    <x v="2"/>
  </r>
  <r>
    <x v="8"/>
    <x v="426"/>
    <x v="8"/>
    <n v="5895"/>
    <x v="2"/>
  </r>
  <r>
    <x v="8"/>
    <x v="426"/>
    <x v="9"/>
    <n v="15755"/>
    <x v="2"/>
  </r>
  <r>
    <x v="8"/>
    <x v="426"/>
    <x v="10"/>
    <n v="16213"/>
    <x v="2"/>
  </r>
  <r>
    <x v="8"/>
    <x v="426"/>
    <x v="11"/>
    <n v="16500"/>
    <x v="2"/>
  </r>
  <r>
    <x v="8"/>
    <x v="427"/>
    <x v="0"/>
    <n v="1463"/>
    <x v="2"/>
  </r>
  <r>
    <x v="8"/>
    <x v="427"/>
    <x v="1"/>
    <n v="1503"/>
    <x v="2"/>
  </r>
  <r>
    <x v="8"/>
    <x v="427"/>
    <x v="2"/>
    <n v="1568"/>
    <x v="2"/>
  </r>
  <r>
    <x v="8"/>
    <x v="427"/>
    <x v="3"/>
    <n v="3386"/>
    <x v="2"/>
  </r>
  <r>
    <x v="8"/>
    <x v="427"/>
    <x v="4"/>
    <n v="0"/>
    <x v="2"/>
  </r>
  <r>
    <x v="8"/>
    <x v="427"/>
    <x v="5"/>
    <n v="0"/>
    <x v="2"/>
  </r>
  <r>
    <x v="8"/>
    <x v="427"/>
    <x v="6"/>
    <n v="1705"/>
    <x v="2"/>
  </r>
  <r>
    <x v="8"/>
    <x v="427"/>
    <x v="7"/>
    <n v="1804"/>
    <x v="2"/>
  </r>
  <r>
    <x v="8"/>
    <x v="427"/>
    <x v="8"/>
    <n v="1825"/>
    <x v="2"/>
  </r>
  <r>
    <x v="8"/>
    <x v="427"/>
    <x v="9"/>
    <n v="0"/>
    <x v="2"/>
  </r>
  <r>
    <x v="8"/>
    <x v="427"/>
    <x v="10"/>
    <n v="4777"/>
    <x v="2"/>
  </r>
  <r>
    <x v="8"/>
    <x v="427"/>
    <x v="11"/>
    <n v="5000"/>
    <x v="2"/>
  </r>
  <r>
    <x v="7"/>
    <x v="346"/>
    <x v="0"/>
    <n v="0"/>
    <x v="2"/>
  </r>
  <r>
    <x v="7"/>
    <x v="346"/>
    <x v="1"/>
    <n v="0"/>
    <x v="2"/>
  </r>
  <r>
    <x v="7"/>
    <x v="346"/>
    <x v="2"/>
    <n v="0"/>
    <x v="2"/>
  </r>
  <r>
    <x v="7"/>
    <x v="346"/>
    <x v="3"/>
    <n v="0"/>
    <x v="2"/>
  </r>
  <r>
    <x v="7"/>
    <x v="346"/>
    <x v="4"/>
    <n v="0"/>
    <x v="2"/>
  </r>
  <r>
    <x v="7"/>
    <x v="346"/>
    <x v="5"/>
    <n v="0"/>
    <x v="2"/>
  </r>
  <r>
    <x v="7"/>
    <x v="346"/>
    <x v="6"/>
    <n v="0"/>
    <x v="2"/>
  </r>
  <r>
    <x v="7"/>
    <x v="346"/>
    <x v="7"/>
    <n v="0"/>
    <x v="2"/>
  </r>
  <r>
    <x v="7"/>
    <x v="346"/>
    <x v="8"/>
    <n v="0"/>
    <x v="2"/>
  </r>
  <r>
    <x v="7"/>
    <x v="346"/>
    <x v="9"/>
    <n v="0"/>
    <x v="2"/>
  </r>
  <r>
    <x v="7"/>
    <x v="346"/>
    <x v="10"/>
    <n v="0"/>
    <x v="2"/>
  </r>
  <r>
    <x v="7"/>
    <x v="346"/>
    <x v="11"/>
    <n v="0"/>
    <x v="2"/>
  </r>
  <r>
    <x v="7"/>
    <x v="347"/>
    <x v="0"/>
    <n v="0"/>
    <x v="2"/>
  </r>
  <r>
    <x v="7"/>
    <x v="347"/>
    <x v="1"/>
    <n v="0"/>
    <x v="2"/>
  </r>
  <r>
    <x v="7"/>
    <x v="347"/>
    <x v="2"/>
    <n v="0"/>
    <x v="2"/>
  </r>
  <r>
    <x v="7"/>
    <x v="347"/>
    <x v="3"/>
    <n v="0"/>
    <x v="2"/>
  </r>
  <r>
    <x v="7"/>
    <x v="347"/>
    <x v="4"/>
    <n v="0"/>
    <x v="2"/>
  </r>
  <r>
    <x v="7"/>
    <x v="347"/>
    <x v="5"/>
    <n v="0"/>
    <x v="2"/>
  </r>
  <r>
    <x v="7"/>
    <x v="347"/>
    <x v="6"/>
    <n v="0"/>
    <x v="2"/>
  </r>
  <r>
    <x v="7"/>
    <x v="347"/>
    <x v="7"/>
    <n v="0"/>
    <x v="2"/>
  </r>
  <r>
    <x v="7"/>
    <x v="347"/>
    <x v="8"/>
    <n v="0"/>
    <x v="2"/>
  </r>
  <r>
    <x v="7"/>
    <x v="347"/>
    <x v="9"/>
    <n v="0"/>
    <x v="2"/>
  </r>
  <r>
    <x v="7"/>
    <x v="347"/>
    <x v="10"/>
    <n v="0"/>
    <x v="2"/>
  </r>
  <r>
    <x v="7"/>
    <x v="347"/>
    <x v="11"/>
    <n v="0"/>
    <x v="2"/>
  </r>
  <r>
    <x v="7"/>
    <x v="348"/>
    <x v="0"/>
    <n v="0"/>
    <x v="2"/>
  </r>
  <r>
    <x v="7"/>
    <x v="348"/>
    <x v="1"/>
    <n v="0"/>
    <x v="2"/>
  </r>
  <r>
    <x v="7"/>
    <x v="348"/>
    <x v="2"/>
    <n v="0"/>
    <x v="2"/>
  </r>
  <r>
    <x v="7"/>
    <x v="348"/>
    <x v="3"/>
    <n v="0"/>
    <x v="2"/>
  </r>
  <r>
    <x v="7"/>
    <x v="348"/>
    <x v="4"/>
    <n v="133710"/>
    <x v="2"/>
  </r>
  <r>
    <x v="7"/>
    <x v="348"/>
    <x v="5"/>
    <n v="0"/>
    <x v="2"/>
  </r>
  <r>
    <x v="7"/>
    <x v="348"/>
    <x v="6"/>
    <n v="0"/>
    <x v="2"/>
  </r>
  <r>
    <x v="7"/>
    <x v="348"/>
    <x v="7"/>
    <n v="0"/>
    <x v="2"/>
  </r>
  <r>
    <x v="7"/>
    <x v="348"/>
    <x v="8"/>
    <n v="0"/>
    <x v="2"/>
  </r>
  <r>
    <x v="7"/>
    <x v="348"/>
    <x v="9"/>
    <n v="0"/>
    <x v="2"/>
  </r>
  <r>
    <x v="7"/>
    <x v="348"/>
    <x v="10"/>
    <n v="278213"/>
    <x v="2"/>
  </r>
  <r>
    <x v="7"/>
    <x v="348"/>
    <x v="11"/>
    <n v="196440"/>
    <x v="2"/>
  </r>
  <r>
    <x v="1"/>
    <x v="428"/>
    <x v="0"/>
    <n v="0"/>
    <x v="3"/>
  </r>
  <r>
    <x v="1"/>
    <x v="428"/>
    <x v="1"/>
    <n v="1995"/>
    <x v="3"/>
  </r>
  <r>
    <x v="1"/>
    <x v="428"/>
    <x v="2"/>
    <n v="0"/>
    <x v="3"/>
  </r>
  <r>
    <x v="1"/>
    <x v="428"/>
    <x v="3"/>
    <n v="0"/>
    <x v="3"/>
  </r>
  <r>
    <x v="1"/>
    <x v="428"/>
    <x v="4"/>
    <n v="0"/>
    <x v="3"/>
  </r>
  <r>
    <x v="1"/>
    <x v="428"/>
    <x v="5"/>
    <n v="0"/>
    <x v="3"/>
  </r>
  <r>
    <x v="1"/>
    <x v="428"/>
    <x v="6"/>
    <n v="0"/>
    <x v="3"/>
  </r>
  <r>
    <x v="1"/>
    <x v="428"/>
    <x v="7"/>
    <n v="0"/>
    <x v="3"/>
  </r>
  <r>
    <x v="1"/>
    <x v="428"/>
    <x v="8"/>
    <n v="0"/>
    <x v="3"/>
  </r>
  <r>
    <x v="1"/>
    <x v="428"/>
    <x v="9"/>
    <n v="0"/>
    <x v="3"/>
  </r>
  <r>
    <x v="1"/>
    <x v="428"/>
    <x v="10"/>
    <n v="0"/>
    <x v="3"/>
  </r>
  <r>
    <x v="1"/>
    <x v="428"/>
    <x v="11"/>
    <n v="0"/>
    <x v="3"/>
  </r>
  <r>
    <x v="0"/>
    <x v="429"/>
    <x v="0"/>
    <n v="0"/>
    <x v="3"/>
  </r>
  <r>
    <x v="0"/>
    <x v="429"/>
    <x v="1"/>
    <n v="0"/>
    <x v="3"/>
  </r>
  <r>
    <x v="0"/>
    <x v="429"/>
    <x v="2"/>
    <n v="51349"/>
    <x v="3"/>
  </r>
  <r>
    <x v="0"/>
    <x v="429"/>
    <x v="3"/>
    <n v="0"/>
    <x v="3"/>
  </r>
  <r>
    <x v="0"/>
    <x v="429"/>
    <x v="4"/>
    <n v="0"/>
    <x v="3"/>
  </r>
  <r>
    <x v="0"/>
    <x v="429"/>
    <x v="5"/>
    <n v="0"/>
    <x v="3"/>
  </r>
  <r>
    <x v="0"/>
    <x v="429"/>
    <x v="6"/>
    <n v="0"/>
    <x v="3"/>
  </r>
  <r>
    <x v="0"/>
    <x v="429"/>
    <x v="7"/>
    <n v="0"/>
    <x v="3"/>
  </r>
  <r>
    <x v="0"/>
    <x v="429"/>
    <x v="8"/>
    <n v="0"/>
    <x v="3"/>
  </r>
  <r>
    <x v="0"/>
    <x v="429"/>
    <x v="9"/>
    <n v="0"/>
    <x v="3"/>
  </r>
  <r>
    <x v="0"/>
    <x v="429"/>
    <x v="10"/>
    <n v="0"/>
    <x v="3"/>
  </r>
  <r>
    <x v="0"/>
    <x v="429"/>
    <x v="11"/>
    <n v="0"/>
    <x v="3"/>
  </r>
  <r>
    <x v="0"/>
    <x v="430"/>
    <x v="0"/>
    <n v="0"/>
    <x v="3"/>
  </r>
  <r>
    <x v="0"/>
    <x v="430"/>
    <x v="1"/>
    <n v="0"/>
    <x v="3"/>
  </r>
  <r>
    <x v="0"/>
    <x v="430"/>
    <x v="2"/>
    <n v="0"/>
    <x v="3"/>
  </r>
  <r>
    <x v="0"/>
    <x v="430"/>
    <x v="3"/>
    <n v="0"/>
    <x v="3"/>
  </r>
  <r>
    <x v="0"/>
    <x v="430"/>
    <x v="4"/>
    <n v="36217"/>
    <x v="3"/>
  </r>
  <r>
    <x v="0"/>
    <x v="430"/>
    <x v="5"/>
    <n v="0"/>
    <x v="3"/>
  </r>
  <r>
    <x v="0"/>
    <x v="430"/>
    <x v="6"/>
    <n v="0"/>
    <x v="3"/>
  </r>
  <r>
    <x v="0"/>
    <x v="430"/>
    <x v="7"/>
    <n v="0"/>
    <x v="3"/>
  </r>
  <r>
    <x v="0"/>
    <x v="430"/>
    <x v="8"/>
    <n v="0"/>
    <x v="3"/>
  </r>
  <r>
    <x v="0"/>
    <x v="430"/>
    <x v="9"/>
    <n v="0"/>
    <x v="3"/>
  </r>
  <r>
    <x v="0"/>
    <x v="430"/>
    <x v="10"/>
    <n v="0"/>
    <x v="3"/>
  </r>
  <r>
    <x v="0"/>
    <x v="430"/>
    <x v="11"/>
    <n v="0"/>
    <x v="3"/>
  </r>
  <r>
    <x v="0"/>
    <x v="431"/>
    <x v="0"/>
    <n v="0"/>
    <x v="3"/>
  </r>
  <r>
    <x v="0"/>
    <x v="431"/>
    <x v="1"/>
    <n v="0"/>
    <x v="3"/>
  </r>
  <r>
    <x v="0"/>
    <x v="431"/>
    <x v="2"/>
    <n v="0"/>
    <x v="3"/>
  </r>
  <r>
    <x v="0"/>
    <x v="431"/>
    <x v="3"/>
    <n v="0"/>
    <x v="3"/>
  </r>
  <r>
    <x v="0"/>
    <x v="431"/>
    <x v="4"/>
    <n v="0"/>
    <x v="3"/>
  </r>
  <r>
    <x v="0"/>
    <x v="431"/>
    <x v="5"/>
    <n v="0"/>
    <x v="3"/>
  </r>
  <r>
    <x v="0"/>
    <x v="431"/>
    <x v="6"/>
    <n v="0"/>
    <x v="3"/>
  </r>
  <r>
    <x v="0"/>
    <x v="431"/>
    <x v="7"/>
    <n v="0"/>
    <x v="3"/>
  </r>
  <r>
    <x v="0"/>
    <x v="431"/>
    <x v="8"/>
    <n v="0"/>
    <x v="3"/>
  </r>
  <r>
    <x v="0"/>
    <x v="431"/>
    <x v="9"/>
    <n v="83731"/>
    <x v="3"/>
  </r>
  <r>
    <x v="0"/>
    <x v="431"/>
    <x v="10"/>
    <n v="0"/>
    <x v="3"/>
  </r>
  <r>
    <x v="0"/>
    <x v="431"/>
    <x v="11"/>
    <n v="16410"/>
    <x v="3"/>
  </r>
  <r>
    <x v="0"/>
    <x v="432"/>
    <x v="0"/>
    <n v="0"/>
    <x v="3"/>
  </r>
  <r>
    <x v="0"/>
    <x v="432"/>
    <x v="1"/>
    <n v="0"/>
    <x v="3"/>
  </r>
  <r>
    <x v="0"/>
    <x v="432"/>
    <x v="2"/>
    <n v="0"/>
    <x v="3"/>
  </r>
  <r>
    <x v="0"/>
    <x v="432"/>
    <x v="3"/>
    <n v="0"/>
    <x v="3"/>
  </r>
  <r>
    <x v="0"/>
    <x v="432"/>
    <x v="4"/>
    <n v="0"/>
    <x v="3"/>
  </r>
  <r>
    <x v="0"/>
    <x v="432"/>
    <x v="5"/>
    <n v="0"/>
    <x v="3"/>
  </r>
  <r>
    <x v="0"/>
    <x v="432"/>
    <x v="6"/>
    <n v="0"/>
    <x v="3"/>
  </r>
  <r>
    <x v="0"/>
    <x v="432"/>
    <x v="7"/>
    <n v="0"/>
    <x v="3"/>
  </r>
  <r>
    <x v="0"/>
    <x v="432"/>
    <x v="8"/>
    <n v="0"/>
    <x v="3"/>
  </r>
  <r>
    <x v="0"/>
    <x v="432"/>
    <x v="9"/>
    <n v="0"/>
    <x v="3"/>
  </r>
  <r>
    <x v="0"/>
    <x v="432"/>
    <x v="10"/>
    <n v="0"/>
    <x v="3"/>
  </r>
  <r>
    <x v="0"/>
    <x v="432"/>
    <x v="11"/>
    <n v="200000"/>
    <x v="3"/>
  </r>
  <r>
    <x v="1"/>
    <x v="433"/>
    <x v="0"/>
    <n v="0"/>
    <x v="3"/>
  </r>
  <r>
    <x v="1"/>
    <x v="433"/>
    <x v="1"/>
    <n v="0"/>
    <x v="3"/>
  </r>
  <r>
    <x v="1"/>
    <x v="433"/>
    <x v="2"/>
    <n v="0"/>
    <x v="3"/>
  </r>
  <r>
    <x v="1"/>
    <x v="433"/>
    <x v="3"/>
    <n v="0"/>
    <x v="3"/>
  </r>
  <r>
    <x v="1"/>
    <x v="433"/>
    <x v="4"/>
    <n v="9900"/>
    <x v="3"/>
  </r>
  <r>
    <x v="1"/>
    <x v="433"/>
    <x v="5"/>
    <n v="0"/>
    <x v="3"/>
  </r>
  <r>
    <x v="1"/>
    <x v="433"/>
    <x v="6"/>
    <n v="0"/>
    <x v="3"/>
  </r>
  <r>
    <x v="1"/>
    <x v="433"/>
    <x v="7"/>
    <n v="0"/>
    <x v="3"/>
  </r>
  <r>
    <x v="1"/>
    <x v="433"/>
    <x v="8"/>
    <n v="0"/>
    <x v="3"/>
  </r>
  <r>
    <x v="1"/>
    <x v="433"/>
    <x v="9"/>
    <n v="0"/>
    <x v="3"/>
  </r>
  <r>
    <x v="1"/>
    <x v="433"/>
    <x v="10"/>
    <n v="0"/>
    <x v="3"/>
  </r>
  <r>
    <x v="1"/>
    <x v="433"/>
    <x v="11"/>
    <n v="0"/>
    <x v="3"/>
  </r>
  <r>
    <x v="1"/>
    <x v="434"/>
    <x v="0"/>
    <n v="0"/>
    <x v="3"/>
  </r>
  <r>
    <x v="1"/>
    <x v="434"/>
    <x v="1"/>
    <n v="0"/>
    <x v="3"/>
  </r>
  <r>
    <x v="1"/>
    <x v="434"/>
    <x v="2"/>
    <n v="0"/>
    <x v="3"/>
  </r>
  <r>
    <x v="1"/>
    <x v="434"/>
    <x v="3"/>
    <n v="0"/>
    <x v="3"/>
  </r>
  <r>
    <x v="1"/>
    <x v="434"/>
    <x v="4"/>
    <n v="0"/>
    <x v="3"/>
  </r>
  <r>
    <x v="1"/>
    <x v="434"/>
    <x v="5"/>
    <n v="2663"/>
    <x v="3"/>
  </r>
  <r>
    <x v="1"/>
    <x v="434"/>
    <x v="6"/>
    <n v="1500"/>
    <x v="3"/>
  </r>
  <r>
    <x v="1"/>
    <x v="434"/>
    <x v="7"/>
    <n v="0"/>
    <x v="3"/>
  </r>
  <r>
    <x v="1"/>
    <x v="434"/>
    <x v="8"/>
    <n v="0"/>
    <x v="3"/>
  </r>
  <r>
    <x v="1"/>
    <x v="434"/>
    <x v="9"/>
    <n v="1680"/>
    <x v="3"/>
  </r>
  <r>
    <x v="1"/>
    <x v="434"/>
    <x v="10"/>
    <n v="0"/>
    <x v="3"/>
  </r>
  <r>
    <x v="1"/>
    <x v="434"/>
    <x v="11"/>
    <n v="0"/>
    <x v="3"/>
  </r>
  <r>
    <x v="4"/>
    <x v="338"/>
    <x v="0"/>
    <n v="0"/>
    <x v="3"/>
  </r>
  <r>
    <x v="4"/>
    <x v="338"/>
    <x v="1"/>
    <n v="0"/>
    <x v="3"/>
  </r>
  <r>
    <x v="4"/>
    <x v="338"/>
    <x v="2"/>
    <n v="2000"/>
    <x v="3"/>
  </r>
  <r>
    <x v="4"/>
    <x v="338"/>
    <x v="3"/>
    <n v="1500"/>
    <x v="3"/>
  </r>
  <r>
    <x v="4"/>
    <x v="338"/>
    <x v="4"/>
    <n v="1500"/>
    <x v="3"/>
  </r>
  <r>
    <x v="4"/>
    <x v="338"/>
    <x v="5"/>
    <n v="1500"/>
    <x v="3"/>
  </r>
  <r>
    <x v="4"/>
    <x v="338"/>
    <x v="6"/>
    <n v="1000"/>
    <x v="3"/>
  </r>
  <r>
    <x v="4"/>
    <x v="338"/>
    <x v="7"/>
    <n v="1000"/>
    <x v="3"/>
  </r>
  <r>
    <x v="4"/>
    <x v="338"/>
    <x v="8"/>
    <n v="1000"/>
    <x v="3"/>
  </r>
  <r>
    <x v="4"/>
    <x v="338"/>
    <x v="9"/>
    <n v="3000"/>
    <x v="3"/>
  </r>
  <r>
    <x v="4"/>
    <x v="338"/>
    <x v="10"/>
    <n v="1000"/>
    <x v="3"/>
  </r>
  <r>
    <x v="4"/>
    <x v="338"/>
    <x v="11"/>
    <n v="2000"/>
    <x v="3"/>
  </r>
  <r>
    <x v="4"/>
    <x v="435"/>
    <x v="0"/>
    <n v="0"/>
    <x v="3"/>
  </r>
  <r>
    <x v="4"/>
    <x v="435"/>
    <x v="1"/>
    <n v="0"/>
    <x v="3"/>
  </r>
  <r>
    <x v="4"/>
    <x v="435"/>
    <x v="2"/>
    <n v="5320"/>
    <x v="3"/>
  </r>
  <r>
    <x v="4"/>
    <x v="435"/>
    <x v="3"/>
    <n v="0"/>
    <x v="3"/>
  </r>
  <r>
    <x v="4"/>
    <x v="435"/>
    <x v="4"/>
    <n v="0"/>
    <x v="3"/>
  </r>
  <r>
    <x v="4"/>
    <x v="435"/>
    <x v="5"/>
    <n v="0"/>
    <x v="3"/>
  </r>
  <r>
    <x v="4"/>
    <x v="435"/>
    <x v="6"/>
    <n v="0"/>
    <x v="3"/>
  </r>
  <r>
    <x v="4"/>
    <x v="435"/>
    <x v="7"/>
    <n v="0"/>
    <x v="3"/>
  </r>
  <r>
    <x v="4"/>
    <x v="435"/>
    <x v="8"/>
    <n v="0"/>
    <x v="3"/>
  </r>
  <r>
    <x v="4"/>
    <x v="435"/>
    <x v="9"/>
    <n v="0"/>
    <x v="3"/>
  </r>
  <r>
    <x v="4"/>
    <x v="435"/>
    <x v="10"/>
    <n v="0"/>
    <x v="3"/>
  </r>
  <r>
    <x v="4"/>
    <x v="435"/>
    <x v="11"/>
    <n v="0"/>
    <x v="3"/>
  </r>
  <r>
    <x v="5"/>
    <x v="179"/>
    <x v="0"/>
    <n v="15"/>
    <x v="3"/>
  </r>
  <r>
    <x v="5"/>
    <x v="179"/>
    <x v="1"/>
    <n v="30"/>
    <x v="3"/>
  </r>
  <r>
    <x v="5"/>
    <x v="179"/>
    <x v="2"/>
    <n v="59"/>
    <x v="3"/>
  </r>
  <r>
    <x v="5"/>
    <x v="179"/>
    <x v="3"/>
    <n v="15"/>
    <x v="3"/>
  </r>
  <r>
    <x v="5"/>
    <x v="179"/>
    <x v="4"/>
    <n v="49"/>
    <x v="3"/>
  </r>
  <r>
    <x v="5"/>
    <x v="179"/>
    <x v="5"/>
    <n v="15"/>
    <x v="3"/>
  </r>
  <r>
    <x v="5"/>
    <x v="179"/>
    <x v="6"/>
    <n v="17"/>
    <x v="3"/>
  </r>
  <r>
    <x v="5"/>
    <x v="179"/>
    <x v="7"/>
    <n v="15"/>
    <x v="3"/>
  </r>
  <r>
    <x v="5"/>
    <x v="179"/>
    <x v="8"/>
    <n v="0"/>
    <x v="3"/>
  </r>
  <r>
    <x v="5"/>
    <x v="179"/>
    <x v="9"/>
    <n v="0"/>
    <x v="3"/>
  </r>
  <r>
    <x v="5"/>
    <x v="179"/>
    <x v="10"/>
    <n v="0"/>
    <x v="3"/>
  </r>
  <r>
    <x v="5"/>
    <x v="179"/>
    <x v="11"/>
    <n v="0"/>
    <x v="3"/>
  </r>
  <r>
    <x v="5"/>
    <x v="335"/>
    <x v="0"/>
    <n v="0"/>
    <x v="3"/>
  </r>
  <r>
    <x v="5"/>
    <x v="335"/>
    <x v="1"/>
    <n v="0"/>
    <x v="3"/>
  </r>
  <r>
    <x v="5"/>
    <x v="335"/>
    <x v="2"/>
    <n v="0"/>
    <x v="3"/>
  </r>
  <r>
    <x v="5"/>
    <x v="335"/>
    <x v="3"/>
    <n v="8383"/>
    <x v="3"/>
  </r>
  <r>
    <x v="5"/>
    <x v="335"/>
    <x v="4"/>
    <n v="0"/>
    <x v="3"/>
  </r>
  <r>
    <x v="5"/>
    <x v="335"/>
    <x v="5"/>
    <n v="0"/>
    <x v="3"/>
  </r>
  <r>
    <x v="5"/>
    <x v="335"/>
    <x v="6"/>
    <n v="0"/>
    <x v="3"/>
  </r>
  <r>
    <x v="5"/>
    <x v="335"/>
    <x v="7"/>
    <n v="0"/>
    <x v="3"/>
  </r>
  <r>
    <x v="5"/>
    <x v="335"/>
    <x v="8"/>
    <n v="0"/>
    <x v="3"/>
  </r>
  <r>
    <x v="5"/>
    <x v="335"/>
    <x v="9"/>
    <n v="0"/>
    <x v="3"/>
  </r>
  <r>
    <x v="5"/>
    <x v="335"/>
    <x v="10"/>
    <n v="0"/>
    <x v="3"/>
  </r>
  <r>
    <x v="5"/>
    <x v="335"/>
    <x v="11"/>
    <n v="0"/>
    <x v="3"/>
  </r>
  <r>
    <x v="4"/>
    <x v="336"/>
    <x v="0"/>
    <n v="0"/>
    <x v="3"/>
  </r>
  <r>
    <x v="4"/>
    <x v="336"/>
    <x v="1"/>
    <n v="0"/>
    <x v="3"/>
  </r>
  <r>
    <x v="4"/>
    <x v="336"/>
    <x v="2"/>
    <n v="0"/>
    <x v="3"/>
  </r>
  <r>
    <x v="4"/>
    <x v="336"/>
    <x v="3"/>
    <n v="0"/>
    <x v="3"/>
  </r>
  <r>
    <x v="4"/>
    <x v="336"/>
    <x v="4"/>
    <n v="0"/>
    <x v="3"/>
  </r>
  <r>
    <x v="4"/>
    <x v="336"/>
    <x v="5"/>
    <n v="0"/>
    <x v="3"/>
  </r>
  <r>
    <x v="4"/>
    <x v="336"/>
    <x v="6"/>
    <n v="7500"/>
    <x v="3"/>
  </r>
  <r>
    <x v="4"/>
    <x v="336"/>
    <x v="7"/>
    <n v="0"/>
    <x v="3"/>
  </r>
  <r>
    <x v="4"/>
    <x v="336"/>
    <x v="8"/>
    <n v="0"/>
    <x v="3"/>
  </r>
  <r>
    <x v="4"/>
    <x v="336"/>
    <x v="9"/>
    <n v="0"/>
    <x v="3"/>
  </r>
  <r>
    <x v="4"/>
    <x v="336"/>
    <x v="10"/>
    <n v="0"/>
    <x v="3"/>
  </r>
  <r>
    <x v="4"/>
    <x v="336"/>
    <x v="11"/>
    <n v="0"/>
    <x v="3"/>
  </r>
  <r>
    <x v="8"/>
    <x v="436"/>
    <x v="0"/>
    <n v="0"/>
    <x v="3"/>
  </r>
  <r>
    <x v="8"/>
    <x v="436"/>
    <x v="1"/>
    <n v="0"/>
    <x v="3"/>
  </r>
  <r>
    <x v="8"/>
    <x v="436"/>
    <x v="2"/>
    <n v="0"/>
    <x v="3"/>
  </r>
  <r>
    <x v="8"/>
    <x v="436"/>
    <x v="3"/>
    <n v="0"/>
    <x v="3"/>
  </r>
  <r>
    <x v="8"/>
    <x v="436"/>
    <x v="4"/>
    <n v="0"/>
    <x v="3"/>
  </r>
  <r>
    <x v="8"/>
    <x v="436"/>
    <x v="5"/>
    <n v="0"/>
    <x v="3"/>
  </r>
  <r>
    <x v="8"/>
    <x v="436"/>
    <x v="6"/>
    <n v="0"/>
    <x v="3"/>
  </r>
  <r>
    <x v="8"/>
    <x v="436"/>
    <x v="7"/>
    <n v="0"/>
    <x v="3"/>
  </r>
  <r>
    <x v="8"/>
    <x v="436"/>
    <x v="8"/>
    <n v="0"/>
    <x v="3"/>
  </r>
  <r>
    <x v="8"/>
    <x v="436"/>
    <x v="9"/>
    <n v="0"/>
    <x v="3"/>
  </r>
  <r>
    <x v="8"/>
    <x v="436"/>
    <x v="10"/>
    <n v="6408"/>
    <x v="3"/>
  </r>
  <r>
    <x v="8"/>
    <x v="436"/>
    <x v="11"/>
    <n v="0"/>
    <x v="3"/>
  </r>
  <r>
    <x v="7"/>
    <x v="347"/>
    <x v="0"/>
    <n v="0"/>
    <x v="3"/>
  </r>
  <r>
    <x v="7"/>
    <x v="347"/>
    <x v="1"/>
    <n v="0"/>
    <x v="3"/>
  </r>
  <r>
    <x v="7"/>
    <x v="347"/>
    <x v="2"/>
    <n v="0"/>
    <x v="3"/>
  </r>
  <r>
    <x v="7"/>
    <x v="347"/>
    <x v="3"/>
    <n v="0"/>
    <x v="3"/>
  </r>
  <r>
    <x v="7"/>
    <x v="347"/>
    <x v="4"/>
    <n v="281858"/>
    <x v="3"/>
  </r>
  <r>
    <x v="7"/>
    <x v="347"/>
    <x v="5"/>
    <n v="0"/>
    <x v="3"/>
  </r>
  <r>
    <x v="7"/>
    <x v="347"/>
    <x v="6"/>
    <n v="0"/>
    <x v="3"/>
  </r>
  <r>
    <x v="7"/>
    <x v="347"/>
    <x v="7"/>
    <n v="0"/>
    <x v="3"/>
  </r>
  <r>
    <x v="7"/>
    <x v="347"/>
    <x v="8"/>
    <n v="0"/>
    <x v="3"/>
  </r>
  <r>
    <x v="7"/>
    <x v="347"/>
    <x v="9"/>
    <n v="110754"/>
    <x v="3"/>
  </r>
  <r>
    <x v="7"/>
    <x v="347"/>
    <x v="10"/>
    <n v="0"/>
    <x v="3"/>
  </r>
  <r>
    <x v="7"/>
    <x v="347"/>
    <x v="11"/>
    <n v="349514"/>
    <x v="3"/>
  </r>
  <r>
    <x v="0"/>
    <x v="437"/>
    <x v="0"/>
    <n v="6023"/>
    <x v="4"/>
  </r>
  <r>
    <x v="0"/>
    <x v="437"/>
    <x v="1"/>
    <n v="0"/>
    <x v="4"/>
  </r>
  <r>
    <x v="0"/>
    <x v="437"/>
    <x v="2"/>
    <n v="0"/>
    <x v="4"/>
  </r>
  <r>
    <x v="0"/>
    <x v="437"/>
    <x v="3"/>
    <n v="0"/>
    <x v="4"/>
  </r>
  <r>
    <x v="0"/>
    <x v="437"/>
    <x v="4"/>
    <n v="0"/>
    <x v="4"/>
  </r>
  <r>
    <x v="0"/>
    <x v="437"/>
    <x v="5"/>
    <n v="0"/>
    <x v="4"/>
  </r>
  <r>
    <x v="0"/>
    <x v="437"/>
    <x v="6"/>
    <n v="0"/>
    <x v="4"/>
  </r>
  <r>
    <x v="0"/>
    <x v="437"/>
    <x v="7"/>
    <n v="0"/>
    <x v="4"/>
  </r>
  <r>
    <x v="0"/>
    <x v="437"/>
    <x v="8"/>
    <n v="0"/>
    <x v="4"/>
  </r>
  <r>
    <x v="0"/>
    <x v="437"/>
    <x v="9"/>
    <n v="0"/>
    <x v="4"/>
  </r>
  <r>
    <x v="0"/>
    <x v="437"/>
    <x v="10"/>
    <n v="0"/>
    <x v="4"/>
  </r>
  <r>
    <x v="0"/>
    <x v="437"/>
    <x v="11"/>
    <n v="0"/>
    <x v="4"/>
  </r>
  <r>
    <x v="0"/>
    <x v="438"/>
    <x v="0"/>
    <n v="8021"/>
    <x v="4"/>
  </r>
  <r>
    <x v="0"/>
    <x v="438"/>
    <x v="1"/>
    <n v="0"/>
    <x v="4"/>
  </r>
  <r>
    <x v="0"/>
    <x v="438"/>
    <x v="2"/>
    <n v="0"/>
    <x v="4"/>
  </r>
  <r>
    <x v="0"/>
    <x v="438"/>
    <x v="3"/>
    <n v="14380"/>
    <x v="4"/>
  </r>
  <r>
    <x v="0"/>
    <x v="438"/>
    <x v="4"/>
    <n v="0"/>
    <x v="4"/>
  </r>
  <r>
    <x v="0"/>
    <x v="438"/>
    <x v="5"/>
    <n v="9430"/>
    <x v="4"/>
  </r>
  <r>
    <x v="0"/>
    <x v="438"/>
    <x v="6"/>
    <n v="5684.8"/>
    <x v="4"/>
  </r>
  <r>
    <x v="0"/>
    <x v="438"/>
    <x v="7"/>
    <n v="5684.8"/>
    <x v="4"/>
  </r>
  <r>
    <x v="0"/>
    <x v="438"/>
    <x v="8"/>
    <n v="5684.8"/>
    <x v="4"/>
  </r>
  <r>
    <x v="0"/>
    <x v="438"/>
    <x v="9"/>
    <n v="5684.8"/>
    <x v="4"/>
  </r>
  <r>
    <x v="0"/>
    <x v="438"/>
    <x v="10"/>
    <n v="5684.8"/>
    <x v="4"/>
  </r>
  <r>
    <x v="0"/>
    <x v="438"/>
    <x v="11"/>
    <n v="5684.8"/>
    <x v="4"/>
  </r>
  <r>
    <x v="1"/>
    <x v="439"/>
    <x v="0"/>
    <n v="0"/>
    <x v="4"/>
  </r>
  <r>
    <x v="1"/>
    <x v="439"/>
    <x v="1"/>
    <n v="0"/>
    <x v="4"/>
  </r>
  <r>
    <x v="1"/>
    <x v="439"/>
    <x v="2"/>
    <n v="0"/>
    <x v="4"/>
  </r>
  <r>
    <x v="1"/>
    <x v="439"/>
    <x v="3"/>
    <n v="0"/>
    <x v="4"/>
  </r>
  <r>
    <x v="1"/>
    <x v="439"/>
    <x v="4"/>
    <n v="0"/>
    <x v="4"/>
  </r>
  <r>
    <x v="1"/>
    <x v="439"/>
    <x v="5"/>
    <n v="5664"/>
    <x v="4"/>
  </r>
  <r>
    <x v="1"/>
    <x v="439"/>
    <x v="6"/>
    <n v="0"/>
    <x v="4"/>
  </r>
  <r>
    <x v="1"/>
    <x v="439"/>
    <x v="7"/>
    <n v="0"/>
    <x v="4"/>
  </r>
  <r>
    <x v="1"/>
    <x v="439"/>
    <x v="8"/>
    <n v="0"/>
    <x v="4"/>
  </r>
  <r>
    <x v="1"/>
    <x v="439"/>
    <x v="9"/>
    <n v="0"/>
    <x v="4"/>
  </r>
  <r>
    <x v="1"/>
    <x v="439"/>
    <x v="10"/>
    <n v="0"/>
    <x v="4"/>
  </r>
  <r>
    <x v="1"/>
    <x v="439"/>
    <x v="11"/>
    <n v="0"/>
    <x v="4"/>
  </r>
  <r>
    <x v="4"/>
    <x v="341"/>
    <x v="0"/>
    <n v="0"/>
    <x v="4"/>
  </r>
  <r>
    <x v="4"/>
    <x v="341"/>
    <x v="1"/>
    <n v="0"/>
    <x v="4"/>
  </r>
  <r>
    <x v="4"/>
    <x v="341"/>
    <x v="2"/>
    <n v="0"/>
    <x v="4"/>
  </r>
  <r>
    <x v="4"/>
    <x v="341"/>
    <x v="3"/>
    <n v="0"/>
    <x v="4"/>
  </r>
  <r>
    <x v="4"/>
    <x v="341"/>
    <x v="4"/>
    <n v="16000"/>
    <x v="4"/>
  </r>
  <r>
    <x v="4"/>
    <x v="341"/>
    <x v="5"/>
    <n v="0"/>
    <x v="4"/>
  </r>
  <r>
    <x v="4"/>
    <x v="341"/>
    <x v="6"/>
    <n v="0"/>
    <x v="4"/>
  </r>
  <r>
    <x v="4"/>
    <x v="341"/>
    <x v="7"/>
    <n v="0"/>
    <x v="4"/>
  </r>
  <r>
    <x v="4"/>
    <x v="341"/>
    <x v="8"/>
    <n v="0"/>
    <x v="4"/>
  </r>
  <r>
    <x v="4"/>
    <x v="341"/>
    <x v="9"/>
    <n v="0"/>
    <x v="4"/>
  </r>
  <r>
    <x v="4"/>
    <x v="341"/>
    <x v="10"/>
    <n v="0"/>
    <x v="4"/>
  </r>
  <r>
    <x v="4"/>
    <x v="341"/>
    <x v="11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F2849-F3D8-4B80-B57E-673E8BD05996}" name="TablaDinámica5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4:O10" firstHeaderRow="1" firstDataRow="2" firstDataCol="2" rowPageCount="1" colPageCount="1"/>
  <pivotFields count="7">
    <pivotField axis="axisRow" compact="0" outline="0" showAll="0" sortType="descending" defaultSubtotal="0">
      <items count="13">
        <item h="1" sd="0" x="9"/>
        <item h="1" sd="0" x="7"/>
        <item h="1" sd="0" x="1"/>
        <item h="1" sd="0" x="8"/>
        <item sd="0" m="1" x="12"/>
        <item sd="0" x="4"/>
        <item sd="0" m="1" x="11"/>
        <item sd="0" x="10"/>
        <item h="1" sd="0" x="0"/>
        <item sd="0" x="6"/>
        <item sd="0" x="5"/>
        <item h="1" sd="0" x="2"/>
        <item h="1"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452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47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49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45"/>
        <item x="76"/>
        <item x="211"/>
        <item x="284"/>
        <item x="125"/>
        <item x="206"/>
        <item x="165"/>
        <item m="1" x="446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44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48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50"/>
        <item x="405"/>
        <item x="406"/>
        <item x="407"/>
        <item x="408"/>
        <item x="409"/>
        <item x="410"/>
        <item m="1" x="440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41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42"/>
        <item m="1" x="443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5">
    <i>
      <x v="5"/>
    </i>
    <i>
      <x v="10"/>
    </i>
    <i>
      <x v="7"/>
    </i>
    <i>
      <x v="9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51">
    <format dxfId="509">
      <pivotArea outline="0" collapsedLevelsAreSubtotals="1" fieldPosition="0"/>
    </format>
    <format dxfId="508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504">
      <pivotArea type="all" dataOnly="0" outline="0" fieldPosition="0"/>
    </format>
    <format dxfId="503">
      <pivotArea outline="0" collapsedLevelsAreSubtotals="1" fieldPosition="0"/>
    </format>
    <format dxfId="502">
      <pivotArea type="origin" dataOnly="0" labelOnly="1" outline="0" fieldPosition="0"/>
    </format>
    <format dxfId="501">
      <pivotArea field="6" type="button" dataOnly="0" labelOnly="1" outline="0" axis="axisCol" fieldPosition="0"/>
    </format>
    <format dxfId="500">
      <pivotArea type="topRight" dataOnly="0" labelOnly="1" outline="0" fieldPosition="0"/>
    </format>
    <format dxfId="499">
      <pivotArea field="0" type="button" dataOnly="0" labelOnly="1" outline="0" axis="axisRow" fieldPosition="0"/>
    </format>
    <format dxfId="498">
      <pivotArea field="1" type="button" dataOnly="0" labelOnly="1" outline="0" axis="axisRow" fieldPosition="1"/>
    </format>
    <format dxfId="497">
      <pivotArea dataOnly="0" labelOnly="1" outline="0" fieldPosition="0">
        <references count="1">
          <reference field="0" count="0"/>
        </references>
      </pivotArea>
    </format>
    <format dxfId="496">
      <pivotArea dataOnly="0" labelOnly="1" grandRow="1" outline="0" fieldPosition="0"/>
    </format>
    <format dxfId="495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494">
      <pivotArea dataOnly="0" labelOnly="1" grandCol="1" outline="0" fieldPosition="0"/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type="origin" dataOnly="0" labelOnly="1" outline="0" fieldPosition="0"/>
    </format>
    <format dxfId="490">
      <pivotArea field="6" type="button" dataOnly="0" labelOnly="1" outline="0" axis="axisCol" fieldPosition="0"/>
    </format>
    <format dxfId="489">
      <pivotArea type="topRight" dataOnly="0" labelOnly="1" outline="0" fieldPosition="0"/>
    </format>
    <format dxfId="488">
      <pivotArea field="0" type="button" dataOnly="0" labelOnly="1" outline="0" axis="axisRow" fieldPosition="0"/>
    </format>
    <format dxfId="487">
      <pivotArea field="1" type="button" dataOnly="0" labelOnly="1" outline="0" axis="axisRow" fieldPosition="1"/>
    </format>
    <format dxfId="486">
      <pivotArea dataOnly="0" labelOnly="1" outline="0" fieldPosition="0">
        <references count="1">
          <reference field="0" count="0"/>
        </references>
      </pivotArea>
    </format>
    <format dxfId="485">
      <pivotArea dataOnly="0" labelOnly="1" grandRow="1" outline="0" fieldPosition="0"/>
    </format>
    <format dxfId="484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483">
      <pivotArea dataOnly="0" labelOnly="1" grandCol="1" outline="0" fieldPosition="0"/>
    </format>
    <format dxfId="482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481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480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479">
      <pivotArea dataOnly="0" outline="0" fieldPosition="0">
        <references count="1">
          <reference field="0" count="1">
            <x v="8"/>
          </reference>
        </references>
      </pivotArea>
    </format>
    <format dxfId="478">
      <pivotArea dataOnly="0" labelOnly="1" outline="0" fieldPosition="0">
        <references count="1">
          <reference field="0" count="1">
            <x v="8"/>
          </reference>
        </references>
      </pivotArea>
    </format>
    <format dxfId="477">
      <pivotArea dataOnly="0" labelOnly="1" outline="0" fieldPosition="0">
        <references count="1">
          <reference field="0" count="1">
            <x v="2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5"/>
          </reference>
          <reference field="1" count="1">
            <x v="366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5"/>
          </reference>
          <reference field="1" count="1">
            <x v="174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5"/>
          </reference>
          <reference field="1" count="1">
            <x v="20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5"/>
          </reference>
          <reference field="1" count="1">
            <x v="367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11"/>
          </reference>
          <reference field="1" count="1">
            <x v="88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11"/>
          </reference>
          <reference field="1" count="1">
            <x v="89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11"/>
          </reference>
          <reference field="1" count="1">
            <x v="189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12"/>
          </reference>
          <reference field="1" count="1">
            <x v="404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12"/>
          </reference>
          <reference field="1" count="1">
            <x v="405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12"/>
          </reference>
          <reference field="1" count="1">
            <x v="407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12"/>
          </reference>
          <reference field="1" count="1">
            <x v="418"/>
          </reference>
        </references>
      </pivotArea>
    </format>
    <format dxfId="465">
      <pivotArea field="1" grandCol="1" outline="0" axis="axisRow" fieldPosition="1">
        <references count="2">
          <reference field="0" count="0" selected="0"/>
          <reference field="1" count="1" selected="0">
            <x v="423"/>
          </reference>
        </references>
      </pivotArea>
    </format>
    <format dxfId="464">
      <pivotArea field="1" grandCol="1" outline="0" axis="axisRow" fieldPosition="1">
        <references count="2">
          <reference field="0" count="0" selected="0"/>
          <reference field="1" count="1" selected="0">
            <x v="443"/>
          </reference>
        </references>
      </pivotArea>
    </format>
    <format dxfId="463">
      <pivotArea field="1" grandCol="1" outline="0" axis="axisRow" fieldPosition="1">
        <references count="2">
          <reference field="0" count="0" selected="0"/>
          <reference field="1" count="1" selected="0">
            <x v="137"/>
          </reference>
        </references>
      </pivotArea>
    </format>
    <format dxfId="462">
      <pivotArea field="1" grandCol="1" outline="0" axis="axisRow" fieldPosition="1">
        <references count="2">
          <reference field="0" count="0" selected="0"/>
          <reference field="1" count="1" selected="0">
            <x v="408"/>
          </reference>
        </references>
      </pivotArea>
    </format>
    <format dxfId="461">
      <pivotArea field="1" grandCol="1" outline="0" axis="axisRow" fieldPosition="1">
        <references count="2">
          <reference field="0" count="0" selected="0"/>
          <reference field="1" count="1" selected="0">
            <x v="202"/>
          </reference>
        </references>
      </pivotArea>
    </format>
    <format dxfId="460">
      <pivotArea field="1" grandCol="1" outline="0" axis="axisRow" fieldPosition="1">
        <references count="2">
          <reference field="0" count="0" selected="0"/>
          <reference field="1" count="1" selected="0">
            <x v="118"/>
          </reference>
        </references>
      </pivotArea>
    </format>
    <format dxfId="459">
      <pivotArea field="1" grandCol="1" outline="0" axis="axisRow" fieldPosition="1">
        <references count="2">
          <reference field="0" count="0" selected="0"/>
          <reference field="1" count="1" selected="0">
            <x v="173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21258-1DA2-4890-839D-1EFD52A22ABC}" name="TablaDinámica11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95:N102" firstHeaderRow="1" firstDataRow="2" firstDataCol="1"/>
  <pivotFields count="6">
    <pivotField axis="axisRow" showAll="0" sortType="descending">
      <items count="7">
        <item x="0"/>
        <item x="1"/>
        <item m="1"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0"/>
  </rowFields>
  <rowItems count="6">
    <i>
      <x/>
    </i>
    <i>
      <x v="3"/>
    </i>
    <i>
      <x v="1"/>
    </i>
    <i>
      <x v="5"/>
    </i>
    <i>
      <x v="4"/>
    </i>
    <i t="grand">
      <x/>
    </i>
  </rowItems>
  <colFields count="1">
    <field x="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de Monto" fld="3" baseField="0" baseItem="0" numFmtId="3"/>
  </dataFields>
  <formats count="1">
    <format dxfId="4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89451-D7A8-4255-8057-BF717601F1E6}" name="TablaDinámica5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O10" firstHeaderRow="1" firstDataRow="2" firstDataCol="2" rowPageCount="1" colPageCount="1"/>
  <pivotFields count="7">
    <pivotField axis="axisRow" compact="0" outline="0" showAll="0" sortType="descending" defaultSubtotal="0">
      <items count="13">
        <item h="1" sd="0" x="9"/>
        <item h="1" sd="0" x="7"/>
        <item sd="0" x="1"/>
        <item h="1" sd="0" x="8"/>
        <item sd="0" m="1" x="12"/>
        <item sd="0" x="4"/>
        <item sd="0" m="1" x="11"/>
        <item sd="0" x="10"/>
        <item sd="0" x="0"/>
        <item sd="0" x="6"/>
        <item sd="0" x="5"/>
        <item x="2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52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47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49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45"/>
        <item x="76"/>
        <item x="211"/>
        <item x="284"/>
        <item x="125"/>
        <item x="206"/>
        <item x="165"/>
        <item m="1" x="446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44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48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50"/>
        <item x="405"/>
        <item x="406"/>
        <item x="407"/>
        <item x="408"/>
        <item x="409"/>
        <item x="410"/>
        <item m="1" x="440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41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42"/>
        <item m="1" x="443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6">
    <i>
      <x v="8"/>
    </i>
    <i>
      <x v="2"/>
    </i>
    <i>
      <x v="5"/>
    </i>
    <i>
      <x v="7"/>
    </i>
    <i>
      <x v="10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3">
    <format dxfId="186">
      <pivotArea outline="0" collapsedLevelsAreSubtotals="1" fieldPosition="0"/>
    </format>
    <format dxfId="187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191">
      <pivotArea type="all" dataOnly="0" outline="0" fieldPosition="0"/>
    </format>
    <format dxfId="192">
      <pivotArea outline="0" collapsedLevelsAreSubtotals="1" fieldPosition="0"/>
    </format>
    <format dxfId="193">
      <pivotArea type="origin" dataOnly="0" labelOnly="1" outline="0" fieldPosition="0"/>
    </format>
    <format dxfId="194">
      <pivotArea field="6" type="button" dataOnly="0" labelOnly="1" outline="0" axis="axisCol" fieldPosition="0"/>
    </format>
    <format dxfId="195">
      <pivotArea type="topRight" dataOnly="0" labelOnly="1" outline="0" fieldPosition="0"/>
    </format>
    <format dxfId="196">
      <pivotArea field="0" type="button" dataOnly="0" labelOnly="1" outline="0" axis="axisRow" fieldPosition="0"/>
    </format>
    <format dxfId="197">
      <pivotArea field="1" type="button" dataOnly="0" labelOnly="1" outline="0" axis="axisRow" fieldPosition="1"/>
    </format>
    <format dxfId="198">
      <pivotArea dataOnly="0" labelOnly="1" outline="0" fieldPosition="0">
        <references count="1">
          <reference field="0" count="0"/>
        </references>
      </pivotArea>
    </format>
    <format dxfId="199">
      <pivotArea dataOnly="0" labelOnly="1" grandRow="1" outline="0" fieldPosition="0"/>
    </format>
    <format dxfId="200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201">
      <pivotArea dataOnly="0" labelOnly="1" grandCol="1" outline="0" fieldPosition="0"/>
    </format>
    <format dxfId="202">
      <pivotArea type="all" dataOnly="0" outline="0" fieldPosition="0"/>
    </format>
    <format dxfId="203">
      <pivotArea outline="0" collapsedLevelsAreSubtotals="1" fieldPosition="0"/>
    </format>
    <format dxfId="204">
      <pivotArea type="origin" dataOnly="0" labelOnly="1" outline="0" fieldPosition="0"/>
    </format>
    <format dxfId="205">
      <pivotArea field="6" type="button" dataOnly="0" labelOnly="1" outline="0" axis="axisCol" fieldPosition="0"/>
    </format>
    <format dxfId="206">
      <pivotArea type="topRight" dataOnly="0" labelOnly="1" outline="0" fieldPosition="0"/>
    </format>
    <format dxfId="207">
      <pivotArea field="0" type="button" dataOnly="0" labelOnly="1" outline="0" axis="axisRow" fieldPosition="0"/>
    </format>
    <format dxfId="208">
      <pivotArea field="1" type="button" dataOnly="0" labelOnly="1" outline="0" axis="axisRow" fieldPosition="1"/>
    </format>
    <format dxfId="209">
      <pivotArea dataOnly="0" labelOnly="1" outline="0" fieldPosition="0">
        <references count="1">
          <reference field="0" count="0"/>
        </references>
      </pivotArea>
    </format>
    <format dxfId="210">
      <pivotArea dataOnly="0" labelOnly="1" grandRow="1" outline="0" fieldPosition="0"/>
    </format>
    <format dxfId="211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212">
      <pivotArea dataOnly="0" labelOnly="1" grandCol="1" outline="0" fieldPosition="0"/>
    </format>
    <format dxfId="213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214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215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216">
      <pivotArea dataOnly="0" outline="0" fieldPosition="0">
        <references count="1">
          <reference field="0" count="1">
            <x v="8"/>
          </reference>
        </references>
      </pivotArea>
    </format>
    <format dxfId="217">
      <pivotArea dataOnly="0" labelOnly="1" outline="0" fieldPosition="0">
        <references count="1">
          <reference field="0" count="1">
            <x v="8"/>
          </reference>
        </references>
      </pivotArea>
    </format>
    <format dxfId="218">
      <pivotArea dataOnly="0" labelOnly="1" outline="0" fieldPosition="0">
        <references count="1">
          <reference field="0" count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2E5E-8D4E-4511-9FB7-0E80E2E37B26}" name="TablaDinámica2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16:C18" firstHeaderRow="1" firstDataRow="2" firstDataCol="2" rowPageCount="1" colPageCount="1"/>
  <pivotFields count="7">
    <pivotField axis="axisRow" compact="0" outline="0" showAll="0" sortType="descending" defaultSubtotal="0">
      <items count="13">
        <item h="1" sd="0" x="9"/>
        <item h="1" sd="0" x="7"/>
        <item h="1" sd="0" x="1"/>
        <item h="1" sd="0" x="8"/>
        <item h="1" sd="0" m="1" x="12"/>
        <item h="1" sd="0" x="4"/>
        <item h="1" sd="0" m="1" x="11"/>
        <item h="1" sd="0" x="10"/>
        <item h="1" sd="0" x="0"/>
        <item h="1" sd="0" x="6"/>
        <item h="1" sd="0" x="5"/>
        <item h="1" sd="0" x="2"/>
        <item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52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47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49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45"/>
        <item x="76"/>
        <item x="211"/>
        <item x="284"/>
        <item x="125"/>
        <item x="206"/>
        <item x="165"/>
        <item m="1" x="446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44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48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50"/>
        <item x="405"/>
        <item x="406"/>
        <item x="407"/>
        <item x="408"/>
        <item x="409"/>
        <item x="410"/>
        <item m="1" x="440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41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42"/>
        <item m="1" x="443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h="1" x="0"/>
        <item x="1"/>
        <item x="2"/>
        <item x="3"/>
        <item h="1"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">
    <i t="grand">
      <x/>
    </i>
  </rowItems>
  <colFields count="1">
    <field x="6"/>
  </colFields>
  <colItems count="1">
    <i t="grand">
      <x/>
    </i>
  </colItems>
  <pageFields count="1">
    <pageField fld="4" hier="-1"/>
  </pageFields>
  <dataFields count="1">
    <dataField name="Suma de Monto" fld="3" baseField="0" baseItem="0" numFmtId="3"/>
  </dataFields>
  <formats count="30">
    <format dxfId="412">
      <pivotArea outline="0" collapsedLevelsAreSubtotals="1" fieldPosition="0"/>
    </format>
    <format dxfId="411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407">
      <pivotArea type="all" dataOnly="0" outline="0" fieldPosition="0"/>
    </format>
    <format dxfId="406">
      <pivotArea outline="0" collapsedLevelsAreSubtotals="1" fieldPosition="0"/>
    </format>
    <format dxfId="405">
      <pivotArea type="origin" dataOnly="0" labelOnly="1" outline="0" fieldPosition="0"/>
    </format>
    <format dxfId="404">
      <pivotArea field="6" type="button" dataOnly="0" labelOnly="1" outline="0" axis="axisCol" fieldPosition="0"/>
    </format>
    <format dxfId="403">
      <pivotArea type="topRight" dataOnly="0" labelOnly="1" outline="0" fieldPosition="0"/>
    </format>
    <format dxfId="402">
      <pivotArea field="0" type="button" dataOnly="0" labelOnly="1" outline="0" axis="axisRow" fieldPosition="0"/>
    </format>
    <format dxfId="401">
      <pivotArea field="1" type="button" dataOnly="0" labelOnly="1" outline="0" axis="axisRow" fieldPosition="1"/>
    </format>
    <format dxfId="400">
      <pivotArea dataOnly="0" labelOnly="1" outline="0" fieldPosition="0">
        <references count="1">
          <reference field="0" count="0"/>
        </references>
      </pivotArea>
    </format>
    <format dxfId="399">
      <pivotArea dataOnly="0" labelOnly="1" grandRow="1" outline="0" fieldPosition="0"/>
    </format>
    <format dxfId="398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397">
      <pivotArea dataOnly="0" labelOnly="1" grandCol="1" outline="0" fieldPosition="0"/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type="origin" dataOnly="0" labelOnly="1" outline="0" fieldPosition="0"/>
    </format>
    <format dxfId="393">
      <pivotArea field="6" type="button" dataOnly="0" labelOnly="1" outline="0" axis="axisCol" fieldPosition="0"/>
    </format>
    <format dxfId="392">
      <pivotArea type="topRight" dataOnly="0" labelOnly="1" outline="0" fieldPosition="0"/>
    </format>
    <format dxfId="391">
      <pivotArea field="0" type="button" dataOnly="0" labelOnly="1" outline="0" axis="axisRow" fieldPosition="0"/>
    </format>
    <format dxfId="390">
      <pivotArea field="1" type="button" dataOnly="0" labelOnly="1" outline="0" axis="axisRow" fieldPosition="1"/>
    </format>
    <format dxfId="389">
      <pivotArea dataOnly="0" labelOnly="1" outline="0" fieldPosition="0">
        <references count="1">
          <reference field="0" count="0"/>
        </references>
      </pivotArea>
    </format>
    <format dxfId="388">
      <pivotArea dataOnly="0" labelOnly="1" grandRow="1" outline="0" fieldPosition="0"/>
    </format>
    <format dxfId="387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386">
      <pivotArea dataOnly="0" labelOnly="1" grandCol="1" outline="0" fieldPosition="0"/>
    </format>
    <format dxfId="385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384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383">
      <pivotArea dataOnly="0" labelOnly="1" outline="0" offset="A256" fieldPosition="0">
        <references count="1">
          <reference field="0" count="1">
            <x v="7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6D63B-7BBA-4887-A74E-157FE78AEB1A}" name="TablaDinámica7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25:O30" firstHeaderRow="1" firstDataRow="2" firstDataCol="2" rowPageCount="1" colPageCount="1"/>
  <pivotFields count="7">
    <pivotField axis="axisRow" compact="0" outline="0" showAll="0" sortType="descending" defaultSubtotal="0">
      <items count="13">
        <item sd="0" x="9"/>
        <item sd="0" x="7"/>
        <item h="1" sd="0" x="1"/>
        <item sd="0" x="8"/>
        <item h="1" sd="0" m="1" x="12"/>
        <item h="1" sd="0" x="4"/>
        <item h="1" sd="0" m="1" x="11"/>
        <item h="1" x="10"/>
        <item h="1" sd="0" x="0"/>
        <item h="1" sd="0" x="6"/>
        <item h="1" x="5"/>
        <item h="1" x="2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52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47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49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45"/>
        <item x="76"/>
        <item x="211"/>
        <item x="284"/>
        <item x="125"/>
        <item x="206"/>
        <item x="165"/>
        <item m="1" x="446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44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48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50"/>
        <item x="405"/>
        <item x="406"/>
        <item x="407"/>
        <item x="408"/>
        <item x="409"/>
        <item x="410"/>
        <item m="1" x="440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41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42"/>
        <item m="1" x="443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4">
    <i>
      <x v="1"/>
    </i>
    <i>
      <x v="3"/>
    </i>
    <i>
      <x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2">
    <format dxfId="444">
      <pivotArea outline="0" collapsedLevelsAreSubtotals="1" fieldPosition="0"/>
    </format>
    <format dxfId="443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442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438">
      <pivotArea type="all" dataOnly="0" outline="0" fieldPosition="0"/>
    </format>
    <format dxfId="437">
      <pivotArea outline="0" collapsedLevelsAreSubtotals="1" fieldPosition="0"/>
    </format>
    <format dxfId="436">
      <pivotArea type="origin" dataOnly="0" labelOnly="1" outline="0" fieldPosition="0"/>
    </format>
    <format dxfId="435">
      <pivotArea field="6" type="button" dataOnly="0" labelOnly="1" outline="0" axis="axisCol" fieldPosition="0"/>
    </format>
    <format dxfId="434">
      <pivotArea type="topRight" dataOnly="0" labelOnly="1" outline="0" fieldPosition="0"/>
    </format>
    <format dxfId="433">
      <pivotArea field="0" type="button" dataOnly="0" labelOnly="1" outline="0" axis="axisRow" fieldPosition="0"/>
    </format>
    <format dxfId="432">
      <pivotArea field="1" type="button" dataOnly="0" labelOnly="1" outline="0" axis="axisRow" fieldPosition="1"/>
    </format>
    <format dxfId="431">
      <pivotArea dataOnly="0" labelOnly="1" outline="0" fieldPosition="0">
        <references count="1">
          <reference field="0" count="0"/>
        </references>
      </pivotArea>
    </format>
    <format dxfId="430">
      <pivotArea dataOnly="0" labelOnly="1" grandRow="1" outline="0" fieldPosition="0"/>
    </format>
    <format dxfId="429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428">
      <pivotArea dataOnly="0" labelOnly="1" grandCol="1" outline="0" fieldPosition="0"/>
    </format>
    <format dxfId="427">
      <pivotArea type="all" dataOnly="0" outline="0" fieldPosition="0"/>
    </format>
    <format dxfId="426">
      <pivotArea outline="0" collapsedLevelsAreSubtotals="1" fieldPosition="0"/>
    </format>
    <format dxfId="425">
      <pivotArea type="origin" dataOnly="0" labelOnly="1" outline="0" fieldPosition="0"/>
    </format>
    <format dxfId="424">
      <pivotArea field="6" type="button" dataOnly="0" labelOnly="1" outline="0" axis="axisCol" fieldPosition="0"/>
    </format>
    <format dxfId="423">
      <pivotArea type="topRight" dataOnly="0" labelOnly="1" outline="0" fieldPosition="0"/>
    </format>
    <format dxfId="422">
      <pivotArea field="0" type="button" dataOnly="0" labelOnly="1" outline="0" axis="axisRow" fieldPosition="0"/>
    </format>
    <format dxfId="421">
      <pivotArea field="1" type="button" dataOnly="0" labelOnly="1" outline="0" axis="axisRow" fieldPosition="1"/>
    </format>
    <format dxfId="420">
      <pivotArea dataOnly="0" labelOnly="1" outline="0" fieldPosition="0">
        <references count="1">
          <reference field="0" count="0"/>
        </references>
      </pivotArea>
    </format>
    <format dxfId="419">
      <pivotArea dataOnly="0" labelOnly="1" grandRow="1" outline="0" fieldPosition="0"/>
    </format>
    <format dxfId="418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417">
      <pivotArea dataOnly="0" labelOnly="1" grandCol="1" outline="0" fieldPosition="0"/>
    </format>
    <format dxfId="416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415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414">
      <pivotArea dataOnly="0" outline="0" fieldPosition="0">
        <references count="1">
          <reference field="1" count="1">
            <x v="198"/>
          </reference>
        </references>
      </pivotArea>
    </format>
    <format dxfId="413">
      <pivotArea dataOnly="0" outline="0" fieldPosition="0">
        <references count="1">
          <reference field="1" count="2">
            <x v="317"/>
            <x v="318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26DEF-2758-462E-89E0-15BA0B3B2860}" name="TablaDinámica5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4:N11" firstHeaderRow="1" firstDataRow="2" firstDataCol="1" rowPageCount="1" colPageCount="1"/>
  <pivotFields count="7">
    <pivotField axis="axisPage" compact="0" outline="0" multipleItemSelectionAllowed="1" showAll="0" sortType="descending" defaultSubtotal="0">
      <items count="13">
        <item h="1" sd="0" x="9"/>
        <item h="1" sd="0" x="7"/>
        <item sd="0" x="1"/>
        <item h="1" sd="0" x="8"/>
        <item sd="0" m="1" x="12"/>
        <item sd="0" x="4"/>
        <item h="1" sd="0" m="1" x="11"/>
        <item sd="0" x="10"/>
        <item sd="0" x="0"/>
        <item sd="0" x="6"/>
        <item sd="0" x="5"/>
        <item h="1" sd="0" x="2"/>
        <item h="1"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452">
        <item x="175"/>
        <item x="196"/>
        <item x="139"/>
        <item x="142"/>
        <item x="200"/>
        <item x="178"/>
        <item x="79"/>
        <item x="167"/>
        <item x="271"/>
        <item x="97"/>
        <item x="0"/>
        <item x="1"/>
        <item x="334"/>
        <item x="63"/>
        <item x="131"/>
        <item x="187"/>
        <item x="137"/>
        <item x="329"/>
        <item x="245"/>
        <item x="135"/>
        <item x="122"/>
        <item x="286"/>
        <item x="176"/>
        <item x="232"/>
        <item x="233"/>
        <item x="4"/>
        <item m="1" x="447"/>
        <item x="262"/>
        <item x="2"/>
        <item x="213"/>
        <item x="121"/>
        <item x="77"/>
        <item x="88"/>
        <item x="181"/>
        <item x="331"/>
        <item x="265"/>
        <item x="91"/>
        <item x="53"/>
        <item x="5"/>
        <item x="234"/>
        <item x="235"/>
        <item x="92"/>
        <item x="141"/>
        <item x="254"/>
        <item x="195"/>
        <item x="8"/>
        <item x="105"/>
        <item x="7"/>
        <item x="317"/>
        <item x="291"/>
        <item x="133"/>
        <item x="130"/>
        <item x="341"/>
        <item x="339"/>
        <item x="197"/>
        <item x="148"/>
        <item x="340"/>
        <item x="180"/>
        <item x="199"/>
        <item x="236"/>
        <item x="237"/>
        <item x="80"/>
        <item x="9"/>
        <item x="84"/>
        <item x="6"/>
        <item x="82"/>
        <item x="11"/>
        <item x="10"/>
        <item x="12"/>
        <item x="226"/>
        <item m="1" x="449"/>
        <item x="229"/>
        <item x="330"/>
        <item x="168"/>
        <item x="83"/>
        <item x="13"/>
        <item x="14"/>
        <item x="15"/>
        <item x="16"/>
        <item x="231"/>
        <item x="117"/>
        <item x="223"/>
        <item x="54"/>
        <item x="17"/>
        <item x="311"/>
        <item x="18"/>
        <item x="95"/>
        <item x="313"/>
        <item x="287"/>
        <item x="288"/>
        <item x="19"/>
        <item x="182"/>
        <item x="183"/>
        <item x="184"/>
        <item x="20"/>
        <item x="192"/>
        <item x="238"/>
        <item x="285"/>
        <item x="22"/>
        <item x="203"/>
        <item x="99"/>
        <item x="59"/>
        <item x="328"/>
        <item x="23"/>
        <item x="21"/>
        <item x="98"/>
        <item x="24"/>
        <item x="224"/>
        <item x="225"/>
        <item x="162"/>
        <item x="94"/>
        <item x="25"/>
        <item x="26"/>
        <item x="189"/>
        <item x="217"/>
        <item x="55"/>
        <item x="179"/>
        <item x="332"/>
        <item x="205"/>
        <item x="147"/>
        <item x="210"/>
        <item x="27"/>
        <item x="28"/>
        <item x="29"/>
        <item x="164"/>
        <item x="112"/>
        <item x="191"/>
        <item x="273"/>
        <item x="155"/>
        <item x="270"/>
        <item x="251"/>
        <item x="118"/>
        <item x="222"/>
        <item m="1" x="445"/>
        <item x="76"/>
        <item x="211"/>
        <item x="284"/>
        <item x="125"/>
        <item x="206"/>
        <item x="165"/>
        <item m="1" x="446"/>
        <item x="30"/>
        <item x="310"/>
        <item x="32"/>
        <item x="33"/>
        <item x="34"/>
        <item x="312"/>
        <item x="316"/>
        <item x="315"/>
        <item x="35"/>
        <item x="266"/>
        <item x="87"/>
        <item x="269"/>
        <item x="252"/>
        <item x="86"/>
        <item x="258"/>
        <item x="90"/>
        <item x="85"/>
        <item x="260"/>
        <item x="274"/>
        <item x="169"/>
        <item x="243"/>
        <item x="36"/>
        <item x="263"/>
        <item x="37"/>
        <item x="62"/>
        <item x="38"/>
        <item x="39"/>
        <item x="64"/>
        <item x="56"/>
        <item x="40"/>
        <item x="57"/>
        <item x="174"/>
        <item x="163"/>
        <item x="136"/>
        <item x="268"/>
        <item x="66"/>
        <item x="194"/>
        <item x="41"/>
        <item x="42"/>
        <item x="60"/>
        <item x="272"/>
        <item x="264"/>
        <item x="43"/>
        <item x="248"/>
        <item x="249"/>
        <item x="336"/>
        <item x="44"/>
        <item x="244"/>
        <item x="290"/>
        <item x="119"/>
        <item x="292"/>
        <item x="267"/>
        <item x="220"/>
        <item x="198"/>
        <item x="81"/>
        <item x="96"/>
        <item x="45"/>
        <item x="345"/>
        <item m="1" x="444"/>
        <item x="190"/>
        <item x="140"/>
        <item x="204"/>
        <item x="347"/>
        <item x="346"/>
        <item x="348"/>
        <item x="138"/>
        <item x="228"/>
        <item x="227"/>
        <item x="202"/>
        <item x="127"/>
        <item x="126"/>
        <item x="172"/>
        <item x="73"/>
        <item x="344"/>
        <item x="257"/>
        <item x="78"/>
        <item x="46"/>
        <item x="239"/>
        <item x="240"/>
        <item x="106"/>
        <item x="52"/>
        <item x="47"/>
        <item x="48"/>
        <item x="146"/>
        <item x="49"/>
        <item x="186"/>
        <item x="129"/>
        <item x="250"/>
        <item x="107"/>
        <item x="208"/>
        <item x="188"/>
        <item x="209"/>
        <item x="335"/>
        <item x="338"/>
        <item x="337"/>
        <item x="283"/>
        <item x="282"/>
        <item x="124"/>
        <item x="144"/>
        <item x="93"/>
        <item x="193"/>
        <item x="256"/>
        <item x="246"/>
        <item x="247"/>
        <item x="333"/>
        <item m="1" x="448"/>
        <item x="65"/>
        <item x="241"/>
        <item x="242"/>
        <item x="185"/>
        <item x="128"/>
        <item x="61"/>
        <item x="300"/>
        <item x="298"/>
        <item x="58"/>
        <item x="50"/>
        <item x="51"/>
        <item x="173"/>
        <item x="255"/>
        <item x="299"/>
        <item x="289"/>
        <item x="177"/>
        <item x="221"/>
        <item x="342"/>
        <item x="343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71"/>
        <item x="372"/>
        <item x="373"/>
        <item x="374"/>
        <item x="375"/>
        <item x="376"/>
        <item x="377"/>
        <item x="378"/>
        <item x="383"/>
        <item x="384"/>
        <item x="385"/>
        <item x="386"/>
        <item x="387"/>
        <item x="388"/>
        <item x="393"/>
        <item x="394"/>
        <item x="395"/>
        <item x="396"/>
        <item x="397"/>
        <item x="398"/>
        <item x="399"/>
        <item x="400"/>
        <item x="401"/>
        <item m="1" x="450"/>
        <item x="405"/>
        <item x="406"/>
        <item x="407"/>
        <item x="408"/>
        <item x="409"/>
        <item x="410"/>
        <item m="1" x="440"/>
        <item x="415"/>
        <item x="416"/>
        <item x="417"/>
        <item x="418"/>
        <item x="419"/>
        <item x="420"/>
        <item x="421"/>
        <item x="422"/>
        <item x="423"/>
        <item x="426"/>
        <item x="427"/>
        <item x="428"/>
        <item x="429"/>
        <item x="430"/>
        <item x="433"/>
        <item x="434"/>
        <item x="435"/>
        <item x="437"/>
        <item x="438"/>
        <item x="439"/>
        <item x="166"/>
        <item x="113"/>
        <item x="143"/>
        <item x="149"/>
        <item x="151"/>
        <item x="230"/>
        <item x="276"/>
        <item x="278"/>
        <item x="301"/>
        <item x="302"/>
        <item x="318"/>
        <item x="319"/>
        <item x="379"/>
        <item x="380"/>
        <item x="381"/>
        <item x="382"/>
        <item x="389"/>
        <item x="411"/>
        <item x="412"/>
        <item x="424"/>
        <item x="67"/>
        <item x="68"/>
        <item x="69"/>
        <item x="70"/>
        <item x="71"/>
        <item x="72"/>
        <item m="1" x="441"/>
        <item x="100"/>
        <item x="101"/>
        <item x="104"/>
        <item x="108"/>
        <item x="109"/>
        <item x="120"/>
        <item x="123"/>
        <item x="134"/>
        <item x="145"/>
        <item x="150"/>
        <item x="152"/>
        <item x="153"/>
        <item x="154"/>
        <item x="207"/>
        <item x="218"/>
        <item x="253"/>
        <item x="259"/>
        <item x="277"/>
        <item x="279"/>
        <item x="280"/>
        <item x="303"/>
        <item x="304"/>
        <item x="305"/>
        <item x="314"/>
        <item x="320"/>
        <item x="321"/>
        <item x="322"/>
        <item x="323"/>
        <item x="349"/>
        <item x="367"/>
        <item x="368"/>
        <item x="369"/>
        <item x="370"/>
        <item m="1" x="442"/>
        <item m="1" x="443"/>
        <item x="390"/>
        <item x="402"/>
        <item x="403"/>
        <item x="413"/>
        <item x="3"/>
        <item x="31"/>
        <item x="132"/>
        <item x="156"/>
        <item x="157"/>
        <item x="158"/>
        <item x="159"/>
        <item x="160"/>
        <item x="161"/>
        <item x="215"/>
        <item x="293"/>
        <item x="294"/>
        <item x="295"/>
        <item x="306"/>
        <item x="307"/>
        <item x="324"/>
        <item x="325"/>
        <item x="326"/>
        <item x="431"/>
        <item x="115"/>
        <item x="74"/>
        <item x="89"/>
        <item x="102"/>
        <item x="103"/>
        <item x="114"/>
        <item x="116"/>
        <item x="201"/>
        <item x="216"/>
        <item x="219"/>
        <item x="261"/>
        <item x="275"/>
        <item x="281"/>
        <item x="308"/>
        <item x="309"/>
        <item x="327"/>
        <item x="358"/>
        <item x="391"/>
        <item x="392"/>
        <item x="404"/>
        <item x="436"/>
        <item x="75"/>
        <item x="110"/>
        <item x="111"/>
        <item x="170"/>
        <item x="171"/>
        <item x="212"/>
        <item x="214"/>
        <item x="296"/>
        <item x="297"/>
        <item x="414"/>
        <item x="425"/>
        <item x="4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axis="axisRow" compact="0" outline="0" multipleItemSelectionAllowed="1" showAll="0">
      <items count="6">
        <item sd="0" x="0"/>
        <item sd="0" x="1"/>
        <item sd="0" x="2"/>
        <item sd="0" x="3"/>
        <item sd="0"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0" hier="-1"/>
  </pageFields>
  <dataFields count="1">
    <dataField name="Suma de Monto" fld="3" baseField="0" baseItem="0" numFmtId="3"/>
  </dataFields>
  <formats count="23">
    <format dxfId="382">
      <pivotArea outline="0" collapsedLevelsAreSubtotals="1" fieldPosition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type="origin" dataOnly="0" labelOnly="1" outline="0" fieldPosition="0"/>
    </format>
    <format dxfId="378">
      <pivotArea field="6" type="button" dataOnly="0" labelOnly="1" outline="0" axis="axisCol" fieldPosition="0"/>
    </format>
    <format dxfId="377">
      <pivotArea type="topRight" dataOnly="0" labelOnly="1" outline="0" fieldPosition="0"/>
    </format>
    <format dxfId="376">
      <pivotArea field="0" type="button" dataOnly="0" labelOnly="1" outline="0" axis="axisPage" fieldPosition="0"/>
    </format>
    <format dxfId="375">
      <pivotArea field="1" type="button" dataOnly="0" labelOnly="1" outline="0"/>
    </format>
    <format dxfId="374">
      <pivotArea dataOnly="0" labelOnly="1" outline="0" fieldPosition="0">
        <references count="1">
          <reference field="0" count="0"/>
        </references>
      </pivotArea>
    </format>
    <format dxfId="373">
      <pivotArea dataOnly="0" labelOnly="1" grandRow="1" outline="0" fieldPosition="0"/>
    </format>
    <format dxfId="372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371">
      <pivotArea dataOnly="0" labelOnly="1" grandCol="1" outline="0" fieldPosition="0"/>
    </format>
    <format dxfId="370">
      <pivotArea type="all" dataOnly="0" outline="0" fieldPosition="0"/>
    </format>
    <format dxfId="369">
      <pivotArea outline="0" collapsedLevelsAreSubtotals="1" fieldPosition="0"/>
    </format>
    <format dxfId="368">
      <pivotArea type="origin" dataOnly="0" labelOnly="1" outline="0" fieldPosition="0"/>
    </format>
    <format dxfId="367">
      <pivotArea field="6" type="button" dataOnly="0" labelOnly="1" outline="0" axis="axisCol" fieldPosition="0"/>
    </format>
    <format dxfId="366">
      <pivotArea type="topRight" dataOnly="0" labelOnly="1" outline="0" fieldPosition="0"/>
    </format>
    <format dxfId="365">
      <pivotArea field="0" type="button" dataOnly="0" labelOnly="1" outline="0" axis="axisPage" fieldPosition="0"/>
    </format>
    <format dxfId="364">
      <pivotArea field="1" type="button" dataOnly="0" labelOnly="1" outline="0"/>
    </format>
    <format dxfId="363">
      <pivotArea dataOnly="0" labelOnly="1" outline="0" fieldPosition="0">
        <references count="1">
          <reference field="0" count="0"/>
        </references>
      </pivotArea>
    </format>
    <format dxfId="362">
      <pivotArea dataOnly="0" labelOnly="1" grandRow="1" outline="0" fieldPosition="0"/>
    </format>
    <format dxfId="361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360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16383</v>
    <v>8</v>
    <v>24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1DF39-6547-408E-B8CC-F66CE5A15B9E}" name="Tabla25" displayName="Tabla25" ref="B11:O60" totalsRowShown="0" headerRowDxfId="457">
  <autoFilter ref="B11:O60" xr:uid="{F35DD40F-5878-4C26-8347-B98F39356EE3}"/>
  <tableColumns count="14">
    <tableColumn id="1" xr3:uid="{EE936B3E-E4A7-4DC7-94B3-1BA0BF20764F}" name="Item 2"/>
    <tableColumn id="2" xr3:uid="{7F8D67FF-9B70-4EF0-9191-3E6CDB1201AF}" name="Descripción"/>
    <tableColumn id="3" xr3:uid="{02106B6B-E9C6-47B0-9948-35BEB26ECAFA}" name="ene-25" dataDxfId="456"/>
    <tableColumn id="4" xr3:uid="{3ECBF864-F293-46DE-A2E8-FDDE49E1AEE3}" name="feb-25" dataDxfId="455"/>
    <tableColumn id="5" xr3:uid="{9AE420B8-3431-4571-B1EA-CBAE11B1BB00}" name="mar-25" dataDxfId="454"/>
    <tableColumn id="6" xr3:uid="{3FD0B8DB-A216-4033-B883-A31B34469E93}" name="abr-25" dataDxfId="453"/>
    <tableColumn id="7" xr3:uid="{C6F1E264-2171-461B-AD7F-D4226C645421}" name="may-25" dataDxfId="452"/>
    <tableColumn id="8" xr3:uid="{C436155C-608A-4E9D-8A94-4C6CAD4CC9F3}" name="jun-25" dataDxfId="451"/>
    <tableColumn id="9" xr3:uid="{5236B287-6D47-4B2B-8D57-A3928CBA5138}" name="jul-25" dataDxfId="450"/>
    <tableColumn id="10" xr3:uid="{8B29C941-2C5E-42A8-AAB6-542B7C0A273C}" name="ago-25" dataDxfId="449"/>
    <tableColumn id="11" xr3:uid="{0BC321DD-DD1A-4826-8205-61A1CD91DF49}" name="sept-25" dataDxfId="448"/>
    <tableColumn id="12" xr3:uid="{DFAE099F-FB7E-4DE4-A4E6-635284456B0B}" name="oct-25" dataDxfId="447"/>
    <tableColumn id="13" xr3:uid="{865ED664-D84B-4429-AECC-B2241E74A475}" name="nov-25" dataDxfId="446"/>
    <tableColumn id="14" xr3:uid="{4F7CC9C2-4FAD-4A0C-BDC8-B5F05F077417}" name="dic-25" dataDxfId="4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53A2F-5A6C-43BC-A079-64E51045845C}" name="Tabla1" displayName="Tabla1" ref="A135:N412" totalsRowShown="0" headerRowDxfId="359">
  <tableColumns count="14">
    <tableColumn id="1" xr3:uid="{7FB32473-2D9E-4930-8A9C-9238A350F3EE}" name="Columna1" dataDxfId="358"/>
    <tableColumn id="2" xr3:uid="{A42FDB28-22BB-4694-888A-ACE431E7A482}" name="REMUNERACIONES OPERACIONAL"/>
    <tableColumn id="3" xr3:uid="{2F24ABAF-5909-4C28-A242-588F27DE82FA}" name="ene-25"/>
    <tableColumn id="4" xr3:uid="{95F7C2CE-BB94-4241-AC64-EE47A7798805}" name="feb-25"/>
    <tableColumn id="5" xr3:uid="{8DAD8A85-6BE0-4CE4-8942-E3756119B096}" name="mar-25"/>
    <tableColumn id="6" xr3:uid="{A5B39B3E-6B9D-4369-B8E4-8AE01D77FDC6}" name="abr-25"/>
    <tableColumn id="7" xr3:uid="{BD0802B7-53D9-4C12-9550-6C899F315513}" name="may-25"/>
    <tableColumn id="8" xr3:uid="{1B6364F6-5F0C-42F8-A8A2-979518788D5A}" name="jun-25"/>
    <tableColumn id="9" xr3:uid="{AA6C0EE2-3318-4BBD-91A9-7833C276ACCA}" name="jul-25"/>
    <tableColumn id="10" xr3:uid="{10FA7BE8-CBF3-4F02-B6BF-7D727C287A7F}" name="ago-25"/>
    <tableColumn id="11" xr3:uid="{12FAC971-04FB-4B17-8B5D-4A63E5EF8DEA}" name="sept-25"/>
    <tableColumn id="12" xr3:uid="{57F9B0B5-8B1C-4C44-B089-A95CBFC358E7}" name="oct-25"/>
    <tableColumn id="13" xr3:uid="{FF1D74A6-391B-4F96-B559-A6B3D6C2329F}" name="nov-25"/>
    <tableColumn id="14" xr3:uid="{6FCE7378-F7E6-4B69-A66D-7691504EE3F8}" name="dic-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295EC1-A455-4C43-BE5F-983800BD03EC}" name="Tabla3" displayName="Tabla3" ref="A105:N276" totalsRowShown="0" headerRowDxfId="357">
  <autoFilter ref="A105:N276" xr:uid="{B4295EC1-A455-4C43-BE5F-983800BD03EC}"/>
  <tableColumns count="14">
    <tableColumn id="1" xr3:uid="{200D9C0D-4E6D-41D3-ABB9-781E007D850B}" name="Columna1" dataDxfId="356"/>
    <tableColumn id="2" xr3:uid="{4D40D483-7605-4A58-BFC8-74ABE72DD87D}" name="REMUNERACIONES "/>
    <tableColumn id="3" xr3:uid="{16EEDA3D-8580-47A2-9277-A445D2E3C83B}" name="ene-25"/>
    <tableColumn id="4" xr3:uid="{7CEEF230-890F-4460-8043-AFE525E8BB12}" name="feb-25"/>
    <tableColumn id="5" xr3:uid="{C3637578-62F3-4662-8432-C7AC6EFA3BF7}" name="mar-25"/>
    <tableColumn id="6" xr3:uid="{46EEA78C-8228-4B48-97AF-4D9F34180CA1}" name="abr-25"/>
    <tableColumn id="7" xr3:uid="{2370F2FA-4306-4AE7-9DF5-0701892365D6}" name="may-25"/>
    <tableColumn id="8" xr3:uid="{522C4F5A-F1BC-41C6-9A87-EA32CDAFD300}" name="jun-25"/>
    <tableColumn id="9" xr3:uid="{671B73AC-47F2-4649-98FC-B68715C66393}" name="jul-25"/>
    <tableColumn id="10" xr3:uid="{97122775-2FA3-4E81-B47D-2F765A403E43}" name="ago-25"/>
    <tableColumn id="11" xr3:uid="{1908A65E-C9CC-4155-9A83-D57A49D59DD5}" name="sept-25"/>
    <tableColumn id="12" xr3:uid="{AAA79669-8508-4400-9D10-3BAC27E14FCE}" name="oct-25"/>
    <tableColumn id="13" xr3:uid="{EF1132B7-E536-4C35-957D-569393EE1091}" name="nov-25"/>
    <tableColumn id="14" xr3:uid="{1C2A1DC8-6195-405B-9DA1-0894D5828065}" name="dic-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EBD601-208B-46AC-BF58-13B74E99B229}" name="Tabla5" displayName="Tabla5" ref="A116:N276" totalsRowShown="0" headerRowDxfId="355">
  <autoFilter ref="A116:N276" xr:uid="{90EBD601-208B-46AC-BF58-13B74E99B229}"/>
  <tableColumns count="14">
    <tableColumn id="1" xr3:uid="{891AEB41-1B79-4D64-98B4-D53CFBED9A0F}" name="Columna1"/>
    <tableColumn id="2" xr3:uid="{82F09376-381A-4309-BE4B-0164C304AF5F}" name="REMUNERACIONES "/>
    <tableColumn id="3" xr3:uid="{875DED8C-19A5-4CEE-96C4-AC89E183DFFC}" name="Jan-25"/>
    <tableColumn id="4" xr3:uid="{B3674DAD-015F-499F-A887-CDADC86D5981}" name="feb-25"/>
    <tableColumn id="5" xr3:uid="{FA013922-B37C-4577-B086-66D8A70207B3}" name="mar-25"/>
    <tableColumn id="6" xr3:uid="{EBD8410F-3A4B-4E40-8862-E4D0243A4160}" name="Apr-25"/>
    <tableColumn id="7" xr3:uid="{7BD06AC8-6E83-458B-98A9-52B236D208F0}" name="may-25"/>
    <tableColumn id="8" xr3:uid="{E540ECCE-AC89-466B-A47E-74FEB3EFBBCE}" name="jun-25"/>
    <tableColumn id="9" xr3:uid="{D6A8FAFF-0B54-4F76-9915-122BB705E503}" name="jul-25"/>
    <tableColumn id="10" xr3:uid="{88F952AB-2FA3-416F-8E5B-99B1A45E93F2}" name="Aug-25"/>
    <tableColumn id="11" xr3:uid="{6EE5BC9C-496B-4D7E-920B-A6E7E66D543D}" name="sept-25"/>
    <tableColumn id="12" xr3:uid="{2865C504-F84D-472E-8200-BA5C6F2BE554}" name="oct-25"/>
    <tableColumn id="13" xr3:uid="{C94B3E50-5D12-46D1-9E52-78F370A9746F}" name="nov-25"/>
    <tableColumn id="14" xr3:uid="{BB508874-5381-4DB1-919D-574D9A6B6D88}" name="Dec-25" dataDxfId="35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573A2B-B16A-4F77-9A33-382ADD9553B1}" name="Tabla7" displayName="Tabla7" ref="A111:N201" totalsRowShown="0" headerRowDxfId="353" tableBorderDxfId="352">
  <autoFilter ref="A111:N201" xr:uid="{66573A2B-B16A-4F77-9A33-382ADD9553B1}"/>
  <tableColumns count="14">
    <tableColumn id="1" xr3:uid="{A07C3C30-099D-44C2-AACA-9925CCD89A74}" name="Columna1" dataDxfId="351"/>
    <tableColumn id="2" xr3:uid="{77C0D325-D51A-4DC5-8FFE-20DAEDBB28DB}" name="REMUNERACIONES "/>
    <tableColumn id="3" xr3:uid="{9B7B8C72-DA00-4330-A29D-02FEE140AC3D}" name="ene-25"/>
    <tableColumn id="4" xr3:uid="{63FB9D53-F190-4D57-8AFC-DEE2EBBF9FB4}" name="feb-25"/>
    <tableColumn id="5" xr3:uid="{5226A4F3-12BF-409F-962E-75EF2C2C63B0}" name="mar-25"/>
    <tableColumn id="6" xr3:uid="{B348B1E1-74F5-40E3-90F3-4D11B1C00EFB}" name="abr-25"/>
    <tableColumn id="7" xr3:uid="{9E1EA179-3044-4895-835F-B40EF9B7621C}" name="may-25"/>
    <tableColumn id="8" xr3:uid="{34AB93B8-F1F3-43E5-958E-F30B93E2D5EE}" name="jun-25"/>
    <tableColumn id="9" xr3:uid="{8F4181FB-6E6D-4537-912B-652A4714EEE8}" name="jul-25"/>
    <tableColumn id="10" xr3:uid="{4FE4CE7B-2B56-4D17-B88F-611386F6F359}" name="ago-25"/>
    <tableColumn id="11" xr3:uid="{E001B46A-7709-48EB-A6D3-691DCCC4AB16}" name="sept-25"/>
    <tableColumn id="12" xr3:uid="{6A9120A5-D125-40B0-B6AA-07C88985F5CD}" name="oct-25"/>
    <tableColumn id="13" xr3:uid="{58B04297-1D44-4015-8FDD-B0A5838EFA93}" name="nov-25"/>
    <tableColumn id="14" xr3:uid="{4CA62EB4-BEC8-4AE8-93C1-7F2887BA1D27}" name="dic-2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84B559-A628-42F2-A63D-F47AC4768A84}" name="Tabla9" displayName="Tabla9" ref="A108:N196" totalsRowShown="0" headerRowDxfId="350" tableBorderDxfId="349">
  <autoFilter ref="A108:N196" xr:uid="{2184B559-A628-42F2-A63D-F47AC4768A84}"/>
  <tableColumns count="14">
    <tableColumn id="1" xr3:uid="{8C439B1D-213A-4D64-BBD9-3397C0787B81}" name="Columna1" dataDxfId="348"/>
    <tableColumn id="2" xr3:uid="{B707BC71-9C9F-4B2C-9D2C-F8C0BF0EB2ED}" name="REMUNERACIONES "/>
    <tableColumn id="3" xr3:uid="{029C1181-B097-4AFB-AD74-2E8FFA31ED89}" name="ene-25"/>
    <tableColumn id="4" xr3:uid="{59F50C42-2826-4780-9B8B-A4AF15BE2843}" name="feb-25"/>
    <tableColumn id="5" xr3:uid="{24317B8E-6A86-4ACF-825B-076CF2BC9F45}" name="mar-25"/>
    <tableColumn id="6" xr3:uid="{0954CEBF-4CBA-4C1D-8FF7-FE835D699E09}" name="abr-25"/>
    <tableColumn id="7" xr3:uid="{02D9AE18-6EFB-4633-B108-385F4A9E21B1}" name="may-25"/>
    <tableColumn id="8" xr3:uid="{DA4880AD-B64A-4FC0-A718-96183EE3D379}" name="jun-25"/>
    <tableColumn id="9" xr3:uid="{4CD12C80-611E-485D-AC7D-4097281B1E52}" name="jul-25"/>
    <tableColumn id="10" xr3:uid="{2194F6AB-81B0-438C-B0D3-1AF0BA16A703}" name="ago-25"/>
    <tableColumn id="11" xr3:uid="{3A9F369D-9D1D-443C-AB4C-F1345A0360C5}" name="sept-25"/>
    <tableColumn id="12" xr3:uid="{433D9696-F256-4992-B346-06A4B5BDE4D3}" name="oct-25"/>
    <tableColumn id="13" xr3:uid="{7E0F740B-38CA-4392-9FE2-3E961E8ECEE6}" name="nov-25"/>
    <tableColumn id="14" xr3:uid="{FADA0D27-3A45-472A-898D-015A0008D0F9}" name="dic-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5" dT="2024-03-17T22:28:58.35" personId="{CB4A5DE3-137B-4D5C-8CD9-5AD48AE07F21}" id="{13832CAA-C899-44F5-87EB-E80430C2489C}">
    <text>Sueldo mensual</text>
  </threadedComment>
  <threadedComment ref="B176" dT="2024-03-17T22:29:26.05" personId="{CB4A5DE3-137B-4D5C-8CD9-5AD48AE07F21}" id="{9D41BFD6-D382-45DD-A3DF-8F003CF62CE0}">
    <text>Rendiciones de gastos viajes Viña - Stgo</text>
  </threadedComment>
  <threadedComment ref="B177" dT="2024-03-17T22:29:48.88" personId="{CB4A5DE3-137B-4D5C-8CD9-5AD48AE07F21}" id="{8098E43C-8494-47F6-B97C-9B439D0D45F1}">
    <text>Rendiciones</text>
  </threadedComment>
  <threadedComment ref="B178" dT="2024-03-17T22:30:31.19" personId="{CB4A5DE3-137B-4D5C-8CD9-5AD48AE07F21}" id="{741F8D55-4ABA-4325-A4D6-D62B30E907E8}">
    <text>Pago de bonificación mediante acuerdo ER</text>
  </threadedComment>
  <threadedComment ref="B180" dT="2024-03-17T22:24:28.01" personId="{CB4A5DE3-137B-4D5C-8CD9-5AD48AE07F21}" id="{FC786053-8760-4C45-A8ED-973693BABAF3}">
    <text>Bono anual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2" dT="2024-03-22T13:48:51.75" personId="{CB4A5DE3-137B-4D5C-8CD9-5AD48AE07F21}" id="{AE741CE9-4C12-4F65-8AC3-93DE1C5D3B4A}">
    <text>Ingresos NETOS por facturas</text>
  </threadedComment>
  <threadedComment ref="B93" dT="2024-03-22T13:22:48.80" personId="{CB4A5DE3-137B-4D5C-8CD9-5AD48AE07F21}" id="{B5846024-BFFF-44E5-85EB-73663EEFADA9}">
    <text>Considerar ingresos por concepto de IGV de facturas separados del ingreso NETO</text>
  </threadedComment>
  <threadedComment ref="B105" dT="2024-03-22T13:22:10.17" personId="{CB4A5DE3-137B-4D5C-8CD9-5AD48AE07F21}" id="{8EF46716-F1C0-4618-A9BC-1A1C67C8D226}">
    <text>Considerar sueldos líquidos para no afectar flujo del mes (NO BRUTOS)</text>
  </threadedComment>
  <threadedComment ref="B185" dT="2024-03-22T13:27:02.53" personId="{CB4A5DE3-137B-4D5C-8CD9-5AD48AE07F21}" id="{BFDB57DE-6D4E-4BE9-99B7-90A85858D922}">
    <text>Separar por viaje</text>
  </threadedComment>
  <threadedComment ref="B250" dT="2024-03-22T13:47:21.55" personId="{CB4A5DE3-137B-4D5C-8CD9-5AD48AE07F21}" id="{E9C82FAE-9DCB-4387-9719-48E69D7B057B}">
    <text>Empresas Relacionadas</text>
  </threadedComment>
  <threadedComment ref="B252" dT="2024-03-22T13:46:26.61" personId="{CB4A5DE3-137B-4D5C-8CD9-5AD48AE07F21}" id="{57300174-FF79-4F7E-8099-51B8E9033AB9}">
    <text>Préstamo desde redco chile</text>
  </threadedComment>
  <threadedComment ref="B253" dT="2024-03-22T13:46:59.97" personId="{CB4A5DE3-137B-4D5C-8CD9-5AD48AE07F21}" id="{13DB442E-CC51-4751-A997-2E4A2DBC96F1}">
    <text>Prestamos E Rubio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</sheetPr>
  <dimension ref="A1:P393"/>
  <sheetViews>
    <sheetView zoomScale="82" zoomScaleNormal="82" zoomScaleSheetLayoutView="80" workbookViewId="0">
      <pane ySplit="1" topLeftCell="A7" activePane="bottomLeft" state="frozen"/>
      <selection pane="bottomLeft" activeCell="G95" sqref="G95"/>
    </sheetView>
  </sheetViews>
  <sheetFormatPr baseColWidth="10" defaultColWidth="11.5" defaultRowHeight="15"/>
  <cols>
    <col min="1" max="1" width="3.83203125" customWidth="1"/>
    <col min="2" max="2" width="76.1640625" customWidth="1"/>
    <col min="3" max="3" width="21.5" customWidth="1"/>
    <col min="4" max="4" width="21.1640625" customWidth="1"/>
    <col min="5" max="5" width="22.1640625" customWidth="1"/>
    <col min="6" max="6" width="21.5" style="87" bestFit="1" customWidth="1"/>
    <col min="7" max="7" width="23.1640625" style="87" customWidth="1"/>
    <col min="8" max="8" width="13" style="87" bestFit="1" customWidth="1"/>
    <col min="9" max="9" width="13.5" bestFit="1" customWidth="1"/>
    <col min="10" max="10" width="12" bestFit="1" customWidth="1"/>
  </cols>
  <sheetData>
    <row r="1" spans="2:8">
      <c r="B1" s="31" t="s">
        <v>0</v>
      </c>
      <c r="C1" s="2"/>
      <c r="D1" s="2"/>
      <c r="E1" s="2"/>
    </row>
    <row r="2" spans="2:8">
      <c r="B2" s="507"/>
    </row>
    <row r="3" spans="2:8" ht="16.25" customHeight="1">
      <c r="B3" s="71">
        <v>2025</v>
      </c>
      <c r="C3" s="3"/>
      <c r="D3" s="3"/>
      <c r="E3" s="3"/>
    </row>
    <row r="4" spans="2:8" ht="16.25" customHeight="1">
      <c r="B4" s="71"/>
      <c r="C4" s="87"/>
      <c r="D4" s="87"/>
      <c r="E4" s="87"/>
    </row>
    <row r="5" spans="2:8" ht="16.25" customHeight="1" thickBot="1">
      <c r="B5" s="423"/>
      <c r="C5" s="88"/>
      <c r="D5" s="88"/>
      <c r="E5" s="88"/>
    </row>
    <row r="6" spans="2:8" ht="21" customHeight="1" thickBot="1">
      <c r="B6" s="424" t="s">
        <v>503</v>
      </c>
      <c r="C6" s="344" t="s">
        <v>505</v>
      </c>
      <c r="D6" s="344" t="s">
        <v>505</v>
      </c>
      <c r="E6" s="71" t="s">
        <v>504</v>
      </c>
    </row>
    <row r="7" spans="2:8" ht="16.25" customHeight="1" thickBot="1">
      <c r="B7" s="71"/>
      <c r="C7" s="2"/>
      <c r="D7" s="2"/>
      <c r="E7" s="2"/>
    </row>
    <row r="8" spans="2:8" ht="16.25" customHeight="1" thickBot="1">
      <c r="B8" s="508" t="s">
        <v>1</v>
      </c>
      <c r="C8" s="509">
        <v>45658</v>
      </c>
      <c r="D8" s="509">
        <v>45689</v>
      </c>
      <c r="E8" s="509">
        <v>45717</v>
      </c>
      <c r="G8"/>
      <c r="H8"/>
    </row>
    <row r="9" spans="2:8" ht="16.25" customHeight="1">
      <c r="B9" s="72" t="s">
        <v>2</v>
      </c>
      <c r="C9" s="503">
        <f>SUM(C43+C44)</f>
        <v>48703652</v>
      </c>
      <c r="D9" s="503">
        <f>SUM(D43+D44)</f>
        <v>154486282</v>
      </c>
      <c r="E9" s="503">
        <f>SUM(E43+E44)</f>
        <v>282096553</v>
      </c>
      <c r="G9"/>
      <c r="H9"/>
    </row>
    <row r="10" spans="2:8" ht="16.25" customHeight="1">
      <c r="B10" s="73" t="s">
        <v>3</v>
      </c>
      <c r="C10" s="504">
        <f>+C81</f>
        <v>382405283</v>
      </c>
      <c r="D10" s="504">
        <f>+D81</f>
        <v>615898051</v>
      </c>
      <c r="E10" s="504">
        <f>+E81</f>
        <v>251774915</v>
      </c>
      <c r="F10" s="171"/>
      <c r="G10"/>
      <c r="H10"/>
    </row>
    <row r="11" spans="2:8" ht="16.25" customHeight="1">
      <c r="B11" s="73" t="s">
        <v>4</v>
      </c>
      <c r="C11" s="504">
        <f>+C85</f>
        <v>73201311</v>
      </c>
      <c r="D11" s="504">
        <f>+D85</f>
        <v>97684687</v>
      </c>
      <c r="E11" s="504">
        <f>+E85</f>
        <v>47837233</v>
      </c>
      <c r="G11"/>
      <c r="H11"/>
    </row>
    <row r="12" spans="2:8" ht="16.25" customHeight="1">
      <c r="B12" s="505" t="s">
        <v>287</v>
      </c>
      <c r="C12" s="504"/>
      <c r="D12" s="504"/>
      <c r="E12" s="504"/>
      <c r="G12"/>
      <c r="H12"/>
    </row>
    <row r="13" spans="2:8" ht="16.25" customHeight="1">
      <c r="B13" s="418" t="s">
        <v>288</v>
      </c>
      <c r="C13" s="504"/>
      <c r="D13" s="504"/>
      <c r="E13" s="504"/>
      <c r="G13"/>
      <c r="H13"/>
    </row>
    <row r="14" spans="2:8" ht="16.25" customHeight="1">
      <c r="B14" s="418" t="s">
        <v>286</v>
      </c>
      <c r="C14" s="504"/>
      <c r="D14" s="504"/>
      <c r="E14" s="504"/>
      <c r="G14"/>
      <c r="H14"/>
    </row>
    <row r="15" spans="2:8" ht="16.25" customHeight="1" thickBot="1">
      <c r="B15" s="73" t="s">
        <v>5</v>
      </c>
      <c r="C15" s="504">
        <f>+C99</f>
        <v>119395962</v>
      </c>
      <c r="D15" s="504">
        <f>+D99</f>
        <v>9692163</v>
      </c>
      <c r="E15" s="504">
        <f>+E99</f>
        <v>-7470050</v>
      </c>
      <c r="F15" s="171"/>
      <c r="G15"/>
      <c r="H15"/>
    </row>
    <row r="16" spans="2:8" ht="16.25" customHeight="1" thickBot="1">
      <c r="B16" s="74" t="s">
        <v>6</v>
      </c>
      <c r="C16" s="85">
        <f>SUM(C9:C15)</f>
        <v>623706208</v>
      </c>
      <c r="D16" s="85">
        <f>SUM(D9:D15)</f>
        <v>877761183</v>
      </c>
      <c r="E16" s="85">
        <f>SUM(E9:E15)</f>
        <v>574238651</v>
      </c>
      <c r="G16"/>
      <c r="H16"/>
    </row>
    <row r="17" spans="2:8" ht="16.25" customHeight="1" thickBot="1">
      <c r="B17" s="510"/>
      <c r="C17" s="423"/>
      <c r="D17" s="423"/>
      <c r="E17" s="423"/>
      <c r="G17"/>
      <c r="H17"/>
    </row>
    <row r="18" spans="2:8" ht="16.25" customHeight="1">
      <c r="B18" s="72" t="s">
        <v>7</v>
      </c>
      <c r="C18" s="419">
        <f>SUM(C167)</f>
        <v>278812947</v>
      </c>
      <c r="D18" s="419">
        <f>SUM(D167)</f>
        <v>205478739</v>
      </c>
      <c r="E18" s="419">
        <f>SUM(E167)</f>
        <v>206804053</v>
      </c>
      <c r="G18"/>
      <c r="H18"/>
    </row>
    <row r="19" spans="2:8" ht="16.25" customHeight="1">
      <c r="B19" s="73" t="s">
        <v>8</v>
      </c>
      <c r="C19" s="417">
        <f>SUM(C199)</f>
        <v>28678784.687935274</v>
      </c>
      <c r="D19" s="417">
        <f>SUM(D199)</f>
        <v>95836510</v>
      </c>
      <c r="E19" s="417">
        <f>SUM(E199)</f>
        <v>18385968</v>
      </c>
      <c r="F19" s="171"/>
      <c r="G19"/>
      <c r="H19"/>
    </row>
    <row r="20" spans="2:8" ht="16.25" customHeight="1">
      <c r="B20" s="73" t="s">
        <v>9</v>
      </c>
      <c r="C20" s="417">
        <f>SUM(C261)</f>
        <v>43582698</v>
      </c>
      <c r="D20" s="417">
        <f>SUM(D261)</f>
        <v>32950339</v>
      </c>
      <c r="E20" s="417">
        <f>SUM(E261)</f>
        <v>71518398</v>
      </c>
      <c r="G20"/>
      <c r="H20"/>
    </row>
    <row r="21" spans="2:8" ht="16.25" customHeight="1" thickBot="1">
      <c r="B21" s="73" t="s">
        <v>10</v>
      </c>
      <c r="C21" s="417">
        <f>SUM(C266)</f>
        <v>0</v>
      </c>
      <c r="D21" s="417">
        <f>SUM(D266)</f>
        <v>9258153</v>
      </c>
      <c r="E21" s="417">
        <f>SUM(E266)</f>
        <v>1400000</v>
      </c>
      <c r="G21"/>
      <c r="H21"/>
    </row>
    <row r="22" spans="2:8" ht="16.25" customHeight="1" thickBot="1">
      <c r="B22" s="81" t="s">
        <v>11</v>
      </c>
      <c r="C22" s="82">
        <f>SUM(C18:C21)</f>
        <v>351074429.68793529</v>
      </c>
      <c r="D22" s="82">
        <f>SUM(D18:D21)</f>
        <v>343523741</v>
      </c>
      <c r="E22" s="82">
        <f>SUM(E18:E21)</f>
        <v>298108419</v>
      </c>
      <c r="G22"/>
      <c r="H22"/>
    </row>
    <row r="23" spans="2:8" ht="16.25" customHeight="1">
      <c r="B23" s="511" t="s">
        <v>12</v>
      </c>
      <c r="C23" s="419">
        <f>SUM(C280)</f>
        <v>9731942</v>
      </c>
      <c r="D23" s="419">
        <f>SUM(D280)</f>
        <v>35844455</v>
      </c>
      <c r="E23" s="419">
        <f>SUM(E280)</f>
        <v>34501236</v>
      </c>
      <c r="G23"/>
      <c r="H23"/>
    </row>
    <row r="24" spans="2:8" ht="16.25" customHeight="1" thickBot="1">
      <c r="B24" s="512" t="s">
        <v>13</v>
      </c>
      <c r="C24" s="417">
        <f>SUM(C306)</f>
        <v>3572717</v>
      </c>
      <c r="D24" s="417">
        <f>SUM(D306)</f>
        <v>15591695</v>
      </c>
      <c r="E24" s="417">
        <f>SUM(E306)</f>
        <v>7866800</v>
      </c>
      <c r="G24"/>
      <c r="H24"/>
    </row>
    <row r="25" spans="2:8" ht="16.25" customHeight="1" thickBot="1">
      <c r="B25" s="81" t="s">
        <v>14</v>
      </c>
      <c r="C25" s="83">
        <f>SUM(C23:C24)</f>
        <v>13304659</v>
      </c>
      <c r="D25" s="83">
        <f>SUM(D23:D24)</f>
        <v>51436150</v>
      </c>
      <c r="E25" s="83">
        <f>SUM(E23:E24)</f>
        <v>42368036</v>
      </c>
      <c r="G25"/>
      <c r="H25"/>
    </row>
    <row r="26" spans="2:8" ht="16.25" customHeight="1">
      <c r="B26" s="73" t="s">
        <v>15</v>
      </c>
      <c r="C26" s="417">
        <f>SUM(C314)</f>
        <v>32600739</v>
      </c>
      <c r="D26" s="417">
        <f>SUM(D314)</f>
        <v>58964333</v>
      </c>
      <c r="E26" s="417">
        <f>SUM(E314)</f>
        <v>14300000</v>
      </c>
      <c r="G26"/>
      <c r="H26"/>
    </row>
    <row r="27" spans="2:8" ht="16.25" customHeight="1">
      <c r="B27" s="73" t="s">
        <v>16</v>
      </c>
      <c r="C27" s="417">
        <f>SUM(C320)</f>
        <v>25722767</v>
      </c>
      <c r="D27" s="417">
        <f>SUM(D320)</f>
        <v>25698938</v>
      </c>
      <c r="E27" s="417">
        <f>SUM(E320)</f>
        <v>25750000</v>
      </c>
      <c r="G27"/>
      <c r="H27"/>
    </row>
    <row r="28" spans="2:8" ht="16.25" customHeight="1">
      <c r="B28" s="73" t="s">
        <v>138</v>
      </c>
      <c r="C28" s="417">
        <f>SUM(C327)</f>
        <v>172475</v>
      </c>
      <c r="D28" s="417">
        <f>SUM(D327)</f>
        <v>1220320</v>
      </c>
      <c r="E28" s="417">
        <f>SUM(E327)</f>
        <v>1221063</v>
      </c>
      <c r="G28"/>
      <c r="H28"/>
    </row>
    <row r="29" spans="2:8" ht="16.25" customHeight="1" thickBot="1">
      <c r="B29" s="73" t="s">
        <v>17</v>
      </c>
      <c r="C29" s="417">
        <f>SUM(C337)</f>
        <v>46257039</v>
      </c>
      <c r="D29" s="417">
        <f>SUM(D337)</f>
        <v>114821148</v>
      </c>
      <c r="E29" s="417">
        <f>SUM(E337)</f>
        <v>57713026</v>
      </c>
      <c r="F29" s="171"/>
      <c r="G29"/>
      <c r="H29"/>
    </row>
    <row r="30" spans="2:8" ht="16.25" customHeight="1" thickBot="1">
      <c r="B30" s="81" t="s">
        <v>18</v>
      </c>
      <c r="C30" s="84">
        <f>SUM(C26:C29)</f>
        <v>104753020</v>
      </c>
      <c r="D30" s="84">
        <f>SUM(D26:D29)</f>
        <v>200704739</v>
      </c>
      <c r="E30" s="84">
        <f>SUM(E26:E29)</f>
        <v>98984089</v>
      </c>
      <c r="G30"/>
      <c r="H30"/>
    </row>
    <row r="31" spans="2:8" ht="16.25" customHeight="1" thickBot="1">
      <c r="C31" s="506"/>
      <c r="D31" s="506"/>
      <c r="E31" s="506"/>
      <c r="G31"/>
      <c r="H31"/>
    </row>
    <row r="32" spans="2:8" ht="16.25" customHeight="1" thickBot="1">
      <c r="B32" s="81" t="s">
        <v>19</v>
      </c>
      <c r="C32" s="84">
        <f>SUM(C30,C25,C22)</f>
        <v>469132108.68793529</v>
      </c>
      <c r="D32" s="84">
        <f>SUM(D30,D25,D22)</f>
        <v>595664630</v>
      </c>
      <c r="E32" s="84">
        <f>SUM(E30,E25,E22)</f>
        <v>439460544</v>
      </c>
      <c r="G32"/>
      <c r="H32"/>
    </row>
    <row r="33" spans="2:16" ht="16.25" customHeight="1" thickBot="1">
      <c r="C33" s="2">
        <f>SUM(C339-C32)</f>
        <v>0</v>
      </c>
      <c r="D33" s="2">
        <f>SUM(D339-D32)</f>
        <v>0</v>
      </c>
      <c r="E33" s="2">
        <f>SUM(E339-E32)</f>
        <v>0</v>
      </c>
      <c r="G33"/>
      <c r="H33"/>
    </row>
    <row r="34" spans="2:16" ht="16.25" customHeight="1" thickBot="1">
      <c r="B34" s="74" t="s">
        <v>20</v>
      </c>
      <c r="C34" s="75">
        <f>SUM(C16-C32)</f>
        <v>154574099.31206471</v>
      </c>
      <c r="D34" s="75">
        <f>SUM(D16-D32)</f>
        <v>282096553</v>
      </c>
      <c r="E34" s="75">
        <f>SUM(E16-E32)</f>
        <v>134778107</v>
      </c>
      <c r="K34" s="31"/>
    </row>
    <row r="35" spans="2:16" ht="16.25" customHeight="1">
      <c r="C35" s="421">
        <f>SUM(C34-C341)</f>
        <v>0</v>
      </c>
      <c r="D35" s="421">
        <f>SUM(D34-D341)</f>
        <v>0</v>
      </c>
      <c r="E35" s="421">
        <f>SUM(E34-E341)</f>
        <v>0</v>
      </c>
      <c r="F35" s="198"/>
      <c r="G35" s="198"/>
      <c r="H35" s="198"/>
      <c r="K35" s="31"/>
    </row>
    <row r="36" spans="2:16" ht="16.25" customHeight="1">
      <c r="B36" s="71"/>
      <c r="C36" s="2"/>
      <c r="D36" s="2"/>
      <c r="E36" s="2"/>
      <c r="G36" s="171"/>
      <c r="J36" s="423"/>
      <c r="K36" s="170"/>
    </row>
    <row r="37" spans="2:16" ht="13.5" customHeight="1">
      <c r="B37" s="425"/>
      <c r="C37" s="426"/>
      <c r="D37" s="426"/>
      <c r="E37" s="426"/>
      <c r="F37" s="198"/>
      <c r="G37" s="198"/>
      <c r="H37" s="198"/>
      <c r="I37" s="31"/>
      <c r="J37" s="155"/>
      <c r="K37" s="170"/>
      <c r="L37" s="31"/>
      <c r="M37" s="31"/>
      <c r="N37" s="31"/>
      <c r="O37" s="31"/>
      <c r="P37" s="31"/>
    </row>
    <row r="39" spans="2:16" ht="16.25" customHeight="1">
      <c r="B39" s="71"/>
      <c r="C39" s="2"/>
      <c r="D39" s="2"/>
      <c r="E39" s="2"/>
      <c r="G39" s="171"/>
      <c r="J39" s="423"/>
      <c r="K39" s="170"/>
    </row>
    <row r="40" spans="2:16" ht="16.25" customHeight="1">
      <c r="B40" s="71"/>
      <c r="C40" s="2"/>
      <c r="D40" s="2"/>
      <c r="E40" s="2"/>
      <c r="G40" s="171"/>
      <c r="J40" s="423"/>
      <c r="K40" s="170"/>
    </row>
    <row r="41" spans="2:16" ht="16.25" customHeight="1" thickBot="1">
      <c r="B41" s="71"/>
      <c r="C41" s="196" t="s">
        <v>506</v>
      </c>
      <c r="D41" s="196" t="s">
        <v>506</v>
      </c>
      <c r="E41" s="196" t="s">
        <v>504</v>
      </c>
      <c r="G41" s="171"/>
      <c r="J41" s="423"/>
      <c r="K41" s="170"/>
    </row>
    <row r="42" spans="2:16" ht="16" thickBot="1">
      <c r="C42" s="509">
        <v>45658</v>
      </c>
      <c r="D42" s="509">
        <v>45689</v>
      </c>
      <c r="E42" s="509">
        <v>45717</v>
      </c>
      <c r="I42" s="423"/>
      <c r="J42" s="423"/>
      <c r="K42" s="423"/>
      <c r="L42" s="423"/>
      <c r="M42" s="423"/>
      <c r="N42" s="423"/>
      <c r="O42" s="423"/>
      <c r="P42" s="423"/>
    </row>
    <row r="43" spans="2:16">
      <c r="B43" s="513" t="s">
        <v>507</v>
      </c>
      <c r="C43" s="76">
        <v>48372971</v>
      </c>
      <c r="D43" s="76">
        <f>+C343</f>
        <v>59978095</v>
      </c>
      <c r="E43" s="76">
        <f>+D343</f>
        <v>201419874</v>
      </c>
      <c r="I43" s="88"/>
      <c r="J43" s="88"/>
      <c r="K43" s="88"/>
      <c r="L43" s="88"/>
      <c r="M43" s="88"/>
      <c r="N43" s="88"/>
      <c r="O43" s="88"/>
      <c r="P43" s="88"/>
    </row>
    <row r="44" spans="2:16" ht="17.5" customHeight="1" thickBot="1">
      <c r="B44" s="514" t="s">
        <v>508</v>
      </c>
      <c r="C44" s="422">
        <v>330681</v>
      </c>
      <c r="D44" s="422">
        <v>94508187</v>
      </c>
      <c r="E44" s="422">
        <f>+D344</f>
        <v>80676679</v>
      </c>
      <c r="I44" s="423"/>
      <c r="J44" s="87"/>
      <c r="K44" s="31"/>
      <c r="M44" s="423"/>
      <c r="O44" s="87"/>
      <c r="P44" s="87"/>
    </row>
    <row r="45" spans="2:16">
      <c r="B45" s="515"/>
      <c r="C45" s="50"/>
      <c r="D45" s="50"/>
      <c r="E45" s="50"/>
      <c r="I45" s="87"/>
      <c r="J45" s="87"/>
      <c r="K45" s="31"/>
      <c r="O45" s="87"/>
      <c r="P45" s="87"/>
    </row>
    <row r="46" spans="2:16" ht="16" thickBot="1">
      <c r="B46" s="516"/>
      <c r="C46" s="77"/>
      <c r="D46" s="77"/>
      <c r="E46" s="77"/>
      <c r="I46" s="423"/>
      <c r="J46" s="87"/>
      <c r="K46" s="31"/>
      <c r="O46" s="87"/>
      <c r="P46" s="87"/>
    </row>
    <row r="47" spans="2:16" ht="16" thickBot="1">
      <c r="B47" s="517" t="s">
        <v>21</v>
      </c>
      <c r="C47" s="509">
        <v>45658</v>
      </c>
      <c r="D47" s="509">
        <v>45689</v>
      </c>
      <c r="E47" s="509">
        <v>45717</v>
      </c>
      <c r="I47" s="38"/>
      <c r="J47" s="87"/>
      <c r="K47" s="31"/>
    </row>
    <row r="48" spans="2:16" ht="21" customHeight="1" thickBot="1">
      <c r="B48" s="14" t="s">
        <v>22</v>
      </c>
      <c r="C48" s="427" t="s">
        <v>23</v>
      </c>
      <c r="D48" s="427" t="s">
        <v>23</v>
      </c>
      <c r="E48" s="427" t="s">
        <v>23</v>
      </c>
      <c r="I48" s="423"/>
      <c r="J48" s="87"/>
      <c r="K48" s="31"/>
    </row>
    <row r="49" spans="2:9">
      <c r="B49" s="428" t="s">
        <v>24</v>
      </c>
      <c r="C49" s="333">
        <v>83858385</v>
      </c>
      <c r="D49" s="12"/>
      <c r="E49" s="12"/>
    </row>
    <row r="50" spans="2:9">
      <c r="B50" s="428" t="s">
        <v>374</v>
      </c>
      <c r="C50" s="333">
        <v>82670896</v>
      </c>
      <c r="D50" s="407">
        <f>+'Facturas e Ingresos 2025'!E20+'Facturas e Ingresos 2025'!E28</f>
        <v>150942195</v>
      </c>
      <c r="E50" s="407">
        <v>44047733</v>
      </c>
    </row>
    <row r="51" spans="2:9">
      <c r="B51" s="428" t="s">
        <v>375</v>
      </c>
      <c r="C51" s="334">
        <v>80377561</v>
      </c>
      <c r="D51" s="262"/>
      <c r="E51" s="262"/>
      <c r="F51" s="263"/>
    </row>
    <row r="52" spans="2:9">
      <c r="B52" s="428" t="s">
        <v>509</v>
      </c>
      <c r="C52" s="333">
        <v>41976916</v>
      </c>
      <c r="D52" s="35">
        <f>+'Facturas e Ingresos 2025'!E31</f>
        <v>9265729</v>
      </c>
      <c r="E52" s="35"/>
      <c r="I52" s="87"/>
    </row>
    <row r="53" spans="2:9">
      <c r="B53" s="23" t="s">
        <v>592</v>
      </c>
      <c r="C53" s="429"/>
      <c r="D53" s="407">
        <f>+'Facturas e Ingresos 2025'!I17</f>
        <v>43972803</v>
      </c>
      <c r="E53" s="407"/>
      <c r="F53" s="287"/>
      <c r="I53" s="88"/>
    </row>
    <row r="54" spans="2:9">
      <c r="B54" s="23" t="s">
        <v>575</v>
      </c>
      <c r="C54" s="429"/>
      <c r="D54" s="407">
        <f>+'Facturas e Ingresos 2025'!I18</f>
        <v>61831751</v>
      </c>
      <c r="E54" s="407"/>
      <c r="F54" s="287"/>
      <c r="I54" s="88"/>
    </row>
    <row r="55" spans="2:9">
      <c r="B55" s="23" t="s">
        <v>629</v>
      </c>
      <c r="C55" s="429"/>
      <c r="D55" s="12"/>
      <c r="E55" s="12"/>
      <c r="I55" s="88"/>
    </row>
    <row r="56" spans="2:9">
      <c r="B56" s="23" t="s">
        <v>521</v>
      </c>
      <c r="C56" s="429"/>
      <c r="D56" s="407">
        <f>+'Facturas e Ingresos 2025'!E22</f>
        <v>14077368</v>
      </c>
      <c r="E56" s="407"/>
      <c r="I56" s="88"/>
    </row>
    <row r="57" spans="2:9">
      <c r="B57" s="23" t="s">
        <v>522</v>
      </c>
      <c r="C57" s="429"/>
      <c r="D57" s="407">
        <f>+'Facturas e Ingresos 2025'!E23</f>
        <v>32070646</v>
      </c>
      <c r="E57" s="407"/>
      <c r="I57" s="88"/>
    </row>
    <row r="58" spans="2:9">
      <c r="B58" s="23" t="s">
        <v>523</v>
      </c>
      <c r="C58" s="429"/>
      <c r="D58" s="407">
        <f>+'Facturas e Ingresos 2025'!E24+'Facturas e Ingresos 2025'!E25</f>
        <v>28803159</v>
      </c>
      <c r="E58" s="407"/>
      <c r="I58" s="88"/>
    </row>
    <row r="59" spans="2:9">
      <c r="B59" s="428" t="s">
        <v>310</v>
      </c>
      <c r="C59" s="429"/>
      <c r="D59" s="35">
        <f>+'Facturas e Ingresos 2025'!E21</f>
        <v>34170570</v>
      </c>
      <c r="E59" s="35"/>
      <c r="I59" s="88"/>
    </row>
    <row r="60" spans="2:9" hidden="1">
      <c r="B60" s="428" t="s">
        <v>25</v>
      </c>
      <c r="C60" s="429"/>
      <c r="D60" s="12"/>
      <c r="E60" s="12"/>
      <c r="I60" s="88"/>
    </row>
    <row r="61" spans="2:9" hidden="1">
      <c r="B61" s="89" t="s">
        <v>26</v>
      </c>
      <c r="C61" s="429"/>
      <c r="D61" s="12"/>
      <c r="E61" s="12"/>
      <c r="I61" s="88"/>
    </row>
    <row r="62" spans="2:9" hidden="1">
      <c r="B62" s="428" t="s">
        <v>400</v>
      </c>
      <c r="C62" s="429"/>
      <c r="D62" s="12"/>
      <c r="E62" s="12"/>
      <c r="I62" s="88"/>
    </row>
    <row r="63" spans="2:9" hidden="1">
      <c r="B63" s="428" t="s">
        <v>27</v>
      </c>
      <c r="C63" s="429"/>
      <c r="D63" s="12"/>
      <c r="E63" s="12"/>
      <c r="I63" s="88"/>
    </row>
    <row r="64" spans="2:9" hidden="1">
      <c r="B64" s="428" t="s">
        <v>28</v>
      </c>
      <c r="C64" s="429"/>
      <c r="D64" s="12"/>
      <c r="E64" s="12"/>
      <c r="I64" s="88"/>
    </row>
    <row r="65" spans="2:9" hidden="1">
      <c r="B65" s="428" t="s">
        <v>294</v>
      </c>
      <c r="C65" s="429"/>
      <c r="D65" s="12"/>
      <c r="E65" s="12"/>
      <c r="I65" s="88"/>
    </row>
    <row r="66" spans="2:9">
      <c r="B66" s="428" t="s">
        <v>520</v>
      </c>
      <c r="C66" s="429"/>
      <c r="D66" s="35">
        <f>+'Facturas e Ingresos 2025'!E27</f>
        <v>14564501</v>
      </c>
      <c r="E66" s="35">
        <v>7736812</v>
      </c>
      <c r="I66" s="88"/>
    </row>
    <row r="67" spans="2:9">
      <c r="B67" s="428" t="s">
        <v>589</v>
      </c>
      <c r="C67" s="429"/>
      <c r="D67" s="35"/>
      <c r="E67" s="35">
        <v>30291258</v>
      </c>
      <c r="I67" s="88"/>
    </row>
    <row r="68" spans="2:9">
      <c r="B68" s="428" t="s">
        <v>630</v>
      </c>
      <c r="C68" s="429"/>
      <c r="D68" s="12"/>
      <c r="E68" s="12"/>
      <c r="I68" s="88"/>
    </row>
    <row r="69" spans="2:9" hidden="1">
      <c r="B69" s="428" t="s">
        <v>29</v>
      </c>
      <c r="C69" s="429"/>
      <c r="D69" s="12"/>
      <c r="E69" s="12"/>
      <c r="I69" s="88"/>
    </row>
    <row r="70" spans="2:9" hidden="1">
      <c r="B70" s="428" t="s">
        <v>376</v>
      </c>
      <c r="C70" s="429"/>
      <c r="D70" s="12"/>
      <c r="E70" s="12"/>
      <c r="I70" s="88"/>
    </row>
    <row r="71" spans="2:9" hidden="1">
      <c r="B71" s="428" t="s">
        <v>334</v>
      </c>
      <c r="C71" s="429"/>
      <c r="D71" s="12"/>
      <c r="E71" s="12"/>
      <c r="I71" s="88"/>
    </row>
    <row r="72" spans="2:9" hidden="1">
      <c r="B72" s="428" t="s">
        <v>353</v>
      </c>
      <c r="C72" s="429"/>
      <c r="D72" s="12"/>
      <c r="E72" s="12"/>
      <c r="I72" s="88"/>
    </row>
    <row r="73" spans="2:9">
      <c r="B73" s="428" t="s">
        <v>399</v>
      </c>
      <c r="C73" s="429"/>
      <c r="D73" s="35">
        <f>+'Facturas e Ingresos 2025'!E33</f>
        <v>67426546</v>
      </c>
      <c r="E73" s="35"/>
      <c r="I73" s="88"/>
    </row>
    <row r="74" spans="2:9">
      <c r="B74" s="428" t="s">
        <v>524</v>
      </c>
      <c r="C74" s="334">
        <v>48838310</v>
      </c>
      <c r="D74" s="262"/>
      <c r="E74" s="262"/>
      <c r="F74" s="263"/>
      <c r="I74" s="88"/>
    </row>
    <row r="75" spans="2:9">
      <c r="B75" s="428" t="s">
        <v>418</v>
      </c>
      <c r="C75" s="429"/>
      <c r="D75" s="35"/>
      <c r="E75" s="35">
        <v>81846288</v>
      </c>
      <c r="G75" s="198"/>
      <c r="H75" s="198"/>
    </row>
    <row r="76" spans="2:9">
      <c r="B76" s="428" t="s">
        <v>436</v>
      </c>
      <c r="C76" s="335"/>
      <c r="D76" s="407">
        <f>+'Facturas e Ingresos 2025'!E14+'Facturas e Ingresos 2025'!E15</f>
        <v>158772783</v>
      </c>
      <c r="E76" s="407"/>
      <c r="G76" s="198"/>
      <c r="H76" s="198"/>
    </row>
    <row r="77" spans="2:9">
      <c r="B77" s="428" t="s">
        <v>590</v>
      </c>
      <c r="C77" s="335"/>
      <c r="D77" s="407"/>
      <c r="E77" s="407">
        <v>82945096</v>
      </c>
      <c r="G77" s="198"/>
      <c r="H77" s="198"/>
    </row>
    <row r="78" spans="2:9">
      <c r="B78" s="428" t="s">
        <v>591</v>
      </c>
      <c r="C78" s="335"/>
      <c r="D78" s="407"/>
      <c r="E78" s="407">
        <v>4907728</v>
      </c>
      <c r="G78" s="198"/>
      <c r="H78" s="198"/>
    </row>
    <row r="79" spans="2:9">
      <c r="B79" s="428" t="s">
        <v>593</v>
      </c>
      <c r="C79" s="335"/>
      <c r="D79" s="407"/>
      <c r="E79" s="407"/>
      <c r="G79" s="198"/>
      <c r="H79" s="198"/>
    </row>
    <row r="80" spans="2:9" ht="16" thickBot="1">
      <c r="B80" s="16" t="s">
        <v>588</v>
      </c>
      <c r="C80" s="334">
        <v>44683215</v>
      </c>
      <c r="D80" s="12"/>
      <c r="E80" s="12"/>
      <c r="F80" s="287"/>
      <c r="G80" s="393"/>
      <c r="H80" s="198"/>
    </row>
    <row r="81" spans="2:9" ht="23.25" customHeight="1" thickBot="1">
      <c r="B81" s="518" t="s">
        <v>3</v>
      </c>
      <c r="C81" s="15">
        <f>SUM(C49:C80)</f>
        <v>382405283</v>
      </c>
      <c r="D81" s="15">
        <f>SUM(D49:D80)</f>
        <v>615898051</v>
      </c>
      <c r="E81" s="15">
        <f>SUM(E49:E80)</f>
        <v>251774915</v>
      </c>
      <c r="F81" s="88"/>
      <c r="G81" s="393"/>
      <c r="H81" s="198"/>
    </row>
    <row r="82" spans="2:9" ht="16" thickBot="1">
      <c r="H82" s="198"/>
    </row>
    <row r="83" spans="2:9" ht="16" thickBot="1">
      <c r="B83" s="517" t="s">
        <v>30</v>
      </c>
      <c r="C83" s="509">
        <v>45658</v>
      </c>
      <c r="D83" s="509">
        <v>45689</v>
      </c>
      <c r="E83" s="509">
        <v>45717</v>
      </c>
      <c r="G83" s="198"/>
      <c r="H83" s="198"/>
    </row>
    <row r="84" spans="2:9" ht="24.75" customHeight="1" thickBot="1">
      <c r="B84" s="14" t="s">
        <v>22</v>
      </c>
      <c r="C84" s="427" t="s">
        <v>23</v>
      </c>
      <c r="D84" s="427" t="s">
        <v>23</v>
      </c>
      <c r="E84" s="427" t="s">
        <v>23</v>
      </c>
      <c r="F84" s="288"/>
      <c r="G84" s="198"/>
      <c r="H84" s="198"/>
    </row>
    <row r="85" spans="2:9">
      <c r="B85" s="430" t="s">
        <v>30</v>
      </c>
      <c r="C85" s="70">
        <v>73201311</v>
      </c>
      <c r="D85" s="172">
        <f>+'Facturas e Ingresos 2025'!F14+'Facturas e Ingresos 2025'!F15+'Facturas e Ingresos 2025'!F20+'Facturas e Ingresos 2025'!F21+'Facturas e Ingresos 2025'!F22+'Facturas e Ingresos 2025'!F23+'Facturas e Ingresos 2025'!F24+'Facturas e Ingresos 2025'!F25+'Facturas e Ingresos 2025'!F27+'Facturas e Ingresos 2025'!F28+'Facturas e Ingresos 2025'!F31+'Facturas e Ingresos 2025'!F33</f>
        <v>97684687</v>
      </c>
      <c r="E85" s="172">
        <v>47837233</v>
      </c>
      <c r="F85" s="288"/>
    </row>
    <row r="86" spans="2:9" ht="16" thickBot="1">
      <c r="B86" s="6"/>
      <c r="C86" s="6"/>
      <c r="D86" s="6"/>
      <c r="E86" s="6"/>
    </row>
    <row r="87" spans="2:9" ht="16" thickBot="1">
      <c r="B87" s="518" t="s">
        <v>31</v>
      </c>
      <c r="C87" s="15">
        <f>SUM(C85:C86)</f>
        <v>73201311</v>
      </c>
      <c r="D87" s="15">
        <f>SUM(D85:D86)</f>
        <v>97684687</v>
      </c>
      <c r="E87" s="15">
        <f>SUM(E85:E86)</f>
        <v>47837233</v>
      </c>
      <c r="F87" s="289"/>
    </row>
    <row r="88" spans="2:9" ht="16" thickBot="1">
      <c r="B88" s="519"/>
    </row>
    <row r="89" spans="2:9" ht="16" thickBot="1">
      <c r="B89" s="517" t="s">
        <v>32</v>
      </c>
      <c r="C89" s="509">
        <v>45658</v>
      </c>
      <c r="D89" s="509">
        <v>45689</v>
      </c>
      <c r="E89" s="509">
        <v>45717</v>
      </c>
    </row>
    <row r="90" spans="2:9" ht="16" thickBot="1">
      <c r="B90" s="18" t="s">
        <v>22</v>
      </c>
      <c r="C90" s="427"/>
      <c r="D90" s="427"/>
      <c r="E90" s="427"/>
    </row>
    <row r="91" spans="2:9" ht="15.75" customHeight="1">
      <c r="B91" s="95" t="s">
        <v>420</v>
      </c>
      <c r="C91" s="165"/>
      <c r="D91" s="165"/>
      <c r="E91" s="165"/>
      <c r="I91" s="79"/>
    </row>
    <row r="92" spans="2:9" ht="15.75" customHeight="1">
      <c r="B92" s="98" t="s">
        <v>421</v>
      </c>
      <c r="C92" s="152"/>
      <c r="D92" s="152"/>
      <c r="E92" s="152"/>
      <c r="I92" s="423"/>
    </row>
    <row r="93" spans="2:9" ht="15.75" customHeight="1">
      <c r="B93" s="98" t="s">
        <v>510</v>
      </c>
      <c r="C93" s="333">
        <v>655462</v>
      </c>
      <c r="D93" s="152"/>
      <c r="E93" s="152"/>
      <c r="I93" s="79"/>
    </row>
    <row r="94" spans="2:9" ht="15.75" customHeight="1">
      <c r="B94" s="98" t="s">
        <v>377</v>
      </c>
      <c r="C94" s="152"/>
      <c r="D94" s="152">
        <v>9692163</v>
      </c>
      <c r="E94" s="152"/>
      <c r="I94" s="88"/>
    </row>
    <row r="95" spans="2:9" ht="15.75" customHeight="1">
      <c r="B95" s="98" t="s">
        <v>525</v>
      </c>
      <c r="C95" s="19"/>
      <c r="D95" s="415"/>
      <c r="E95" s="343">
        <f>18529950+74000000</f>
        <v>92529950</v>
      </c>
      <c r="G95" s="94"/>
    </row>
    <row r="96" spans="2:9" ht="15.75" customHeight="1">
      <c r="B96" s="338" t="s">
        <v>519</v>
      </c>
      <c r="C96" s="337">
        <v>118740500</v>
      </c>
      <c r="D96" s="56"/>
      <c r="E96" s="56"/>
      <c r="F96" s="94"/>
      <c r="I96" s="79"/>
    </row>
    <row r="97" spans="2:9">
      <c r="B97" s="95" t="s">
        <v>295</v>
      </c>
      <c r="C97" s="56"/>
      <c r="D97" s="56"/>
      <c r="E97" s="56"/>
      <c r="F97" s="287"/>
    </row>
    <row r="98" spans="2:9" ht="16" thickBot="1">
      <c r="B98" s="96" t="s">
        <v>33</v>
      </c>
      <c r="C98" s="56"/>
      <c r="D98" s="5"/>
      <c r="E98" s="342">
        <v>-100000000</v>
      </c>
      <c r="I98" s="79"/>
    </row>
    <row r="99" spans="2:9" ht="16" thickBot="1">
      <c r="B99" s="518" t="s">
        <v>31</v>
      </c>
      <c r="C99" s="15">
        <f>SUM(C91:C98)</f>
        <v>119395962</v>
      </c>
      <c r="D99" s="15">
        <f>SUM(D91:D98)</f>
        <v>9692163</v>
      </c>
      <c r="E99" s="15">
        <f>SUM(E91:E98)</f>
        <v>-7470050</v>
      </c>
    </row>
    <row r="100" spans="2:9" ht="16" thickBot="1">
      <c r="B100" s="519"/>
    </row>
    <row r="101" spans="2:9" ht="16" thickBot="1">
      <c r="B101" s="517" t="s">
        <v>34</v>
      </c>
      <c r="C101" s="509">
        <v>45658</v>
      </c>
      <c r="D101" s="509">
        <v>45689</v>
      </c>
      <c r="E101" s="509">
        <v>45717</v>
      </c>
    </row>
    <row r="102" spans="2:9" ht="15" customHeight="1" thickBot="1">
      <c r="B102" s="431"/>
      <c r="C102" s="427" t="s">
        <v>23</v>
      </c>
      <c r="D102" s="427" t="s">
        <v>23</v>
      </c>
      <c r="E102" s="427" t="s">
        <v>23</v>
      </c>
    </row>
    <row r="103" spans="2:9" ht="16.5" customHeight="1" thickBot="1">
      <c r="B103" s="517" t="s">
        <v>35</v>
      </c>
      <c r="C103" s="15">
        <f>SUM(C81+C87+C99)</f>
        <v>575002556</v>
      </c>
      <c r="D103" s="15">
        <f>SUM(D81+D87+D99)</f>
        <v>723274901</v>
      </c>
      <c r="E103" s="15">
        <f>SUM(E81+E87+E99)</f>
        <v>292142098</v>
      </c>
    </row>
    <row r="104" spans="2:9" s="3" customFormat="1" ht="16" thickBot="1">
      <c r="F104" s="87"/>
      <c r="G104" s="198"/>
      <c r="H104" s="323"/>
      <c r="I104" s="43"/>
    </row>
    <row r="105" spans="2:9" ht="16" thickBot="1">
      <c r="B105" s="517"/>
      <c r="C105" s="509">
        <v>45658</v>
      </c>
      <c r="D105" s="509">
        <v>45689</v>
      </c>
      <c r="E105" s="509">
        <v>45717</v>
      </c>
      <c r="G105" s="198"/>
      <c r="H105" s="328"/>
    </row>
    <row r="106" spans="2:9" ht="20.25" customHeight="1" thickBot="1">
      <c r="B106" s="517" t="s">
        <v>36</v>
      </c>
      <c r="C106" s="427" t="s">
        <v>23</v>
      </c>
      <c r="D106" s="427" t="s">
        <v>23</v>
      </c>
      <c r="E106" s="427" t="s">
        <v>23</v>
      </c>
      <c r="G106" s="198"/>
      <c r="H106" s="198"/>
    </row>
    <row r="107" spans="2:9" ht="16" thickBot="1">
      <c r="B107" s="517"/>
      <c r="C107" s="15">
        <f>SUM(C43+C44+C103)</f>
        <v>623706208</v>
      </c>
      <c r="D107" s="15">
        <f>SUM(D43+D44+D103)</f>
        <v>877761183</v>
      </c>
      <c r="E107" s="15">
        <f>SUM(E43+E44+E103)</f>
        <v>574238651</v>
      </c>
      <c r="G107" s="336"/>
      <c r="H107" s="198"/>
    </row>
    <row r="108" spans="2:9" ht="16" thickBot="1">
      <c r="B108" s="519"/>
      <c r="C108" s="50"/>
      <c r="D108" s="50"/>
      <c r="E108" s="50"/>
      <c r="G108" s="198"/>
      <c r="H108" s="198"/>
      <c r="I108" s="198"/>
    </row>
    <row r="109" spans="2:9" ht="16" thickBot="1">
      <c r="B109" s="520" t="s">
        <v>37</v>
      </c>
      <c r="C109" s="509">
        <v>45658</v>
      </c>
      <c r="D109" s="509">
        <v>45689</v>
      </c>
      <c r="E109" s="509">
        <v>45717</v>
      </c>
      <c r="G109" s="198"/>
      <c r="H109" s="198"/>
      <c r="I109" s="198"/>
    </row>
    <row r="110" spans="2:9" ht="16.5" customHeight="1" thickBot="1">
      <c r="B110" s="11" t="s">
        <v>38</v>
      </c>
      <c r="C110" s="432" t="s">
        <v>23</v>
      </c>
      <c r="D110" s="432" t="s">
        <v>23</v>
      </c>
      <c r="E110" s="432" t="s">
        <v>23</v>
      </c>
      <c r="G110" s="198"/>
      <c r="H110" s="198"/>
    </row>
    <row r="111" spans="2:9">
      <c r="B111" s="511" t="s">
        <v>44</v>
      </c>
      <c r="C111" s="329">
        <v>6528940</v>
      </c>
      <c r="D111" s="331">
        <f>6524626+92330</f>
        <v>6616956</v>
      </c>
      <c r="E111" s="331">
        <f>6524626+92330</f>
        <v>6616956</v>
      </c>
      <c r="G111" s="198"/>
      <c r="H111" s="198"/>
    </row>
    <row r="112" spans="2:9">
      <c r="B112" s="521" t="s">
        <v>39</v>
      </c>
      <c r="C112" s="329">
        <v>2030713</v>
      </c>
      <c r="D112" s="331">
        <v>2032649</v>
      </c>
      <c r="E112" s="331">
        <v>2032649</v>
      </c>
      <c r="G112" s="198"/>
      <c r="H112" s="198"/>
    </row>
    <row r="113" spans="2:8">
      <c r="B113" s="433" t="s">
        <v>511</v>
      </c>
      <c r="C113" s="330">
        <v>763792</v>
      </c>
      <c r="D113" s="389">
        <v>1303261</v>
      </c>
      <c r="E113" s="389">
        <v>1303261</v>
      </c>
      <c r="G113" s="198"/>
      <c r="H113" s="328"/>
    </row>
    <row r="114" spans="2:8">
      <c r="B114" s="433" t="s">
        <v>488</v>
      </c>
      <c r="C114" s="391">
        <v>2578131</v>
      </c>
      <c r="D114" s="391">
        <v>62516</v>
      </c>
      <c r="E114" s="420">
        <v>0</v>
      </c>
      <c r="G114" s="198"/>
      <c r="H114" s="328"/>
    </row>
    <row r="115" spans="2:8">
      <c r="B115" s="433" t="s">
        <v>428</v>
      </c>
      <c r="C115" s="329">
        <v>3920299</v>
      </c>
      <c r="D115" s="331">
        <v>5980691</v>
      </c>
      <c r="E115" s="331">
        <v>5980691</v>
      </c>
      <c r="G115" s="198"/>
      <c r="H115" s="198"/>
    </row>
    <row r="116" spans="2:8">
      <c r="B116" s="433" t="s">
        <v>487</v>
      </c>
      <c r="C116" s="330">
        <v>4192268</v>
      </c>
      <c r="D116" s="389">
        <v>4947612</v>
      </c>
      <c r="E116" s="389">
        <v>4947612</v>
      </c>
      <c r="G116" s="198"/>
      <c r="H116" s="198"/>
    </row>
    <row r="117" spans="2:8">
      <c r="B117" s="521" t="s">
        <v>63</v>
      </c>
      <c r="C117" s="331">
        <v>7136286</v>
      </c>
      <c r="D117" s="331">
        <v>7132161</v>
      </c>
      <c r="E117" s="331">
        <v>7132161</v>
      </c>
      <c r="G117" s="198"/>
      <c r="H117" s="198"/>
    </row>
    <row r="118" spans="2:8">
      <c r="B118" s="521" t="s">
        <v>47</v>
      </c>
      <c r="C118" s="329">
        <v>1813861</v>
      </c>
      <c r="D118" s="331">
        <v>1817095</v>
      </c>
      <c r="E118" s="331">
        <v>1817095</v>
      </c>
      <c r="G118" s="198"/>
      <c r="H118" s="198"/>
    </row>
    <row r="119" spans="2:8">
      <c r="B119" s="433" t="s">
        <v>489</v>
      </c>
      <c r="C119" s="330">
        <v>910450</v>
      </c>
      <c r="D119" s="389">
        <v>1100602</v>
      </c>
      <c r="E119" s="389">
        <v>1100602</v>
      </c>
      <c r="G119" s="198"/>
      <c r="H119" s="198"/>
    </row>
    <row r="120" spans="2:8">
      <c r="B120" s="521" t="s">
        <v>387</v>
      </c>
      <c r="C120" s="329">
        <v>1301224</v>
      </c>
      <c r="D120" s="331">
        <v>1302970</v>
      </c>
      <c r="E120" s="331">
        <v>1302970</v>
      </c>
      <c r="G120" s="198"/>
      <c r="H120" s="198"/>
    </row>
    <row r="121" spans="2:8">
      <c r="B121" s="521" t="s">
        <v>285</v>
      </c>
      <c r="C121" s="331">
        <v>1093846</v>
      </c>
      <c r="D121" s="331">
        <v>1096672</v>
      </c>
      <c r="E121" s="331">
        <v>1096672</v>
      </c>
      <c r="G121" s="198"/>
      <c r="H121" s="198"/>
    </row>
    <row r="122" spans="2:8">
      <c r="B122" s="521" t="s">
        <v>49</v>
      </c>
      <c r="C122" s="329">
        <v>1813861</v>
      </c>
      <c r="D122" s="331">
        <v>1762071</v>
      </c>
      <c r="E122" s="331">
        <v>1762071</v>
      </c>
      <c r="G122" s="198"/>
      <c r="H122" s="198"/>
    </row>
    <row r="123" spans="2:8">
      <c r="B123" s="433" t="s">
        <v>425</v>
      </c>
      <c r="C123" s="329">
        <v>1400404</v>
      </c>
      <c r="D123" s="331">
        <v>1403639</v>
      </c>
      <c r="E123" s="331">
        <v>1403639</v>
      </c>
      <c r="G123" s="198"/>
      <c r="H123" s="198"/>
    </row>
    <row r="124" spans="2:8">
      <c r="B124" s="521" t="s">
        <v>55</v>
      </c>
      <c r="C124" s="329">
        <v>1613773</v>
      </c>
      <c r="D124" s="331">
        <v>1616983</v>
      </c>
      <c r="E124" s="331">
        <v>1616983</v>
      </c>
      <c r="G124" s="198"/>
      <c r="H124" s="198"/>
    </row>
    <row r="125" spans="2:8">
      <c r="B125" s="521" t="s">
        <v>459</v>
      </c>
      <c r="C125" s="391">
        <v>1001568</v>
      </c>
      <c r="D125" s="420">
        <v>0</v>
      </c>
      <c r="E125" s="420">
        <v>0</v>
      </c>
      <c r="G125" s="198"/>
      <c r="H125" s="198"/>
    </row>
    <row r="126" spans="2:8">
      <c r="B126" s="521" t="s">
        <v>52</v>
      </c>
      <c r="C126" s="329">
        <v>2509297</v>
      </c>
      <c r="D126" s="331">
        <v>2512197</v>
      </c>
      <c r="E126" s="331">
        <v>2512197</v>
      </c>
      <c r="G126" s="198"/>
      <c r="H126" s="198"/>
    </row>
    <row r="127" spans="2:8">
      <c r="B127" s="433" t="s">
        <v>427</v>
      </c>
      <c r="C127" s="329">
        <v>5983295</v>
      </c>
      <c r="D127" s="331">
        <v>5980691</v>
      </c>
      <c r="E127" s="331">
        <v>5980691</v>
      </c>
      <c r="G127" s="198"/>
      <c r="H127" s="198"/>
    </row>
    <row r="128" spans="2:8">
      <c r="B128" s="521" t="s">
        <v>48</v>
      </c>
      <c r="C128" s="329">
        <v>4407826</v>
      </c>
      <c r="D128" s="331">
        <v>4405771</v>
      </c>
      <c r="E128" s="331">
        <v>4405771</v>
      </c>
      <c r="G128" s="198"/>
      <c r="H128" s="198"/>
    </row>
    <row r="129" spans="2:8">
      <c r="B129" s="433" t="s">
        <v>409</v>
      </c>
      <c r="C129" s="331">
        <v>2682783</v>
      </c>
      <c r="D129" s="331">
        <v>2685743</v>
      </c>
      <c r="E129" s="331">
        <v>2685743</v>
      </c>
      <c r="G129" s="198"/>
      <c r="H129" s="198"/>
    </row>
    <row r="130" spans="2:8">
      <c r="B130" s="433" t="s">
        <v>561</v>
      </c>
      <c r="C130" s="411"/>
      <c r="D130" s="331">
        <v>272335</v>
      </c>
      <c r="E130" s="331">
        <v>272335</v>
      </c>
      <c r="G130" s="198"/>
      <c r="H130" s="198"/>
    </row>
    <row r="131" spans="2:8">
      <c r="B131" s="521" t="s">
        <v>45</v>
      </c>
      <c r="C131" s="329">
        <v>3284360</v>
      </c>
      <c r="D131" s="331">
        <v>3283667</v>
      </c>
      <c r="E131" s="331">
        <v>3283667</v>
      </c>
      <c r="G131" s="198"/>
      <c r="H131" s="198"/>
    </row>
    <row r="132" spans="2:8">
      <c r="B132" s="521" t="s">
        <v>42</v>
      </c>
      <c r="C132" s="329">
        <v>5959442</v>
      </c>
      <c r="D132" s="331">
        <v>5952872</v>
      </c>
      <c r="E132" s="331">
        <v>5952872</v>
      </c>
      <c r="G132" s="198"/>
      <c r="H132" s="198"/>
    </row>
    <row r="133" spans="2:8">
      <c r="B133" s="521" t="s">
        <v>562</v>
      </c>
      <c r="C133" s="411"/>
      <c r="D133" s="331">
        <v>4272313</v>
      </c>
      <c r="E133" s="331">
        <v>4272313</v>
      </c>
      <c r="G133" s="198"/>
      <c r="H133" s="198"/>
    </row>
    <row r="134" spans="2:8">
      <c r="B134" s="521" t="s">
        <v>56</v>
      </c>
      <c r="C134" s="329">
        <v>4500274</v>
      </c>
      <c r="D134" s="331">
        <v>4353054</v>
      </c>
      <c r="E134" s="331">
        <v>4353054</v>
      </c>
      <c r="G134" s="198"/>
      <c r="H134" s="198"/>
    </row>
    <row r="135" spans="2:8">
      <c r="B135" s="521" t="s">
        <v>458</v>
      </c>
      <c r="C135" s="391">
        <v>1560029</v>
      </c>
      <c r="D135" s="420"/>
      <c r="E135" s="420"/>
      <c r="G135" s="198"/>
      <c r="H135" s="198"/>
    </row>
    <row r="136" spans="2:8">
      <c r="B136" s="433" t="s">
        <v>426</v>
      </c>
      <c r="C136" s="329">
        <v>4981094</v>
      </c>
      <c r="D136" s="331">
        <v>4979547</v>
      </c>
      <c r="E136" s="331">
        <v>4979547</v>
      </c>
      <c r="G136" s="198"/>
      <c r="H136" s="198"/>
    </row>
    <row r="137" spans="2:8">
      <c r="B137" s="521" t="s">
        <v>51</v>
      </c>
      <c r="C137" s="329">
        <v>2979737</v>
      </c>
      <c r="D137" s="331">
        <v>4500000</v>
      </c>
      <c r="E137" s="331">
        <v>4500000</v>
      </c>
      <c r="G137" s="198"/>
      <c r="H137" s="198"/>
    </row>
    <row r="138" spans="2:8">
      <c r="B138" s="521" t="s">
        <v>460</v>
      </c>
      <c r="C138" s="522">
        <v>1002343</v>
      </c>
      <c r="D138" s="523"/>
      <c r="E138" s="523"/>
      <c r="G138" s="198"/>
      <c r="H138" s="198"/>
    </row>
    <row r="139" spans="2:8">
      <c r="B139" s="521" t="s">
        <v>512</v>
      </c>
      <c r="C139" s="330">
        <v>2600071</v>
      </c>
      <c r="D139" s="389">
        <v>2602978</v>
      </c>
      <c r="E139" s="389">
        <v>2602978</v>
      </c>
      <c r="G139" s="198"/>
      <c r="H139" s="198"/>
    </row>
    <row r="140" spans="2:8">
      <c r="B140" s="521" t="s">
        <v>54</v>
      </c>
      <c r="C140" s="329">
        <v>1609423</v>
      </c>
      <c r="D140" s="331">
        <v>1612661</v>
      </c>
      <c r="E140" s="331">
        <v>1612661</v>
      </c>
      <c r="G140" s="198"/>
      <c r="H140" s="198"/>
    </row>
    <row r="141" spans="2:8">
      <c r="B141" s="521" t="s">
        <v>363</v>
      </c>
      <c r="C141" s="331">
        <v>1101066</v>
      </c>
      <c r="D141" s="331">
        <v>1104300</v>
      </c>
      <c r="E141" s="331">
        <v>1104300</v>
      </c>
      <c r="G141" s="198"/>
      <c r="H141" s="198"/>
    </row>
    <row r="142" spans="2:8">
      <c r="B142" s="521" t="s">
        <v>61</v>
      </c>
      <c r="C142" s="329">
        <v>1107882</v>
      </c>
      <c r="D142" s="331">
        <v>1111116</v>
      </c>
      <c r="E142" s="331">
        <v>1111116</v>
      </c>
      <c r="G142" s="198"/>
      <c r="H142" s="198"/>
    </row>
    <row r="143" spans="2:8">
      <c r="B143" s="521" t="s">
        <v>57</v>
      </c>
      <c r="C143" s="329">
        <v>1298799</v>
      </c>
      <c r="D143" s="331">
        <v>1304331</v>
      </c>
      <c r="E143" s="331"/>
      <c r="G143" s="198"/>
      <c r="H143" s="198"/>
    </row>
    <row r="144" spans="2:8">
      <c r="B144" s="521" t="s">
        <v>62</v>
      </c>
      <c r="C144" s="329">
        <v>1875223</v>
      </c>
      <c r="D144" s="331">
        <v>1705718</v>
      </c>
      <c r="E144" s="331">
        <v>1705718</v>
      </c>
      <c r="G144" s="198"/>
      <c r="H144" s="198"/>
    </row>
    <row r="145" spans="2:8">
      <c r="B145" s="521" t="s">
        <v>58</v>
      </c>
      <c r="C145" s="329">
        <v>1280015</v>
      </c>
      <c r="D145" s="331">
        <v>1282550</v>
      </c>
      <c r="E145" s="331">
        <v>1282550</v>
      </c>
      <c r="G145" s="198"/>
      <c r="H145" s="198"/>
    </row>
    <row r="146" spans="2:8">
      <c r="B146" s="521" t="s">
        <v>563</v>
      </c>
      <c r="C146" s="411"/>
      <c r="D146" s="331">
        <v>1410689</v>
      </c>
      <c r="E146" s="331">
        <v>1410689</v>
      </c>
      <c r="G146" s="198"/>
      <c r="H146" s="198"/>
    </row>
    <row r="147" spans="2:8">
      <c r="B147" s="521" t="s">
        <v>65</v>
      </c>
      <c r="C147" s="331">
        <v>1288373</v>
      </c>
      <c r="D147" s="331">
        <v>1277520</v>
      </c>
      <c r="E147" s="331">
        <v>1277520</v>
      </c>
      <c r="G147" s="198"/>
      <c r="H147" s="198"/>
    </row>
    <row r="148" spans="2:8">
      <c r="B148" s="521" t="s">
        <v>40</v>
      </c>
      <c r="C148" s="329">
        <f>7037660+613470</f>
        <v>7651130</v>
      </c>
      <c r="D148" s="331">
        <v>7646492</v>
      </c>
      <c r="E148" s="331">
        <v>7646492</v>
      </c>
      <c r="G148" s="198"/>
      <c r="H148" s="198"/>
    </row>
    <row r="149" spans="2:8">
      <c r="B149" s="521" t="s">
        <v>53</v>
      </c>
      <c r="C149" s="329">
        <v>5857275</v>
      </c>
      <c r="D149" s="331">
        <v>5853496</v>
      </c>
      <c r="E149" s="331">
        <v>5853496</v>
      </c>
      <c r="G149" s="198"/>
      <c r="H149" s="198"/>
    </row>
    <row r="150" spans="2:8">
      <c r="B150" s="521" t="s">
        <v>46</v>
      </c>
      <c r="C150" s="329">
        <v>2979737</v>
      </c>
      <c r="D150" s="331">
        <v>2979611</v>
      </c>
      <c r="E150" s="331">
        <v>2979611</v>
      </c>
      <c r="G150" s="198"/>
      <c r="H150" s="198"/>
    </row>
    <row r="151" spans="2:8">
      <c r="B151" s="521" t="s">
        <v>50</v>
      </c>
      <c r="C151" s="329">
        <v>1613755</v>
      </c>
      <c r="D151" s="331">
        <v>1616961</v>
      </c>
      <c r="E151" s="331">
        <v>1616961</v>
      </c>
      <c r="G151" s="198"/>
      <c r="H151" s="198"/>
    </row>
    <row r="152" spans="2:8">
      <c r="B152" s="521" t="s">
        <v>41</v>
      </c>
      <c r="C152" s="329">
        <v>2306363</v>
      </c>
      <c r="D152" s="331">
        <v>2308043</v>
      </c>
      <c r="E152" s="331">
        <v>2308043</v>
      </c>
      <c r="G152" s="198"/>
      <c r="H152" s="198"/>
    </row>
    <row r="153" spans="2:8">
      <c r="B153" s="521" t="s">
        <v>64</v>
      </c>
      <c r="C153" s="331">
        <v>4147649</v>
      </c>
      <c r="D153" s="331">
        <v>4146669</v>
      </c>
      <c r="E153" s="331">
        <v>4146669</v>
      </c>
      <c r="G153" s="198"/>
      <c r="H153" s="198"/>
    </row>
    <row r="154" spans="2:8">
      <c r="B154" s="521" t="s">
        <v>43</v>
      </c>
      <c r="C154" s="329">
        <v>2979938</v>
      </c>
      <c r="D154" s="331">
        <v>2979831</v>
      </c>
      <c r="E154" s="331">
        <v>2979831</v>
      </c>
      <c r="G154" s="198"/>
      <c r="H154" s="198"/>
    </row>
    <row r="155" spans="2:8">
      <c r="B155" s="521" t="s">
        <v>386</v>
      </c>
      <c r="C155" s="329">
        <v>10019144</v>
      </c>
      <c r="D155" s="331">
        <v>10015959</v>
      </c>
      <c r="E155" s="331">
        <v>10015959</v>
      </c>
      <c r="G155" s="198"/>
      <c r="H155" s="198"/>
    </row>
    <row r="156" spans="2:8">
      <c r="B156" s="521" t="s">
        <v>378</v>
      </c>
      <c r="C156" s="331">
        <v>5030165</v>
      </c>
      <c r="D156" s="331">
        <v>5028440</v>
      </c>
      <c r="E156" s="331">
        <v>5028440</v>
      </c>
      <c r="G156" s="198"/>
      <c r="H156" s="198"/>
    </row>
    <row r="157" spans="2:8">
      <c r="B157" s="521" t="s">
        <v>564</v>
      </c>
      <c r="C157" s="411"/>
      <c r="D157" s="331">
        <v>6124874</v>
      </c>
      <c r="E157" s="331">
        <v>6124874</v>
      </c>
      <c r="G157" s="198"/>
      <c r="H157" s="198"/>
    </row>
    <row r="158" spans="2:8">
      <c r="B158" s="521" t="s">
        <v>60</v>
      </c>
      <c r="C158" s="329">
        <v>1642003</v>
      </c>
      <c r="D158" s="331">
        <v>1645237</v>
      </c>
      <c r="E158" s="331">
        <v>1645237</v>
      </c>
      <c r="G158" s="198"/>
      <c r="H158" s="198"/>
    </row>
    <row r="159" spans="2:8">
      <c r="B159" s="521" t="s">
        <v>59</v>
      </c>
      <c r="C159" s="332">
        <v>1790227</v>
      </c>
      <c r="D159" s="390">
        <v>1792646</v>
      </c>
      <c r="E159" s="390">
        <v>1792646</v>
      </c>
      <c r="G159" s="198"/>
      <c r="H159" s="198"/>
    </row>
    <row r="160" spans="2:8">
      <c r="B160" s="521" t="s">
        <v>461</v>
      </c>
      <c r="C160" s="522">
        <v>1001311</v>
      </c>
      <c r="D160" s="523">
        <v>0</v>
      </c>
      <c r="E160" s="523">
        <v>0</v>
      </c>
      <c r="G160" s="198"/>
      <c r="H160" s="198"/>
    </row>
    <row r="161" spans="1:8">
      <c r="B161" s="521" t="s">
        <v>565</v>
      </c>
      <c r="C161" s="523"/>
      <c r="D161" s="522">
        <v>5567303</v>
      </c>
      <c r="E161" s="522">
        <v>13000000</v>
      </c>
      <c r="G161" s="198"/>
      <c r="H161" s="198"/>
    </row>
    <row r="162" spans="1:8">
      <c r="B162" s="521" t="s">
        <v>66</v>
      </c>
      <c r="C162" s="59">
        <f>16929713+123817</f>
        <v>17053530</v>
      </c>
      <c r="D162" s="56">
        <v>24231887</v>
      </c>
      <c r="E162" s="56">
        <v>16930016</v>
      </c>
      <c r="G162" s="198"/>
      <c r="H162" s="198"/>
    </row>
    <row r="163" spans="1:8">
      <c r="B163" s="521" t="s">
        <v>516</v>
      </c>
      <c r="C163" s="342">
        <v>97780831</v>
      </c>
      <c r="D163" s="434"/>
      <c r="E163" s="434"/>
      <c r="G163" s="198"/>
      <c r="H163" s="198"/>
    </row>
    <row r="164" spans="1:8" ht="16" thickBot="1">
      <c r="B164" s="521" t="s">
        <v>67</v>
      </c>
      <c r="C164" s="9"/>
      <c r="D164" s="9"/>
      <c r="E164" s="9"/>
      <c r="G164" s="198"/>
      <c r="H164" s="198"/>
    </row>
    <row r="165" spans="1:8" ht="16" thickBot="1">
      <c r="B165" s="524" t="s">
        <v>68</v>
      </c>
      <c r="C165" s="86">
        <f>SUM(C111:C164)</f>
        <v>251963806</v>
      </c>
      <c r="D165" s="86">
        <f>SUM(D111:D164)</f>
        <v>176723380</v>
      </c>
      <c r="E165" s="86">
        <f>SUM(E111:E164)</f>
        <v>175487359</v>
      </c>
      <c r="G165" s="198"/>
      <c r="H165" s="198"/>
    </row>
    <row r="166" spans="1:8" ht="16" thickBot="1">
      <c r="B166" s="525" t="s">
        <v>69</v>
      </c>
      <c r="C166" s="174">
        <v>26849141</v>
      </c>
      <c r="D166" s="174">
        <f>28755359</f>
        <v>28755359</v>
      </c>
      <c r="E166" s="174">
        <v>31316694</v>
      </c>
      <c r="G166" s="198"/>
      <c r="H166" s="198"/>
    </row>
    <row r="167" spans="1:8" ht="16" thickBot="1">
      <c r="B167" s="526" t="s">
        <v>31</v>
      </c>
      <c r="C167" s="527">
        <f>SUM(C165:C166)</f>
        <v>278812947</v>
      </c>
      <c r="D167" s="527">
        <f>SUM(D165:D166)</f>
        <v>205478739</v>
      </c>
      <c r="E167" s="527">
        <f>SUM(E165:E166)</f>
        <v>206804053</v>
      </c>
      <c r="G167" s="198"/>
      <c r="H167" s="198"/>
    </row>
    <row r="168" spans="1:8" ht="16" thickBot="1">
      <c r="A168" s="3"/>
      <c r="B168" s="3"/>
      <c r="C168" s="3"/>
      <c r="D168" s="3"/>
      <c r="E168" s="3"/>
      <c r="G168" s="198"/>
      <c r="H168" s="198"/>
    </row>
    <row r="169" spans="1:8" ht="16" thickBot="1">
      <c r="B169" s="528" t="s">
        <v>70</v>
      </c>
      <c r="C169" s="509">
        <v>45658</v>
      </c>
      <c r="D169" s="509">
        <v>45689</v>
      </c>
      <c r="E169" s="509">
        <v>45717</v>
      </c>
      <c r="G169" s="198"/>
      <c r="H169" s="198"/>
    </row>
    <row r="170" spans="1:8" ht="16.5" customHeight="1" thickBot="1">
      <c r="B170" s="11" t="s">
        <v>38</v>
      </c>
      <c r="C170" s="432" t="s">
        <v>23</v>
      </c>
      <c r="D170" s="432" t="s">
        <v>23</v>
      </c>
      <c r="E170" s="432" t="s">
        <v>23</v>
      </c>
      <c r="G170" s="198"/>
      <c r="H170" s="198"/>
    </row>
    <row r="171" spans="1:8">
      <c r="B171" s="521" t="s">
        <v>71</v>
      </c>
      <c r="C171" s="529"/>
      <c r="D171" s="530"/>
      <c r="E171" s="530"/>
      <c r="G171" s="198"/>
      <c r="H171" s="198"/>
    </row>
    <row r="172" spans="1:8">
      <c r="B172" s="521" t="s">
        <v>356</v>
      </c>
      <c r="C172" s="531">
        <v>5218199.687935275</v>
      </c>
      <c r="D172" s="532"/>
      <c r="E172" s="532">
        <f>4302198+3860000</f>
        <v>8162198</v>
      </c>
      <c r="F172" s="94"/>
      <c r="G172" s="198"/>
      <c r="H172" s="198"/>
    </row>
    <row r="173" spans="1:8">
      <c r="B173" s="521" t="s">
        <v>389</v>
      </c>
      <c r="C173" s="21"/>
      <c r="D173" s="69">
        <f>1598446+764958</f>
        <v>2363404</v>
      </c>
      <c r="E173" s="69"/>
      <c r="F173" s="94"/>
      <c r="G173" s="198"/>
      <c r="H173" s="198"/>
    </row>
    <row r="174" spans="1:8" ht="14.25" hidden="1" customHeight="1">
      <c r="B174" s="521" t="s">
        <v>72</v>
      </c>
      <c r="C174" s="101"/>
      <c r="D174" s="21"/>
      <c r="E174" s="21"/>
      <c r="F174" s="94"/>
      <c r="G174" s="198"/>
      <c r="H174" s="198"/>
    </row>
    <row r="175" spans="1:8" hidden="1">
      <c r="B175" s="521" t="s">
        <v>73</v>
      </c>
      <c r="C175" s="101"/>
      <c r="D175" s="21"/>
      <c r="E175" s="21"/>
      <c r="F175" s="94"/>
      <c r="G175" s="198"/>
      <c r="H175" s="198"/>
    </row>
    <row r="176" spans="1:8" hidden="1">
      <c r="B176" s="521" t="s">
        <v>290</v>
      </c>
      <c r="C176" s="101"/>
      <c r="D176" s="21"/>
      <c r="E176" s="21"/>
      <c r="F176" s="94"/>
      <c r="G176" s="198"/>
      <c r="H176" s="198"/>
    </row>
    <row r="177" spans="2:8" hidden="1">
      <c r="B177" s="521" t="s">
        <v>291</v>
      </c>
      <c r="C177" s="101"/>
      <c r="D177" s="21"/>
      <c r="E177" s="21"/>
      <c r="F177" s="94"/>
      <c r="G177" s="198"/>
      <c r="H177" s="198"/>
    </row>
    <row r="178" spans="2:8" hidden="1">
      <c r="B178" s="521" t="s">
        <v>74</v>
      </c>
      <c r="C178" s="101"/>
      <c r="D178" s="21"/>
      <c r="E178" s="21"/>
      <c r="F178" s="94"/>
      <c r="G178" s="198"/>
      <c r="H178" s="198"/>
    </row>
    <row r="179" spans="2:8" hidden="1">
      <c r="B179" s="521" t="s">
        <v>352</v>
      </c>
      <c r="C179" s="101"/>
      <c r="D179" s="21"/>
      <c r="E179" s="21"/>
      <c r="F179" s="94"/>
      <c r="G179" s="198"/>
      <c r="H179" s="198"/>
    </row>
    <row r="180" spans="2:8" hidden="1">
      <c r="B180" s="521" t="s">
        <v>44</v>
      </c>
      <c r="C180" s="101"/>
      <c r="D180" s="21"/>
      <c r="E180" s="21"/>
      <c r="F180" s="94"/>
      <c r="G180" s="198"/>
      <c r="H180" s="198"/>
    </row>
    <row r="181" spans="2:8" hidden="1">
      <c r="B181" s="533" t="s">
        <v>75</v>
      </c>
      <c r="C181" s="435"/>
      <c r="D181" s="21"/>
      <c r="E181" s="21"/>
      <c r="F181" s="94"/>
      <c r="G181" s="198"/>
      <c r="H181" s="198"/>
    </row>
    <row r="182" spans="2:8" hidden="1">
      <c r="B182" s="521" t="s">
        <v>76</v>
      </c>
      <c r="C182" s="99"/>
      <c r="D182" s="21"/>
      <c r="E182" s="21"/>
      <c r="F182" s="94"/>
      <c r="G182" s="198"/>
      <c r="H182" s="198"/>
    </row>
    <row r="183" spans="2:8" hidden="1">
      <c r="B183" s="521" t="s">
        <v>77</v>
      </c>
      <c r="C183" s="99"/>
      <c r="D183" s="21"/>
      <c r="E183" s="21"/>
      <c r="F183" s="94"/>
      <c r="G183" s="198"/>
      <c r="H183" s="198"/>
    </row>
    <row r="184" spans="2:8" ht="14.25" customHeight="1">
      <c r="B184" s="521" t="s">
        <v>424</v>
      </c>
      <c r="C184" s="531">
        <v>7395750</v>
      </c>
      <c r="D184" s="70">
        <v>10140300</v>
      </c>
      <c r="E184" s="70"/>
      <c r="F184" s="94"/>
      <c r="G184" s="198"/>
      <c r="H184" s="198"/>
    </row>
    <row r="185" spans="2:8" ht="14.25" customHeight="1">
      <c r="B185" s="521" t="s">
        <v>455</v>
      </c>
      <c r="C185" s="531">
        <v>3000000</v>
      </c>
      <c r="D185" s="21"/>
      <c r="E185" s="21"/>
      <c r="G185" s="198"/>
      <c r="H185" s="198"/>
    </row>
    <row r="186" spans="2:8" ht="14.25" customHeight="1">
      <c r="B186" s="521" t="s">
        <v>456</v>
      </c>
      <c r="C186" s="531">
        <f>3162500+4275000</f>
        <v>7437500</v>
      </c>
      <c r="D186" s="69">
        <v>4275000</v>
      </c>
      <c r="E186" s="69"/>
      <c r="G186" s="198"/>
      <c r="H186" s="198"/>
    </row>
    <row r="187" spans="2:8" ht="14.25" customHeight="1">
      <c r="B187" s="521" t="s">
        <v>539</v>
      </c>
      <c r="C187" s="531"/>
      <c r="D187" s="69">
        <v>2400000</v>
      </c>
      <c r="E187" s="69"/>
      <c r="G187" s="198"/>
      <c r="H187" s="198"/>
    </row>
    <row r="188" spans="2:8" ht="14.25" customHeight="1">
      <c r="B188" s="521" t="s">
        <v>569</v>
      </c>
      <c r="C188" s="531"/>
      <c r="D188" s="69">
        <v>9095560</v>
      </c>
      <c r="E188" s="69"/>
      <c r="G188" s="198"/>
      <c r="H188" s="198"/>
    </row>
    <row r="189" spans="2:8" ht="14.25" customHeight="1">
      <c r="B189" s="521" t="s">
        <v>494</v>
      </c>
      <c r="C189" s="531"/>
      <c r="D189" s="69">
        <v>5603472</v>
      </c>
      <c r="E189" s="69"/>
      <c r="G189" s="198"/>
      <c r="H189" s="198"/>
    </row>
    <row r="190" spans="2:8" ht="14.25" customHeight="1">
      <c r="B190" s="521" t="s">
        <v>145</v>
      </c>
      <c r="C190" s="531"/>
      <c r="D190" s="69">
        <v>7324736</v>
      </c>
      <c r="E190" s="69"/>
      <c r="G190" s="198"/>
      <c r="H190" s="198"/>
    </row>
    <row r="191" spans="2:8" ht="14.25" customHeight="1">
      <c r="B191" s="521" t="s">
        <v>495</v>
      </c>
      <c r="C191" s="531"/>
      <c r="D191" s="69">
        <v>2439690</v>
      </c>
      <c r="E191" s="69"/>
      <c r="G191" s="198"/>
      <c r="H191" s="198"/>
    </row>
    <row r="192" spans="2:8" ht="14.25" customHeight="1">
      <c r="B192" s="521" t="s">
        <v>571</v>
      </c>
      <c r="C192" s="531"/>
      <c r="D192" s="69">
        <f>10000000+10000000+4809258</f>
        <v>24809258</v>
      </c>
      <c r="E192" s="69"/>
      <c r="G192" s="198"/>
      <c r="H192" s="198"/>
    </row>
    <row r="193" spans="1:8" ht="14.25" customHeight="1">
      <c r="B193" s="521" t="s">
        <v>586</v>
      </c>
      <c r="C193" s="531"/>
      <c r="D193" s="409">
        <v>3546764</v>
      </c>
      <c r="E193" s="409">
        <v>1420000</v>
      </c>
      <c r="G193" s="198"/>
      <c r="H193" s="198"/>
    </row>
    <row r="194" spans="1:8" ht="14.25" customHeight="1">
      <c r="B194" s="521" t="s">
        <v>540</v>
      </c>
      <c r="C194" s="531"/>
      <c r="D194" s="409">
        <v>4972493</v>
      </c>
      <c r="E194" s="69"/>
      <c r="G194" s="198"/>
      <c r="H194" s="198"/>
    </row>
    <row r="195" spans="1:8" ht="14.25" customHeight="1">
      <c r="B195" s="521" t="s">
        <v>57</v>
      </c>
      <c r="C195" s="531"/>
      <c r="D195" s="69"/>
      <c r="E195" s="69">
        <v>1500000</v>
      </c>
      <c r="G195" s="198"/>
      <c r="H195" s="198"/>
    </row>
    <row r="196" spans="1:8" ht="14.25" customHeight="1">
      <c r="B196" s="521" t="s">
        <v>596</v>
      </c>
      <c r="C196" s="531"/>
      <c r="D196" s="69"/>
      <c r="E196" s="69">
        <v>1500000</v>
      </c>
      <c r="G196" s="198"/>
      <c r="H196" s="198"/>
    </row>
    <row r="197" spans="1:8" ht="14.25" customHeight="1">
      <c r="B197" s="521" t="s">
        <v>79</v>
      </c>
      <c r="C197" s="531">
        <f>5587207+40128</f>
        <v>5627335</v>
      </c>
      <c r="D197" s="69">
        <v>18865833</v>
      </c>
      <c r="E197" s="69">
        <v>5803770</v>
      </c>
      <c r="G197" s="198"/>
      <c r="H197" s="198"/>
    </row>
    <row r="198" spans="1:8" ht="14.25" customHeight="1" thickBot="1">
      <c r="B198" s="521" t="s">
        <v>67</v>
      </c>
      <c r="C198" s="531"/>
      <c r="D198" s="21"/>
      <c r="E198" s="21"/>
      <c r="G198" s="198"/>
      <c r="H198" s="198"/>
    </row>
    <row r="199" spans="1:8" ht="14.25" customHeight="1" thickBot="1">
      <c r="B199" s="534" t="s">
        <v>31</v>
      </c>
      <c r="C199" s="535">
        <f>SUM(C171:C198)</f>
        <v>28678784.687935274</v>
      </c>
      <c r="D199" s="536">
        <f>SUM(D171:D198)</f>
        <v>95836510</v>
      </c>
      <c r="E199" s="536">
        <f>SUM(E171:E198)</f>
        <v>18385968</v>
      </c>
      <c r="G199" s="198"/>
      <c r="H199" s="198"/>
    </row>
    <row r="200" spans="1:8" ht="14.25" customHeight="1" thickBot="1">
      <c r="A200" s="3"/>
      <c r="B200" s="3"/>
      <c r="C200" s="3"/>
      <c r="D200" s="3"/>
      <c r="E200" s="3"/>
      <c r="G200" s="198"/>
      <c r="H200" s="198"/>
    </row>
    <row r="201" spans="1:8" ht="14.25" customHeight="1" thickBot="1">
      <c r="A201" s="3"/>
      <c r="B201" s="187" t="s">
        <v>80</v>
      </c>
      <c r="C201" s="3"/>
      <c r="D201" s="3"/>
      <c r="E201" s="3"/>
      <c r="G201" s="198"/>
      <c r="H201" s="198"/>
    </row>
    <row r="202" spans="1:8" ht="14.25" customHeight="1" thickBot="1">
      <c r="B202" s="520" t="s">
        <v>81</v>
      </c>
      <c r="C202" s="509">
        <v>45658</v>
      </c>
      <c r="D202" s="509">
        <v>45689</v>
      </c>
      <c r="E202" s="509">
        <v>45717</v>
      </c>
      <c r="G202" s="198"/>
      <c r="H202" s="198"/>
    </row>
    <row r="203" spans="1:8" ht="14.25" customHeight="1" thickBot="1">
      <c r="B203" s="11" t="s">
        <v>38</v>
      </c>
      <c r="C203" s="432" t="s">
        <v>23</v>
      </c>
      <c r="D203" s="432" t="s">
        <v>23</v>
      </c>
      <c r="E203" s="432" t="s">
        <v>23</v>
      </c>
      <c r="G203" s="198"/>
      <c r="H203" s="198"/>
    </row>
    <row r="204" spans="1:8" ht="14.25" customHeight="1">
      <c r="B204" s="80" t="s">
        <v>434</v>
      </c>
      <c r="C204" s="342">
        <f>3000000+4000000+6187861+3503256</f>
        <v>16691117</v>
      </c>
      <c r="D204" s="389">
        <f>1192310+1505592+2000000+1000000</f>
        <v>5697902</v>
      </c>
      <c r="E204" s="389">
        <v>5000000</v>
      </c>
      <c r="G204" s="198"/>
      <c r="H204" s="198"/>
    </row>
    <row r="205" spans="1:8" ht="14.25" hidden="1" customHeight="1">
      <c r="A205" t="e" cm="1" vm="1">
        <f t="array" aca="1" ref="A205" ca="1">205:229</f>
        <v>#VALUE!</v>
      </c>
      <c r="B205" s="340" t="s">
        <v>82</v>
      </c>
      <c r="C205" s="100"/>
      <c r="D205" s="26"/>
      <c r="E205" s="26"/>
      <c r="G205" s="198"/>
      <c r="H205" s="198"/>
    </row>
    <row r="206" spans="1:8" ht="14.25" hidden="1" customHeight="1">
      <c r="B206" s="154" t="s">
        <v>83</v>
      </c>
      <c r="C206" s="100"/>
      <c r="D206" s="26"/>
      <c r="E206" s="26"/>
      <c r="G206" s="198"/>
      <c r="H206" s="198"/>
    </row>
    <row r="207" spans="1:8" ht="14.25" hidden="1" customHeight="1">
      <c r="B207" s="80" t="s">
        <v>78</v>
      </c>
      <c r="C207" s="100"/>
      <c r="D207" s="26"/>
      <c r="E207" s="26"/>
      <c r="G207" s="198"/>
      <c r="H207" s="198"/>
    </row>
    <row r="208" spans="1:8" ht="14.25" hidden="1" customHeight="1">
      <c r="B208" s="80" t="s">
        <v>84</v>
      </c>
      <c r="C208" s="100"/>
      <c r="D208" s="26"/>
      <c r="E208" s="26"/>
      <c r="G208" s="198"/>
      <c r="H208" s="198"/>
    </row>
    <row r="209" spans="2:8" ht="14.25" hidden="1" customHeight="1">
      <c r="B209" s="80" t="s">
        <v>85</v>
      </c>
      <c r="C209" s="100"/>
      <c r="D209" s="26"/>
      <c r="E209" s="26"/>
      <c r="G209" s="198"/>
      <c r="H209" s="198"/>
    </row>
    <row r="210" spans="2:8" ht="14.25" hidden="1" customHeight="1">
      <c r="B210" s="80" t="s">
        <v>86</v>
      </c>
      <c r="C210" s="100"/>
      <c r="D210" s="26"/>
      <c r="E210" s="26"/>
      <c r="G210" s="198"/>
      <c r="H210" s="198"/>
    </row>
    <row r="211" spans="2:8" ht="14.25" hidden="1" customHeight="1">
      <c r="B211" s="80" t="s">
        <v>87</v>
      </c>
      <c r="C211" s="100"/>
      <c r="D211" s="26"/>
      <c r="E211" s="26"/>
      <c r="G211" s="198"/>
      <c r="H211" s="198"/>
    </row>
    <row r="212" spans="2:8" ht="14.25" hidden="1" customHeight="1">
      <c r="B212" s="80" t="s">
        <v>88</v>
      </c>
      <c r="C212" s="100"/>
      <c r="D212" s="26"/>
      <c r="E212" s="26"/>
      <c r="G212" s="198"/>
      <c r="H212" s="198"/>
    </row>
    <row r="213" spans="2:8" ht="14.25" hidden="1" customHeight="1">
      <c r="B213" s="80" t="s">
        <v>89</v>
      </c>
      <c r="C213" s="100"/>
      <c r="D213" s="26"/>
      <c r="E213" s="26"/>
      <c r="G213" s="198"/>
      <c r="H213" s="198"/>
    </row>
    <row r="214" spans="2:8" ht="14.25" hidden="1" customHeight="1">
      <c r="B214" s="80" t="s">
        <v>90</v>
      </c>
      <c r="C214" s="100"/>
      <c r="D214" s="26"/>
      <c r="E214" s="26"/>
      <c r="G214" s="198"/>
      <c r="H214" s="198"/>
    </row>
    <row r="215" spans="2:8" ht="14.25" hidden="1" customHeight="1">
      <c r="B215" s="80" t="s">
        <v>91</v>
      </c>
      <c r="C215" s="100"/>
      <c r="D215" s="26"/>
      <c r="E215" s="26"/>
      <c r="G215" s="198"/>
      <c r="H215" s="198"/>
    </row>
    <row r="216" spans="2:8" ht="14.25" hidden="1" customHeight="1">
      <c r="B216" s="80" t="s">
        <v>92</v>
      </c>
      <c r="C216" s="100"/>
      <c r="D216" s="26"/>
      <c r="E216" s="26"/>
      <c r="G216" s="198"/>
      <c r="H216" s="198"/>
    </row>
    <row r="217" spans="2:8" ht="14.25" hidden="1" customHeight="1">
      <c r="B217" s="80" t="s">
        <v>93</v>
      </c>
      <c r="C217" s="100"/>
      <c r="D217" s="26"/>
      <c r="E217" s="26"/>
      <c r="G217" s="198"/>
      <c r="H217" s="198"/>
    </row>
    <row r="218" spans="2:8" ht="14.25" hidden="1" customHeight="1">
      <c r="B218" s="340" t="s">
        <v>94</v>
      </c>
      <c r="C218" s="100"/>
      <c r="D218" s="26"/>
      <c r="E218" s="26"/>
      <c r="G218" s="198"/>
      <c r="H218" s="198"/>
    </row>
    <row r="219" spans="2:8" ht="14.25" hidden="1" customHeight="1">
      <c r="B219" s="154" t="s">
        <v>95</v>
      </c>
      <c r="C219" s="100"/>
      <c r="D219" s="26"/>
      <c r="E219" s="26"/>
      <c r="G219" s="198"/>
      <c r="H219" s="198"/>
    </row>
    <row r="220" spans="2:8" ht="14.25" hidden="1" customHeight="1">
      <c r="B220" s="80" t="s">
        <v>391</v>
      </c>
      <c r="C220" s="100"/>
      <c r="D220" s="26"/>
      <c r="E220" s="26"/>
      <c r="G220" s="198"/>
      <c r="H220" s="198"/>
    </row>
    <row r="221" spans="2:8" ht="14.25" hidden="1" customHeight="1">
      <c r="B221" s="80" t="s">
        <v>379</v>
      </c>
      <c r="C221" s="100"/>
      <c r="D221" s="26"/>
      <c r="E221" s="26"/>
      <c r="G221" s="198"/>
      <c r="H221" s="198"/>
    </row>
    <row r="222" spans="2:8" ht="14.25" hidden="1" customHeight="1">
      <c r="B222" s="80" t="s">
        <v>96</v>
      </c>
      <c r="C222" s="100"/>
      <c r="D222" s="26"/>
      <c r="E222" s="26"/>
      <c r="G222" s="198"/>
      <c r="H222" s="198"/>
    </row>
    <row r="223" spans="2:8" ht="14.25" hidden="1" customHeight="1">
      <c r="B223" s="80" t="s">
        <v>97</v>
      </c>
      <c r="C223" s="100"/>
      <c r="D223" s="26"/>
      <c r="E223" s="26"/>
      <c r="G223" s="198"/>
      <c r="H223" s="198"/>
    </row>
    <row r="224" spans="2:8" ht="14.25" hidden="1" customHeight="1">
      <c r="B224" s="80" t="s">
        <v>98</v>
      </c>
      <c r="C224" s="100"/>
      <c r="D224" s="26"/>
      <c r="E224" s="26"/>
      <c r="G224" s="198"/>
      <c r="H224" s="198"/>
    </row>
    <row r="225" spans="2:8" ht="14.25" hidden="1" customHeight="1">
      <c r="B225" s="80" t="s">
        <v>99</v>
      </c>
      <c r="C225" s="100"/>
      <c r="D225" s="26"/>
      <c r="E225" s="26"/>
      <c r="G225" s="198"/>
      <c r="H225" s="198"/>
    </row>
    <row r="226" spans="2:8" ht="14.25" hidden="1" customHeight="1">
      <c r="B226" s="80" t="s">
        <v>100</v>
      </c>
      <c r="C226" s="100"/>
      <c r="D226" s="26"/>
      <c r="E226" s="26"/>
      <c r="G226" s="198"/>
      <c r="H226" s="198"/>
    </row>
    <row r="227" spans="2:8" ht="14.25" hidden="1" customHeight="1">
      <c r="B227" s="102" t="s">
        <v>101</v>
      </c>
      <c r="C227" s="100"/>
      <c r="D227" s="26"/>
      <c r="E227" s="26"/>
      <c r="G227" s="198"/>
      <c r="H227" s="198"/>
    </row>
    <row r="228" spans="2:8" ht="14.25" hidden="1" customHeight="1">
      <c r="B228" s="80" t="s">
        <v>102</v>
      </c>
      <c r="C228" s="100"/>
      <c r="D228" s="26"/>
      <c r="E228" s="26"/>
      <c r="G228" s="198"/>
      <c r="H228" s="198"/>
    </row>
    <row r="229" spans="2:8" ht="14.25" hidden="1" customHeight="1">
      <c r="B229" s="80" t="s">
        <v>103</v>
      </c>
      <c r="C229" s="100"/>
      <c r="D229" s="26"/>
      <c r="E229" s="26"/>
      <c r="G229" s="198"/>
      <c r="H229" s="198"/>
    </row>
    <row r="230" spans="2:8" ht="14.25" hidden="1" customHeight="1">
      <c r="B230" s="80" t="s">
        <v>104</v>
      </c>
      <c r="C230" s="100"/>
      <c r="D230" s="26"/>
      <c r="E230" s="26"/>
      <c r="G230" s="198"/>
      <c r="H230" s="198"/>
    </row>
    <row r="231" spans="2:8" ht="14.25" hidden="1" customHeight="1">
      <c r="B231" s="80" t="s">
        <v>105</v>
      </c>
      <c r="C231" s="100"/>
      <c r="D231" s="26"/>
      <c r="E231" s="26"/>
      <c r="G231" s="198"/>
      <c r="H231" s="198"/>
    </row>
    <row r="232" spans="2:8" ht="14.25" hidden="1" customHeight="1">
      <c r="B232" s="80" t="s">
        <v>106</v>
      </c>
      <c r="C232" s="100"/>
      <c r="D232" s="26"/>
      <c r="E232" s="26"/>
      <c r="G232" s="198"/>
      <c r="H232" s="198"/>
    </row>
    <row r="233" spans="2:8" ht="14.25" hidden="1" customHeight="1">
      <c r="B233" s="102" t="s">
        <v>107</v>
      </c>
      <c r="C233" s="100"/>
      <c r="D233" s="26"/>
      <c r="E233" s="26"/>
      <c r="G233" s="198"/>
      <c r="H233" s="198"/>
    </row>
    <row r="234" spans="2:8" ht="14.25" customHeight="1">
      <c r="B234" s="80" t="s">
        <v>108</v>
      </c>
      <c r="C234" s="26"/>
      <c r="D234" s="26"/>
      <c r="E234" s="26"/>
      <c r="G234" s="198"/>
      <c r="H234" s="198"/>
    </row>
    <row r="235" spans="2:8" ht="14.25" customHeight="1">
      <c r="B235" s="80" t="s">
        <v>528</v>
      </c>
      <c r="C235" s="26"/>
      <c r="D235" s="26">
        <f>168000+158667+280000+290000</f>
        <v>896667</v>
      </c>
      <c r="E235" s="416">
        <f>280000+280000</f>
        <v>560000</v>
      </c>
      <c r="G235" s="198"/>
      <c r="H235" s="198"/>
    </row>
    <row r="236" spans="2:8" ht="14.25" customHeight="1">
      <c r="B236" s="521" t="s">
        <v>307</v>
      </c>
      <c r="C236" s="69">
        <v>3081791</v>
      </c>
      <c r="D236" s="69">
        <f>3240817+302450</f>
        <v>3543267</v>
      </c>
      <c r="E236" s="412"/>
      <c r="G236" s="198"/>
      <c r="H236" s="198"/>
    </row>
    <row r="237" spans="2:8" ht="14.25" customHeight="1">
      <c r="B237" s="521" t="s">
        <v>109</v>
      </c>
      <c r="C237" s="26"/>
      <c r="D237" s="26"/>
      <c r="E237" s="26"/>
      <c r="G237" s="198"/>
      <c r="H237" s="198"/>
    </row>
    <row r="238" spans="2:8">
      <c r="B238" s="533" t="s">
        <v>110</v>
      </c>
      <c r="C238" s="21"/>
      <c r="D238" s="409">
        <v>4558844</v>
      </c>
      <c r="E238" s="409">
        <v>2279422</v>
      </c>
      <c r="G238" s="198"/>
      <c r="H238" s="198"/>
    </row>
    <row r="239" spans="2:8">
      <c r="B239" s="169" t="s">
        <v>111</v>
      </c>
      <c r="C239" s="21"/>
      <c r="D239" s="21"/>
      <c r="E239" s="414">
        <v>53000000</v>
      </c>
      <c r="H239" s="198"/>
    </row>
    <row r="240" spans="2:8">
      <c r="B240" s="80" t="s">
        <v>298</v>
      </c>
      <c r="C240" s="69">
        <v>13168715</v>
      </c>
      <c r="D240" s="69">
        <v>13152555</v>
      </c>
      <c r="E240" s="69">
        <v>8288099</v>
      </c>
      <c r="H240" s="198"/>
    </row>
    <row r="241" spans="2:8" ht="14.25" customHeight="1">
      <c r="B241" s="80" t="s">
        <v>513</v>
      </c>
      <c r="C241" s="189">
        <f>58260+71610+3384785+185072+300198+94157+657830+43753+106157+230762-592000</f>
        <v>4540584</v>
      </c>
      <c r="D241" s="189">
        <v>563960</v>
      </c>
      <c r="E241" s="413">
        <f>111702+156361+69300+425514+G187</f>
        <v>762877</v>
      </c>
      <c r="H241" s="198"/>
    </row>
    <row r="242" spans="2:8" ht="14.25" customHeight="1">
      <c r="B242" s="80" t="s">
        <v>514</v>
      </c>
      <c r="C242" s="189">
        <v>2887578</v>
      </c>
      <c r="D242" s="279"/>
      <c r="E242" s="279"/>
      <c r="H242" s="198"/>
    </row>
    <row r="243" spans="2:8">
      <c r="B243" s="80" t="s">
        <v>112</v>
      </c>
      <c r="C243" s="21"/>
      <c r="D243" s="69">
        <f>833000+873979</f>
        <v>1706979</v>
      </c>
      <c r="E243" s="69">
        <v>874000</v>
      </c>
      <c r="H243" s="198"/>
    </row>
    <row r="244" spans="2:8" hidden="1">
      <c r="B244" s="521" t="s">
        <v>113</v>
      </c>
      <c r="C244" s="101"/>
      <c r="D244" s="21"/>
      <c r="E244" s="21"/>
      <c r="G244" s="198"/>
      <c r="H244" s="198"/>
    </row>
    <row r="245" spans="2:8" hidden="1">
      <c r="B245" s="80" t="s">
        <v>114</v>
      </c>
      <c r="C245" s="101"/>
      <c r="D245" s="21"/>
      <c r="E245" s="21"/>
      <c r="G245" s="198"/>
      <c r="H245" s="198"/>
    </row>
    <row r="246" spans="2:8" hidden="1">
      <c r="B246" s="521" t="s">
        <v>115</v>
      </c>
      <c r="C246" s="151"/>
      <c r="D246" s="150"/>
      <c r="E246" s="150"/>
      <c r="G246" s="198"/>
      <c r="H246" s="198"/>
    </row>
    <row r="247" spans="2:8" hidden="1">
      <c r="B247" s="521" t="s">
        <v>116</v>
      </c>
      <c r="C247" s="151"/>
      <c r="D247" s="150"/>
      <c r="E247" s="150"/>
      <c r="G247" s="198"/>
      <c r="H247" s="198"/>
    </row>
    <row r="248" spans="2:8" ht="14.25" hidden="1" customHeight="1">
      <c r="B248" s="521" t="s">
        <v>117</v>
      </c>
      <c r="C248" s="101"/>
      <c r="D248" s="21"/>
      <c r="E248" s="21"/>
      <c r="G248" s="198"/>
      <c r="H248" s="198"/>
    </row>
    <row r="249" spans="2:8" ht="14.25" hidden="1" customHeight="1">
      <c r="B249" s="521" t="s">
        <v>299</v>
      </c>
      <c r="C249" s="101"/>
      <c r="D249" s="21"/>
      <c r="E249" s="21"/>
      <c r="G249" s="198"/>
      <c r="H249" s="198"/>
    </row>
    <row r="250" spans="2:8" ht="14.25" hidden="1" customHeight="1">
      <c r="B250" s="521" t="s">
        <v>292</v>
      </c>
      <c r="C250" s="101"/>
      <c r="D250" s="21"/>
      <c r="E250" s="21"/>
      <c r="G250" s="198"/>
      <c r="H250" s="198"/>
    </row>
    <row r="251" spans="2:8" hidden="1">
      <c r="B251" s="521" t="s">
        <v>118</v>
      </c>
      <c r="C251" s="100"/>
      <c r="D251" s="26"/>
      <c r="E251" s="26"/>
      <c r="G251" s="198"/>
      <c r="H251" s="198"/>
    </row>
    <row r="252" spans="2:8" hidden="1">
      <c r="B252" s="521" t="s">
        <v>415</v>
      </c>
      <c r="C252" s="100"/>
      <c r="D252" s="26"/>
      <c r="E252" s="26"/>
      <c r="G252" s="198"/>
      <c r="H252" s="198"/>
    </row>
    <row r="253" spans="2:8" hidden="1">
      <c r="B253" s="521" t="s">
        <v>119</v>
      </c>
      <c r="C253" s="100"/>
      <c r="D253" s="26"/>
      <c r="E253" s="26"/>
      <c r="G253" s="198"/>
      <c r="H253" s="198"/>
    </row>
    <row r="254" spans="2:8" hidden="1">
      <c r="B254" s="521" t="s">
        <v>120</v>
      </c>
      <c r="C254" s="100"/>
      <c r="D254" s="26"/>
      <c r="E254" s="26"/>
      <c r="G254" s="198"/>
      <c r="H254" s="198"/>
    </row>
    <row r="255" spans="2:8">
      <c r="B255" s="521" t="s">
        <v>454</v>
      </c>
      <c r="C255" s="166">
        <v>2156250</v>
      </c>
      <c r="D255" s="26"/>
      <c r="E255" s="26"/>
      <c r="G255" s="198"/>
      <c r="H255" s="198"/>
    </row>
    <row r="256" spans="2:8">
      <c r="B256" s="521" t="s">
        <v>457</v>
      </c>
      <c r="C256" s="166">
        <f>672422+384241</f>
        <v>1056663</v>
      </c>
      <c r="D256" s="26"/>
      <c r="E256" s="26"/>
      <c r="G256" s="198"/>
      <c r="H256" s="198"/>
    </row>
    <row r="257" spans="1:8">
      <c r="B257" s="521" t="s">
        <v>567</v>
      </c>
      <c r="C257" s="166"/>
      <c r="D257" s="166">
        <v>71400</v>
      </c>
      <c r="E257" s="166"/>
      <c r="G257" s="198"/>
      <c r="H257" s="198"/>
    </row>
    <row r="258" spans="1:8">
      <c r="B258" s="521" t="s">
        <v>573</v>
      </c>
      <c r="C258" s="166"/>
      <c r="D258" s="166">
        <v>1868183</v>
      </c>
      <c r="E258" s="166"/>
      <c r="G258" s="198"/>
      <c r="H258" s="198"/>
    </row>
    <row r="259" spans="1:8">
      <c r="B259" s="521" t="s">
        <v>574</v>
      </c>
      <c r="C259" s="166"/>
      <c r="D259" s="166">
        <v>137174</v>
      </c>
      <c r="E259" s="166"/>
      <c r="G259" s="198"/>
      <c r="H259" s="198"/>
    </row>
    <row r="260" spans="1:8" ht="16" thickBot="1">
      <c r="B260" s="521" t="s">
        <v>587</v>
      </c>
      <c r="C260" s="166"/>
      <c r="D260" s="410">
        <v>753408</v>
      </c>
      <c r="E260" s="410">
        <v>754000</v>
      </c>
      <c r="G260" s="198"/>
      <c r="H260" s="198"/>
    </row>
    <row r="261" spans="1:8" ht="14.25" customHeight="1" thickBot="1">
      <c r="B261" s="537" t="s">
        <v>31</v>
      </c>
      <c r="C261" s="538">
        <f>SUM(C204:C256)</f>
        <v>43582698</v>
      </c>
      <c r="D261" s="538">
        <f>SUM(D204:D260)</f>
        <v>32950339</v>
      </c>
      <c r="E261" s="538">
        <f>SUM(E204:E260)</f>
        <v>71518398</v>
      </c>
      <c r="G261" s="198"/>
      <c r="H261" s="198"/>
    </row>
    <row r="262" spans="1:8" ht="14.25" customHeight="1" thickBot="1">
      <c r="A262" s="3"/>
      <c r="B262" s="3"/>
      <c r="C262" s="3"/>
      <c r="D262" s="3"/>
      <c r="E262" s="3"/>
      <c r="G262" s="198"/>
      <c r="H262" s="198"/>
    </row>
    <row r="263" spans="1:8" ht="14.25" customHeight="1" thickBot="1">
      <c r="A263" s="3"/>
      <c r="B263" s="520" t="s">
        <v>121</v>
      </c>
      <c r="C263" s="509">
        <v>45658</v>
      </c>
      <c r="D263" s="509">
        <v>45689</v>
      </c>
      <c r="E263" s="509">
        <v>45717</v>
      </c>
      <c r="G263" s="198"/>
      <c r="H263" s="198"/>
    </row>
    <row r="264" spans="1:8" ht="14.25" customHeight="1" thickBot="1">
      <c r="A264" s="3"/>
      <c r="B264" s="11" t="s">
        <v>38</v>
      </c>
      <c r="C264" s="432" t="s">
        <v>23</v>
      </c>
      <c r="D264" s="432" t="s">
        <v>23</v>
      </c>
      <c r="E264" s="432" t="s">
        <v>23</v>
      </c>
      <c r="G264" s="198"/>
      <c r="H264" s="198"/>
    </row>
    <row r="265" spans="1:8" ht="14.25" customHeight="1" thickBot="1">
      <c r="B265" s="521" t="s">
        <v>530</v>
      </c>
      <c r="C265" s="21"/>
      <c r="D265" s="21">
        <v>9258153</v>
      </c>
      <c r="E265" s="21">
        <v>1400000</v>
      </c>
      <c r="G265" s="198"/>
      <c r="H265" s="198"/>
    </row>
    <row r="266" spans="1:8" ht="14.25" customHeight="1" thickBot="1">
      <c r="A266" s="3"/>
      <c r="B266" s="526" t="s">
        <v>31</v>
      </c>
      <c r="C266" s="539">
        <f>SUM(C265:C265)</f>
        <v>0</v>
      </c>
      <c r="D266" s="539">
        <f>SUM(D265:D265)</f>
        <v>9258153</v>
      </c>
      <c r="E266" s="539">
        <f>SUM(E265:E265)</f>
        <v>1400000</v>
      </c>
      <c r="G266" s="198"/>
      <c r="H266" s="198"/>
    </row>
    <row r="267" spans="1:8" ht="14.25" customHeight="1" thickBot="1">
      <c r="B267" s="519"/>
      <c r="G267" s="198"/>
      <c r="H267" s="198"/>
    </row>
    <row r="268" spans="1:8" ht="14.25" customHeight="1" thickBot="1">
      <c r="B268" s="528" t="s">
        <v>122</v>
      </c>
      <c r="C268" s="509">
        <v>45658</v>
      </c>
      <c r="D268" s="509">
        <v>45689</v>
      </c>
      <c r="E268" s="509">
        <v>45717</v>
      </c>
      <c r="G268" s="198"/>
      <c r="H268" s="198"/>
    </row>
    <row r="269" spans="1:8" ht="22.5" customHeight="1" thickBot="1">
      <c r="B269" s="11" t="s">
        <v>38</v>
      </c>
      <c r="C269" s="432" t="s">
        <v>23</v>
      </c>
      <c r="D269" s="432" t="s">
        <v>23</v>
      </c>
      <c r="E269" s="432" t="s">
        <v>23</v>
      </c>
      <c r="G269" s="198"/>
      <c r="H269" s="198"/>
    </row>
    <row r="270" spans="1:8">
      <c r="B270" s="521" t="s">
        <v>123</v>
      </c>
      <c r="C270" s="329">
        <v>725904</v>
      </c>
      <c r="D270" s="391">
        <v>747736</v>
      </c>
      <c r="E270" s="391">
        <v>747736</v>
      </c>
      <c r="G270" s="198"/>
      <c r="H270" s="198"/>
    </row>
    <row r="271" spans="1:8">
      <c r="B271" s="521" t="s">
        <v>388</v>
      </c>
      <c r="C271" s="391">
        <f>1968538+1600000+700000</f>
        <v>4268538</v>
      </c>
      <c r="D271" s="391">
        <v>2600000</v>
      </c>
      <c r="E271" s="391">
        <v>1600000</v>
      </c>
      <c r="G271" s="198"/>
      <c r="H271" s="198"/>
    </row>
    <row r="272" spans="1:8">
      <c r="B272" s="521" t="s">
        <v>439</v>
      </c>
      <c r="C272" s="391">
        <v>2500000</v>
      </c>
      <c r="D272" s="391">
        <v>2500000</v>
      </c>
      <c r="E272" s="391">
        <v>2500000</v>
      </c>
      <c r="G272" s="198"/>
      <c r="H272" s="198"/>
    </row>
    <row r="273" spans="2:8">
      <c r="B273" s="521" t="s">
        <v>332</v>
      </c>
      <c r="C273" s="391">
        <v>100000</v>
      </c>
      <c r="D273" s="391">
        <f>115706+135620</f>
        <v>251326</v>
      </c>
      <c r="E273" s="391">
        <v>250000</v>
      </c>
      <c r="G273" s="198"/>
      <c r="H273" s="198"/>
    </row>
    <row r="274" spans="2:8">
      <c r="B274" s="521" t="s">
        <v>124</v>
      </c>
      <c r="D274" s="56">
        <v>342004</v>
      </c>
      <c r="E274" s="56">
        <v>0</v>
      </c>
      <c r="G274" s="198"/>
      <c r="H274" s="198"/>
    </row>
    <row r="275" spans="2:8">
      <c r="B275" s="521" t="s">
        <v>362</v>
      </c>
      <c r="C275" s="56">
        <v>427500</v>
      </c>
      <c r="D275" s="56">
        <v>427500</v>
      </c>
      <c r="E275" s="56">
        <v>427500</v>
      </c>
      <c r="G275" s="198"/>
      <c r="H275" s="198"/>
    </row>
    <row r="276" spans="2:8">
      <c r="B276" s="80" t="s">
        <v>515</v>
      </c>
      <c r="C276" s="56">
        <v>1710000</v>
      </c>
      <c r="D276" s="56">
        <v>1710000</v>
      </c>
      <c r="E276" s="56">
        <v>1710000</v>
      </c>
      <c r="G276" s="198"/>
      <c r="H276" s="198"/>
    </row>
    <row r="277" spans="2:8">
      <c r="B277" s="521" t="s">
        <v>304</v>
      </c>
      <c r="C277" s="5"/>
      <c r="D277" s="56">
        <v>27000000</v>
      </c>
      <c r="E277" s="56">
        <v>27000000</v>
      </c>
      <c r="G277" s="198"/>
      <c r="H277" s="198"/>
    </row>
    <row r="278" spans="2:8">
      <c r="B278" s="521" t="s">
        <v>572</v>
      </c>
      <c r="C278" s="5"/>
      <c r="D278" s="56">
        <v>265889</v>
      </c>
      <c r="E278" s="56">
        <v>266000</v>
      </c>
      <c r="G278" s="198"/>
      <c r="H278" s="198"/>
    </row>
    <row r="279" spans="2:8" ht="16" thickBot="1">
      <c r="B279" s="521" t="s">
        <v>125</v>
      </c>
      <c r="C279" s="5"/>
      <c r="D279" s="5"/>
      <c r="E279" s="5"/>
      <c r="G279" s="198"/>
      <c r="H279" s="198"/>
    </row>
    <row r="280" spans="2:8" ht="16" thickBot="1">
      <c r="B280" s="526" t="s">
        <v>31</v>
      </c>
      <c r="C280" s="539">
        <f>SUM(C270:C279)</f>
        <v>9731942</v>
      </c>
      <c r="D280" s="539">
        <f>SUM(D270:D279)</f>
        <v>35844455</v>
      </c>
      <c r="E280" s="539">
        <f>SUM(E270:E279)</f>
        <v>34501236</v>
      </c>
      <c r="G280" s="198"/>
      <c r="H280" s="198"/>
    </row>
    <row r="281" spans="2:8" ht="16" thickBot="1">
      <c r="B281" s="519"/>
      <c r="G281" s="198"/>
      <c r="H281" s="198"/>
    </row>
    <row r="282" spans="2:8" ht="16" thickBot="1">
      <c r="B282" s="528" t="s">
        <v>126</v>
      </c>
      <c r="C282" s="509">
        <v>45658</v>
      </c>
      <c r="D282" s="509">
        <v>45689</v>
      </c>
      <c r="E282" s="509">
        <v>45717</v>
      </c>
      <c r="G282" s="198"/>
      <c r="H282" s="198"/>
    </row>
    <row r="283" spans="2:8">
      <c r="B283" s="521" t="s">
        <v>127</v>
      </c>
      <c r="C283" s="163">
        <f>356943+1736+225+7870+50154+176377</f>
        <v>593305</v>
      </c>
      <c r="D283" s="24">
        <f>7866+58865+50937+47178+66829+115840</f>
        <v>347515</v>
      </c>
      <c r="E283" s="163">
        <v>350000</v>
      </c>
      <c r="G283" s="198"/>
      <c r="H283" s="198"/>
    </row>
    <row r="284" spans="2:8" ht="14.25" customHeight="1">
      <c r="B284" s="521" t="s">
        <v>300</v>
      </c>
      <c r="C284" s="21"/>
      <c r="D284" s="69">
        <f>1899053+1792231</f>
        <v>3691284</v>
      </c>
      <c r="E284" s="69">
        <v>1900000</v>
      </c>
      <c r="G284" s="198"/>
      <c r="H284" s="198"/>
    </row>
    <row r="285" spans="2:8" ht="14.25" customHeight="1">
      <c r="B285" s="521" t="s">
        <v>302</v>
      </c>
      <c r="C285" s="21"/>
      <c r="D285" s="69">
        <f>257708+196679</f>
        <v>454387</v>
      </c>
      <c r="E285" s="69">
        <v>460000</v>
      </c>
      <c r="G285" s="198"/>
      <c r="H285" s="198"/>
    </row>
    <row r="286" spans="2:8" ht="14.25" customHeight="1">
      <c r="B286" s="521" t="s">
        <v>301</v>
      </c>
      <c r="C286" s="21"/>
      <c r="D286" s="69">
        <v>113961</v>
      </c>
      <c r="E286" s="69">
        <v>115000</v>
      </c>
      <c r="F286" s="94"/>
      <c r="G286" s="323"/>
      <c r="H286" s="198"/>
    </row>
    <row r="287" spans="2:8">
      <c r="B287" s="521" t="s">
        <v>128</v>
      </c>
      <c r="C287" s="21"/>
      <c r="D287" s="69">
        <v>184274</v>
      </c>
      <c r="E287" s="69">
        <v>185000</v>
      </c>
      <c r="F287" s="94"/>
      <c r="G287" s="198"/>
      <c r="H287" s="198"/>
    </row>
    <row r="288" spans="2:8">
      <c r="B288" s="521" t="s">
        <v>129</v>
      </c>
      <c r="C288" s="21"/>
      <c r="D288" s="69">
        <f>455836+201581+455836</f>
        <v>1113253</v>
      </c>
      <c r="E288" s="69">
        <v>300000</v>
      </c>
      <c r="F288" s="94"/>
      <c r="G288" s="198"/>
      <c r="H288" s="198"/>
    </row>
    <row r="289" spans="1:9" s="3" customFormat="1">
      <c r="A289"/>
      <c r="B289" s="418" t="s">
        <v>130</v>
      </c>
      <c r="C289" s="21"/>
      <c r="D289" s="21">
        <f>768383+759453</f>
        <v>1527836</v>
      </c>
      <c r="E289" s="21">
        <v>769000</v>
      </c>
      <c r="F289" s="87"/>
      <c r="G289" s="198"/>
      <c r="H289" s="323"/>
      <c r="I289" s="43"/>
    </row>
    <row r="290" spans="1:9" s="3" customFormat="1">
      <c r="A290"/>
      <c r="B290" s="418" t="s">
        <v>293</v>
      </c>
      <c r="C290" s="26"/>
      <c r="D290" s="166">
        <f>68188+6841+5960+8008+15087</f>
        <v>104084</v>
      </c>
      <c r="E290" s="166">
        <v>100000</v>
      </c>
      <c r="F290" s="87"/>
      <c r="G290" s="198"/>
      <c r="H290" s="323"/>
      <c r="I290" s="43"/>
    </row>
    <row r="291" spans="1:9">
      <c r="B291" s="418" t="s">
        <v>131</v>
      </c>
      <c r="C291" s="163">
        <v>1417610</v>
      </c>
      <c r="D291" s="163">
        <v>1324200</v>
      </c>
      <c r="E291" s="163">
        <v>1325000</v>
      </c>
      <c r="G291" s="198"/>
      <c r="H291" s="198"/>
    </row>
    <row r="292" spans="1:9">
      <c r="B292" s="418" t="s">
        <v>303</v>
      </c>
      <c r="C292" s="8"/>
      <c r="D292" s="70">
        <f>184800+184800</f>
        <v>369600</v>
      </c>
      <c r="E292" s="70">
        <v>184800</v>
      </c>
      <c r="G292" s="198"/>
      <c r="H292" s="198"/>
    </row>
    <row r="293" spans="1:9">
      <c r="B293" s="521" t="s">
        <v>336</v>
      </c>
      <c r="C293" s="24"/>
      <c r="D293" s="24">
        <f>325603+232845+361113+7721+403450</f>
        <v>1330732</v>
      </c>
      <c r="E293" s="24">
        <v>450000</v>
      </c>
      <c r="G293" s="198"/>
      <c r="H293" s="198"/>
    </row>
    <row r="294" spans="1:9">
      <c r="B294" s="521" t="s">
        <v>527</v>
      </c>
      <c r="C294" s="163">
        <v>275310</v>
      </c>
      <c r="D294" s="163">
        <v>275310</v>
      </c>
      <c r="E294" s="163">
        <v>212000</v>
      </c>
      <c r="G294" s="198"/>
      <c r="H294" s="198"/>
    </row>
    <row r="295" spans="1:9">
      <c r="B295" s="521" t="s">
        <v>390</v>
      </c>
      <c r="C295" s="24"/>
      <c r="D295" s="163">
        <f>768433+767490</f>
        <v>1535923</v>
      </c>
      <c r="E295" s="163">
        <v>769000</v>
      </c>
      <c r="G295" s="198"/>
      <c r="H295" s="198"/>
    </row>
    <row r="296" spans="1:9">
      <c r="B296" s="521" t="s">
        <v>132</v>
      </c>
      <c r="C296" s="163">
        <v>466999</v>
      </c>
      <c r="D296" s="163">
        <v>466646</v>
      </c>
      <c r="E296" s="163">
        <v>467000</v>
      </c>
      <c r="G296" s="198"/>
      <c r="H296" s="198"/>
    </row>
    <row r="297" spans="1:9">
      <c r="B297" s="521" t="s">
        <v>133</v>
      </c>
      <c r="C297" s="24"/>
      <c r="D297" s="24">
        <f>269238+279651</f>
        <v>548889</v>
      </c>
      <c r="E297" s="24">
        <v>280000</v>
      </c>
      <c r="G297" s="198"/>
      <c r="H297" s="198"/>
    </row>
    <row r="298" spans="1:9">
      <c r="B298" s="521" t="s">
        <v>531</v>
      </c>
      <c r="C298" s="26"/>
      <c r="D298" s="166">
        <v>140420</v>
      </c>
      <c r="E298" s="166"/>
      <c r="G298" s="198"/>
      <c r="H298" s="198"/>
    </row>
    <row r="299" spans="1:9">
      <c r="B299" s="521" t="s">
        <v>423</v>
      </c>
      <c r="C299" s="189">
        <v>393321</v>
      </c>
      <c r="D299" s="103"/>
      <c r="E299" s="103">
        <v>0</v>
      </c>
      <c r="G299" s="198"/>
      <c r="H299" s="198"/>
    </row>
    <row r="300" spans="1:9">
      <c r="B300" s="521" t="s">
        <v>529</v>
      </c>
      <c r="C300" s="189"/>
      <c r="D300" s="189">
        <v>230824</v>
      </c>
      <c r="E300" s="189"/>
      <c r="G300" s="198"/>
      <c r="H300" s="198"/>
    </row>
    <row r="301" spans="1:9">
      <c r="B301" s="521" t="s">
        <v>232</v>
      </c>
      <c r="C301" s="69">
        <v>426172</v>
      </c>
      <c r="D301" s="21"/>
      <c r="E301" s="21"/>
      <c r="G301" s="198"/>
      <c r="H301" s="198"/>
    </row>
    <row r="302" spans="1:9">
      <c r="B302" s="521" t="s">
        <v>296</v>
      </c>
      <c r="C302" s="26"/>
      <c r="D302" s="26"/>
      <c r="E302" s="26"/>
      <c r="G302" s="198"/>
      <c r="H302" s="198"/>
    </row>
    <row r="303" spans="1:9">
      <c r="B303" s="521" t="s">
        <v>566</v>
      </c>
      <c r="C303" s="26"/>
      <c r="D303" s="166">
        <v>1256938</v>
      </c>
      <c r="E303" s="166"/>
      <c r="G303" s="198"/>
      <c r="H303" s="198"/>
    </row>
    <row r="304" spans="1:9">
      <c r="B304" s="521" t="s">
        <v>568</v>
      </c>
      <c r="C304" s="26"/>
      <c r="D304" s="166">
        <v>314819</v>
      </c>
      <c r="E304" s="166"/>
      <c r="G304" s="198"/>
      <c r="H304" s="198"/>
    </row>
    <row r="305" spans="2:8" ht="16" thickBot="1">
      <c r="B305" s="521" t="s">
        <v>570</v>
      </c>
      <c r="C305" s="26"/>
      <c r="D305" s="166">
        <f>100150+160650</f>
        <v>260800</v>
      </c>
      <c r="E305" s="166"/>
      <c r="G305" s="198"/>
      <c r="H305" s="198"/>
    </row>
    <row r="306" spans="2:8" ht="16" thickBot="1">
      <c r="B306" s="526" t="s">
        <v>31</v>
      </c>
      <c r="C306" s="539">
        <f>SUM(C283:C302)</f>
        <v>3572717</v>
      </c>
      <c r="D306" s="539">
        <f>SUM(D283:D305)</f>
        <v>15591695</v>
      </c>
      <c r="E306" s="539">
        <f>SUM(E283:E305)</f>
        <v>7866800</v>
      </c>
      <c r="G306" s="198"/>
      <c r="H306" s="198"/>
    </row>
    <row r="307" spans="2:8" ht="16" thickBot="1">
      <c r="B307" s="519"/>
      <c r="G307" s="198"/>
      <c r="H307" s="198"/>
    </row>
    <row r="308" spans="2:8" ht="16" thickBot="1">
      <c r="B308" s="520" t="s">
        <v>134</v>
      </c>
      <c r="C308" s="509">
        <v>45658</v>
      </c>
      <c r="D308" s="509">
        <v>45689</v>
      </c>
      <c r="E308" s="509">
        <v>45717</v>
      </c>
      <c r="G308" s="198"/>
      <c r="H308" s="198"/>
    </row>
    <row r="309" spans="2:8" ht="18.75" customHeight="1" thickBot="1">
      <c r="B309" s="11" t="s">
        <v>38</v>
      </c>
      <c r="C309" s="432" t="s">
        <v>23</v>
      </c>
      <c r="D309" s="432" t="s">
        <v>23</v>
      </c>
      <c r="E309" s="432" t="s">
        <v>23</v>
      </c>
      <c r="G309" s="198"/>
      <c r="H309" s="198"/>
    </row>
    <row r="310" spans="2:8">
      <c r="B310" s="521" t="s">
        <v>595</v>
      </c>
      <c r="C310" s="5"/>
      <c r="D310" s="5"/>
      <c r="E310" s="56">
        <v>2500000</v>
      </c>
      <c r="G310" s="198"/>
      <c r="H310" s="198"/>
    </row>
    <row r="311" spans="2:8">
      <c r="B311" s="521" t="s">
        <v>30</v>
      </c>
      <c r="C311" s="56">
        <v>32600739</v>
      </c>
      <c r="D311" s="5">
        <v>58964333</v>
      </c>
      <c r="E311" s="56">
        <v>11000000</v>
      </c>
      <c r="G311" s="198"/>
      <c r="H311" s="198"/>
    </row>
    <row r="312" spans="2:8">
      <c r="B312" s="521" t="s">
        <v>135</v>
      </c>
      <c r="C312" s="5"/>
      <c r="D312" s="5"/>
      <c r="E312" s="56">
        <v>800000</v>
      </c>
      <c r="G312" s="198"/>
      <c r="H312" s="198"/>
    </row>
    <row r="313" spans="2:8" ht="16" thickBot="1">
      <c r="B313" s="521" t="s">
        <v>308</v>
      </c>
      <c r="C313" s="5"/>
      <c r="D313" s="5"/>
      <c r="E313" s="5"/>
      <c r="G313" s="198"/>
      <c r="H313" s="198"/>
    </row>
    <row r="314" spans="2:8" ht="16" thickBot="1">
      <c r="B314" s="534"/>
      <c r="C314" s="540">
        <f>SUM(C310:C313)</f>
        <v>32600739</v>
      </c>
      <c r="D314" s="540">
        <f>SUM(D310:D313)</f>
        <v>58964333</v>
      </c>
      <c r="E314" s="540">
        <f>SUM(E310:E313)</f>
        <v>14300000</v>
      </c>
      <c r="G314" s="198"/>
      <c r="H314" s="198"/>
    </row>
    <row r="315" spans="2:8" ht="14.25" customHeight="1" thickBot="1">
      <c r="B315" s="519"/>
      <c r="G315" s="198"/>
      <c r="H315" s="198"/>
    </row>
    <row r="316" spans="2:8" ht="16" thickBot="1">
      <c r="B316" s="520" t="s">
        <v>136</v>
      </c>
      <c r="C316" s="509">
        <v>45658</v>
      </c>
      <c r="D316" s="509">
        <v>45689</v>
      </c>
      <c r="E316" s="509">
        <v>45717</v>
      </c>
      <c r="G316" s="198"/>
      <c r="H316" s="198"/>
    </row>
    <row r="317" spans="2:8" ht="21" customHeight="1" thickBot="1">
      <c r="B317" s="11" t="s">
        <v>38</v>
      </c>
      <c r="C317" s="432" t="s">
        <v>23</v>
      </c>
      <c r="D317" s="432" t="s">
        <v>23</v>
      </c>
      <c r="E317" s="432" t="s">
        <v>23</v>
      </c>
      <c r="G317" s="198"/>
      <c r="H317" s="198"/>
    </row>
    <row r="318" spans="2:8">
      <c r="B318" s="521" t="s">
        <v>137</v>
      </c>
      <c r="C318" s="173">
        <v>6952644</v>
      </c>
      <c r="D318" s="173">
        <v>6941510</v>
      </c>
      <c r="E318" s="173">
        <v>6950000</v>
      </c>
      <c r="G318" s="198"/>
      <c r="H318" s="198"/>
    </row>
    <row r="319" spans="2:8" ht="16" thickBot="1">
      <c r="B319" s="521" t="s">
        <v>333</v>
      </c>
      <c r="C319" s="56">
        <v>18770123</v>
      </c>
      <c r="D319" s="173">
        <v>18757428</v>
      </c>
      <c r="E319" s="173">
        <v>18800000</v>
      </c>
      <c r="G319" s="198"/>
      <c r="H319" s="198"/>
    </row>
    <row r="320" spans="2:8" ht="16" thickBot="1">
      <c r="B320" s="534" t="s">
        <v>31</v>
      </c>
      <c r="C320" s="541">
        <f>SUM(C318:C319)</f>
        <v>25722767</v>
      </c>
      <c r="D320" s="541">
        <f>SUM(D318:D319)</f>
        <v>25698938</v>
      </c>
      <c r="E320" s="541">
        <f>SUM(E318:E319)</f>
        <v>25750000</v>
      </c>
      <c r="F320" s="94"/>
      <c r="G320" s="198"/>
      <c r="H320" s="198"/>
    </row>
    <row r="321" spans="1:9" ht="16" thickBot="1">
      <c r="B321" s="519"/>
      <c r="G321" s="198"/>
      <c r="H321" s="198"/>
    </row>
    <row r="322" spans="1:9" ht="16" thickBot="1">
      <c r="B322" s="528" t="s">
        <v>138</v>
      </c>
      <c r="C322" s="509">
        <v>45658</v>
      </c>
      <c r="D322" s="509">
        <v>45689</v>
      </c>
      <c r="E322" s="509">
        <v>45717</v>
      </c>
      <c r="G322" s="198"/>
      <c r="H322" s="198"/>
    </row>
    <row r="323" spans="1:9" ht="18.75" customHeight="1" thickBot="1">
      <c r="B323" s="11" t="s">
        <v>38</v>
      </c>
      <c r="C323" s="432" t="s">
        <v>23</v>
      </c>
      <c r="D323" s="432" t="s">
        <v>23</v>
      </c>
      <c r="E323" s="432" t="s">
        <v>23</v>
      </c>
      <c r="G323" s="198"/>
      <c r="H323" s="198"/>
    </row>
    <row r="324" spans="1:9">
      <c r="B324" s="521" t="s">
        <v>139</v>
      </c>
      <c r="C324" s="56">
        <v>132887</v>
      </c>
      <c r="D324" s="408">
        <v>133305</v>
      </c>
      <c r="E324" s="408">
        <v>134000</v>
      </c>
      <c r="G324" s="198"/>
      <c r="H324" s="198"/>
    </row>
    <row r="325" spans="1:9" s="3" customFormat="1">
      <c r="A325"/>
      <c r="B325" s="102" t="s">
        <v>140</v>
      </c>
      <c r="C325" s="56">
        <v>39588</v>
      </c>
      <c r="D325" s="163">
        <v>39752</v>
      </c>
      <c r="E325" s="163">
        <v>39800</v>
      </c>
      <c r="F325" s="87"/>
      <c r="G325" s="198"/>
      <c r="H325" s="323"/>
      <c r="I325" s="43"/>
    </row>
    <row r="326" spans="1:9" ht="14.25" customHeight="1" thickBot="1">
      <c r="B326" s="521" t="s">
        <v>141</v>
      </c>
      <c r="C326" s="26"/>
      <c r="D326" s="166">
        <f>1047263</f>
        <v>1047263</v>
      </c>
      <c r="E326" s="166">
        <f>1047263</f>
        <v>1047263</v>
      </c>
      <c r="G326" s="198"/>
      <c r="H326" s="198"/>
    </row>
    <row r="327" spans="1:9" ht="16" thickBot="1">
      <c r="B327" s="537" t="s">
        <v>31</v>
      </c>
      <c r="C327" s="538">
        <f>SUM(C324:C326)</f>
        <v>172475</v>
      </c>
      <c r="D327" s="538">
        <f>SUM(D324:D326)</f>
        <v>1220320</v>
      </c>
      <c r="E327" s="538">
        <f>SUM(E324:E326)</f>
        <v>1221063</v>
      </c>
      <c r="G327" s="198"/>
      <c r="H327" s="198"/>
    </row>
    <row r="328" spans="1:9">
      <c r="B328" s="519"/>
      <c r="G328" s="198"/>
      <c r="H328" s="198"/>
    </row>
    <row r="329" spans="1:9" ht="16" thickBot="1">
      <c r="B329" s="519"/>
      <c r="G329" s="198"/>
      <c r="H329" s="198"/>
    </row>
    <row r="330" spans="1:9" ht="17.25" customHeight="1" thickBot="1">
      <c r="B330" s="520" t="s">
        <v>142</v>
      </c>
      <c r="C330" s="509">
        <v>45658</v>
      </c>
      <c r="D330" s="509">
        <v>45689</v>
      </c>
      <c r="E330" s="509">
        <v>45717</v>
      </c>
      <c r="G330" s="198"/>
      <c r="H330" s="198"/>
    </row>
    <row r="331" spans="1:9">
      <c r="B331" s="521" t="s">
        <v>518</v>
      </c>
      <c r="C331" s="341">
        <v>19256977</v>
      </c>
      <c r="D331" s="56">
        <v>0</v>
      </c>
      <c r="E331" s="56">
        <v>0</v>
      </c>
      <c r="G331" s="198"/>
      <c r="H331" s="198"/>
    </row>
    <row r="332" spans="1:9">
      <c r="B332" s="521" t="s">
        <v>526</v>
      </c>
      <c r="C332" s="56">
        <f>11900000+10710000</f>
        <v>22610000</v>
      </c>
      <c r="D332" s="391">
        <f>43972803+61831751</f>
        <v>105804554</v>
      </c>
      <c r="E332" s="391">
        <v>53173026</v>
      </c>
      <c r="F332" s="287"/>
      <c r="G332" s="198"/>
      <c r="H332" s="198"/>
    </row>
    <row r="333" spans="1:9">
      <c r="B333" s="542" t="s">
        <v>422</v>
      </c>
      <c r="C333" s="59"/>
      <c r="D333" s="9">
        <f>3261832+3285075+3377+700000+677175</f>
        <v>7927459</v>
      </c>
      <c r="E333" s="9">
        <f>3290000</f>
        <v>3290000</v>
      </c>
      <c r="G333" s="198"/>
      <c r="H333" s="198"/>
    </row>
    <row r="334" spans="1:9">
      <c r="B334" s="521" t="s">
        <v>517</v>
      </c>
      <c r="C334" s="56">
        <f>108887+64200</f>
        <v>173087</v>
      </c>
      <c r="D334" s="9">
        <f>470250+427500+191385</f>
        <v>1089135</v>
      </c>
      <c r="E334" s="9">
        <f>1000000+215000+35000</f>
        <v>1250000</v>
      </c>
      <c r="G334" s="198"/>
      <c r="H334" s="198"/>
    </row>
    <row r="335" spans="1:9">
      <c r="B335" s="521" t="s">
        <v>453</v>
      </c>
      <c r="C335" s="56">
        <v>933085</v>
      </c>
      <c r="D335" s="26">
        <v>0</v>
      </c>
      <c r="E335" s="26">
        <v>0</v>
      </c>
      <c r="G335" s="198"/>
      <c r="H335" s="198"/>
    </row>
    <row r="336" spans="1:9" ht="16" thickBot="1">
      <c r="B336" s="542" t="s">
        <v>416</v>
      </c>
      <c r="C336" s="56">
        <f>1583890+1700000</f>
        <v>3283890</v>
      </c>
      <c r="D336" s="9">
        <v>0</v>
      </c>
      <c r="E336" s="9">
        <v>0</v>
      </c>
      <c r="G336" s="198"/>
    </row>
    <row r="337" spans="2:8" ht="16" thickBot="1">
      <c r="B337" s="537" t="s">
        <v>31</v>
      </c>
      <c r="C337" s="538">
        <f>SUM(C331:C336)</f>
        <v>46257039</v>
      </c>
      <c r="D337" s="538">
        <f>SUM(D331:D336)</f>
        <v>114821148</v>
      </c>
      <c r="E337" s="538">
        <f>SUM(E331:E336)</f>
        <v>57713026</v>
      </c>
      <c r="G337" s="198"/>
    </row>
    <row r="338" spans="2:8" ht="16" thickBot="1">
      <c r="B338" s="436"/>
      <c r="C338" s="91"/>
      <c r="D338" s="91"/>
      <c r="E338" s="91"/>
      <c r="G338" s="198"/>
    </row>
    <row r="339" spans="2:8" ht="16" thickBot="1">
      <c r="B339" s="543" t="s">
        <v>143</v>
      </c>
      <c r="C339" s="544">
        <f>SUM(C167+C199+C261+C266+C280+C306+C314+C320+C327+C337)</f>
        <v>469132108.68793529</v>
      </c>
      <c r="D339" s="544">
        <f>SUM(D167+D199+D261+D266+D280+D306+D314+D320+D327+D337)</f>
        <v>595664630</v>
      </c>
      <c r="E339" s="545">
        <f>SUM(E167+E199+E261+E266+E280+E306+E314+E320+E327+E337)</f>
        <v>439460544</v>
      </c>
      <c r="G339" s="198"/>
    </row>
    <row r="340" spans="2:8" ht="16" thickBot="1">
      <c r="B340" s="544"/>
      <c r="C340" s="546"/>
      <c r="D340" s="546"/>
      <c r="E340" s="546"/>
      <c r="G340" s="198"/>
    </row>
    <row r="341" spans="2:8" ht="16" thickBot="1">
      <c r="B341" s="547" t="s">
        <v>594</v>
      </c>
      <c r="C341" s="547">
        <f>SUM(C107-C339)</f>
        <v>154574099.31206471</v>
      </c>
      <c r="D341" s="547">
        <f>SUM(D107-D339)</f>
        <v>282096553</v>
      </c>
      <c r="E341" s="547">
        <f>SUM(E107-E339)</f>
        <v>134778107</v>
      </c>
      <c r="F341" s="288"/>
      <c r="G341" s="198"/>
      <c r="H341" s="198"/>
    </row>
    <row r="342" spans="2:8" ht="16" thickBot="1">
      <c r="B342" s="546"/>
      <c r="C342" s="546"/>
      <c r="D342" s="546"/>
      <c r="E342" s="546"/>
      <c r="G342" s="198"/>
      <c r="H342" s="198"/>
    </row>
    <row r="343" spans="2:8" ht="16" thickBot="1">
      <c r="B343" s="548" t="s">
        <v>297</v>
      </c>
      <c r="C343" s="549">
        <v>59978095</v>
      </c>
      <c r="D343" s="549">
        <v>201419874</v>
      </c>
      <c r="E343" s="549"/>
      <c r="G343" s="198"/>
      <c r="H343" s="198"/>
    </row>
    <row r="344" spans="2:8" ht="16" thickBot="1">
      <c r="B344" s="548" t="s">
        <v>597</v>
      </c>
      <c r="C344" s="549">
        <v>94596004</v>
      </c>
      <c r="D344" s="549">
        <v>80676679</v>
      </c>
      <c r="E344" s="549"/>
      <c r="G344" s="198"/>
      <c r="H344" s="198"/>
    </row>
    <row r="345" spans="2:8">
      <c r="D345" s="339"/>
      <c r="E345" s="339"/>
      <c r="G345" s="198"/>
      <c r="H345" s="198"/>
    </row>
    <row r="346" spans="2:8">
      <c r="C346" s="87"/>
      <c r="D346" s="198"/>
      <c r="E346" s="198"/>
      <c r="F346" s="198"/>
      <c r="G346"/>
      <c r="H346"/>
    </row>
    <row r="347" spans="2:8">
      <c r="C347" s="87"/>
      <c r="D347" s="198"/>
      <c r="E347" s="198"/>
      <c r="F347" s="198"/>
      <c r="G347"/>
      <c r="H347"/>
    </row>
    <row r="348" spans="2:8">
      <c r="C348" s="198"/>
      <c r="D348" s="198"/>
      <c r="E348" s="198"/>
      <c r="F348" s="198"/>
      <c r="G348"/>
      <c r="H348"/>
    </row>
    <row r="349" spans="2:8" ht="19.5" customHeight="1">
      <c r="C349" s="198"/>
      <c r="D349" s="198"/>
      <c r="E349" s="198"/>
      <c r="F349" s="198"/>
      <c r="G349"/>
      <c r="H349"/>
    </row>
    <row r="350" spans="2:8" ht="21" customHeight="1">
      <c r="B350" s="423"/>
      <c r="C350" s="198"/>
      <c r="D350" s="198"/>
      <c r="E350" s="198"/>
      <c r="F350" s="198"/>
      <c r="G350"/>
      <c r="H350"/>
    </row>
    <row r="351" spans="2:8" ht="24" customHeight="1">
      <c r="C351" s="423"/>
      <c r="F351" s="198"/>
      <c r="G351" s="198"/>
      <c r="H351" s="198"/>
    </row>
    <row r="352" spans="2:8" ht="24" customHeight="1">
      <c r="F352" s="198"/>
      <c r="G352" s="198"/>
      <c r="H352" s="198"/>
    </row>
    <row r="353" spans="3:8" ht="24.75" customHeight="1">
      <c r="C353" s="437"/>
      <c r="F353" s="198"/>
      <c r="G353" s="198"/>
      <c r="H353" s="198"/>
    </row>
    <row r="354" spans="3:8" ht="15" customHeight="1">
      <c r="G354" s="198"/>
      <c r="H354" s="198"/>
    </row>
    <row r="355" spans="3:8" ht="18" customHeight="1">
      <c r="C355" s="438"/>
      <c r="F355"/>
      <c r="G355" s="198"/>
      <c r="H355" s="198"/>
    </row>
    <row r="356" spans="3:8" ht="18" customHeight="1">
      <c r="G356" s="198"/>
      <c r="H356" s="198"/>
    </row>
    <row r="357" spans="3:8" ht="16.5" customHeight="1">
      <c r="F357"/>
      <c r="G357" s="198"/>
      <c r="H357" s="198"/>
    </row>
    <row r="358" spans="3:8">
      <c r="F358"/>
      <c r="G358" s="198"/>
      <c r="H358" s="198"/>
    </row>
    <row r="359" spans="3:8" ht="18.75" customHeight="1">
      <c r="G359" s="198"/>
      <c r="H359" s="198"/>
    </row>
    <row r="360" spans="3:8">
      <c r="G360" s="198"/>
      <c r="H360" s="198"/>
    </row>
    <row r="361" spans="3:8" ht="16.5" customHeight="1">
      <c r="G361" s="198"/>
      <c r="H361" s="198"/>
    </row>
    <row r="362" spans="3:8" ht="16.5" customHeight="1">
      <c r="G362" s="198"/>
      <c r="H362" s="198"/>
    </row>
    <row r="363" spans="3:8">
      <c r="G363" s="198"/>
      <c r="H363" s="198"/>
    </row>
    <row r="364" spans="3:8">
      <c r="G364" s="198"/>
      <c r="H364" s="198"/>
    </row>
    <row r="365" spans="3:8">
      <c r="G365" s="198"/>
      <c r="H365" s="198"/>
    </row>
    <row r="366" spans="3:8" ht="17.25" customHeight="1">
      <c r="G366" s="198"/>
      <c r="H366" s="198"/>
    </row>
    <row r="367" spans="3:8">
      <c r="G367" s="198"/>
      <c r="H367" s="198"/>
    </row>
    <row r="368" spans="3:8">
      <c r="G368" s="198"/>
      <c r="H368" s="198"/>
    </row>
    <row r="369" spans="3:8" ht="16.5" customHeight="1">
      <c r="G369" s="198"/>
      <c r="H369" s="198"/>
    </row>
    <row r="370" spans="3:8">
      <c r="G370" s="198"/>
      <c r="H370" s="198"/>
    </row>
    <row r="371" spans="3:8">
      <c r="G371" s="198"/>
      <c r="H371" s="198"/>
    </row>
    <row r="372" spans="3:8">
      <c r="G372" s="198"/>
      <c r="H372" s="198"/>
    </row>
    <row r="373" spans="3:8">
      <c r="F373"/>
      <c r="G373" s="198"/>
      <c r="H373" s="198"/>
    </row>
    <row r="374" spans="3:8">
      <c r="F374"/>
      <c r="G374" s="198"/>
      <c r="H374" s="198"/>
    </row>
    <row r="375" spans="3:8">
      <c r="G375" s="198"/>
      <c r="H375" s="198"/>
    </row>
    <row r="376" spans="3:8">
      <c r="C376" s="423"/>
      <c r="D376" s="423"/>
      <c r="E376" s="423"/>
      <c r="G376" s="198"/>
      <c r="H376" s="198"/>
    </row>
    <row r="377" spans="3:8" ht="16.5" customHeight="1">
      <c r="G377" s="198"/>
      <c r="H377" s="198"/>
    </row>
    <row r="378" spans="3:8">
      <c r="G378" s="198"/>
      <c r="H378" s="198"/>
    </row>
    <row r="379" spans="3:8">
      <c r="G379" s="198"/>
      <c r="H379" s="198"/>
    </row>
    <row r="380" spans="3:8">
      <c r="C380" s="3"/>
      <c r="D380" s="3"/>
      <c r="E380" s="3"/>
      <c r="G380" s="198"/>
      <c r="H380" s="198"/>
    </row>
    <row r="381" spans="3:8">
      <c r="G381" s="198"/>
      <c r="H381" s="198"/>
    </row>
    <row r="382" spans="3:8" ht="15" customHeight="1">
      <c r="G382" s="198"/>
      <c r="H382" s="198"/>
    </row>
    <row r="383" spans="3:8" ht="15" customHeight="1"/>
    <row r="384" spans="3:8" ht="15.75" customHeight="1"/>
    <row r="385" ht="15.75" customHeight="1"/>
    <row r="386" ht="19.5" customHeight="1"/>
    <row r="388" ht="21" customHeight="1"/>
    <row r="390" ht="21.75" customHeight="1"/>
    <row r="391" ht="18.75" customHeight="1"/>
    <row r="393" hidden="1"/>
  </sheetData>
  <sortState xmlns:xlrd2="http://schemas.microsoft.com/office/spreadsheetml/2017/richdata2" ref="G113:H160">
    <sortCondition ref="G112:G160"/>
  </sortState>
  <phoneticPr fontId="12" type="noConversion"/>
  <pageMargins left="0.51181102362204722" right="0.31496062992125984" top="0.55118110236220474" bottom="0.55118110236220474" header="0.31496062992125984" footer="0.31496062992125984"/>
  <pageSetup scale="55" orientation="landscape" r:id="rId1"/>
  <rowBreaks count="1" manualBreakCount="1">
    <brk id="266" max="1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DB2A-DDCA-4DDE-9FDD-ADF6C0E36728}">
  <sheetPr codeName="Hoja2">
    <tabColor rgb="FFFFFF00"/>
  </sheetPr>
  <dimension ref="K20:K23"/>
  <sheetViews>
    <sheetView workbookViewId="0">
      <selection activeCell="K21" sqref="K21:K22"/>
    </sheetView>
  </sheetViews>
  <sheetFormatPr baseColWidth="10" defaultRowHeight="15"/>
  <sheetData>
    <row r="20" spans="11:11">
      <c r="K20">
        <v>151765177</v>
      </c>
    </row>
    <row r="21" spans="11:11">
      <c r="K21">
        <v>-3130000</v>
      </c>
    </row>
    <row r="22" spans="11:11">
      <c r="K22">
        <v>-2408000</v>
      </c>
    </row>
    <row r="23" spans="11:11">
      <c r="K23">
        <f>SUM(K20:K22)</f>
        <v>146227177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AD73-D8F8-42AE-80A2-5ED4A1077F47}">
  <sheetPr codeName="Hoja3"/>
  <dimension ref="B2:G45"/>
  <sheetViews>
    <sheetView topLeftCell="A27" workbookViewId="0">
      <selection activeCell="H26" sqref="H26"/>
    </sheetView>
  </sheetViews>
  <sheetFormatPr baseColWidth="10" defaultColWidth="11.5" defaultRowHeight="13" customHeight="1"/>
  <cols>
    <col min="1" max="1" width="8.1640625" style="760" customWidth="1"/>
    <col min="2" max="2" width="65.83203125" style="760" bestFit="1" customWidth="1"/>
    <col min="3" max="3" width="11.5" style="760"/>
    <col min="4" max="4" width="13.5" style="760" customWidth="1"/>
    <col min="5" max="5" width="16.83203125" style="760" customWidth="1"/>
    <col min="6" max="16384" width="11.5" style="760"/>
  </cols>
  <sheetData>
    <row r="2" spans="2:7" ht="13" customHeight="1">
      <c r="B2" s="2499" t="s">
        <v>784</v>
      </c>
      <c r="C2" s="759"/>
    </row>
    <row r="3" spans="2:7" ht="13" customHeight="1">
      <c r="B3" s="2499"/>
      <c r="C3" s="761">
        <v>2025</v>
      </c>
      <c r="D3" s="759"/>
    </row>
    <row r="4" spans="2:7" ht="13" customHeight="1">
      <c r="B4" s="2499"/>
      <c r="C4" s="762" t="s">
        <v>769</v>
      </c>
      <c r="D4" s="759"/>
    </row>
    <row r="5" spans="2:7" ht="11" customHeight="1">
      <c r="B5" s="763" t="s">
        <v>763</v>
      </c>
      <c r="C5" s="764"/>
      <c r="D5" s="765"/>
    </row>
    <row r="6" spans="2:7" ht="11" customHeight="1" thickBot="1">
      <c r="B6" s="766" t="s">
        <v>774</v>
      </c>
      <c r="C6" s="767" t="e">
        <f>+'Flujo Consolidado por mes'!L12</f>
        <v>#REF!</v>
      </c>
      <c r="D6" s="765"/>
      <c r="E6" s="787" t="s">
        <v>948</v>
      </c>
      <c r="F6" s="780"/>
      <c r="G6"/>
    </row>
    <row r="7" spans="2:7" ht="11" customHeight="1" thickBot="1">
      <c r="B7" s="766" t="s">
        <v>783</v>
      </c>
      <c r="C7" s="768"/>
      <c r="D7" s="765"/>
      <c r="E7" s="781" t="s">
        <v>532</v>
      </c>
      <c r="F7" s="782" t="s">
        <v>735</v>
      </c>
      <c r="G7" s="782" t="s">
        <v>964</v>
      </c>
    </row>
    <row r="8" spans="2:7" ht="11" customHeight="1" thickBot="1">
      <c r="B8" s="766" t="s">
        <v>770</v>
      </c>
      <c r="C8" s="769">
        <f>-'Flujo Consolidado por mes'!L15</f>
        <v>-2995748.8326180261</v>
      </c>
      <c r="D8" s="765"/>
      <c r="E8" s="783" t="s">
        <v>533</v>
      </c>
      <c r="F8" s="784">
        <v>422165</v>
      </c>
      <c r="G8" s="784">
        <v>220817</v>
      </c>
    </row>
    <row r="9" spans="2:7" ht="11" customHeight="1" thickBot="1">
      <c r="B9" s="766" t="s">
        <v>771</v>
      </c>
      <c r="C9" s="769">
        <f>-'Flujo Consolidado por mes'!L16</f>
        <v>-1085852.4843347638</v>
      </c>
      <c r="D9" s="765"/>
      <c r="E9" s="783" t="s">
        <v>534</v>
      </c>
      <c r="F9" s="784">
        <v>134500</v>
      </c>
      <c r="G9"/>
    </row>
    <row r="10" spans="2:7" ht="11" customHeight="1" thickBot="1">
      <c r="B10" s="766" t="s">
        <v>772</v>
      </c>
      <c r="C10" s="769">
        <f>-'Flujo Consolidado por mes'!L17</f>
        <v>-507164.321888412</v>
      </c>
      <c r="D10" s="765"/>
      <c r="E10" s="783" t="s">
        <v>535</v>
      </c>
      <c r="F10" s="784">
        <v>158418</v>
      </c>
      <c r="G10"/>
    </row>
    <row r="11" spans="2:7" ht="11" customHeight="1" thickBot="1">
      <c r="B11" s="766" t="s">
        <v>773</v>
      </c>
      <c r="C11" s="769" t="e">
        <f>-'Flujo Redco Chile'!#REF!</f>
        <v>#REF!</v>
      </c>
      <c r="D11" s="765"/>
      <c r="E11" s="783" t="s">
        <v>536</v>
      </c>
      <c r="F11" s="784">
        <v>468406</v>
      </c>
      <c r="G11"/>
    </row>
    <row r="12" spans="2:7" ht="11" customHeight="1" thickBot="1">
      <c r="B12" s="766" t="s">
        <v>775</v>
      </c>
      <c r="C12" s="769"/>
      <c r="D12" s="765"/>
      <c r="E12" s="785" t="s">
        <v>230</v>
      </c>
      <c r="F12" s="786">
        <f>SUM(F8:F11)</f>
        <v>1183489</v>
      </c>
      <c r="G12"/>
    </row>
    <row r="13" spans="2:7" ht="12" customHeight="1" thickBot="1">
      <c r="B13" s="766" t="s">
        <v>764</v>
      </c>
      <c r="C13" s="770">
        <v>0</v>
      </c>
      <c r="D13" s="765"/>
    </row>
    <row r="14" spans="2:7" ht="15" customHeight="1" thickBot="1">
      <c r="B14" s="888" t="s">
        <v>765</v>
      </c>
      <c r="C14" s="889" t="e">
        <f>SUM(C5:C13)</f>
        <v>#REF!</v>
      </c>
      <c r="D14" s="886" t="e">
        <f>SUM(C14/C6)</f>
        <v>#REF!</v>
      </c>
    </row>
    <row r="15" spans="2:7" ht="15" customHeight="1">
      <c r="B15" s="763"/>
      <c r="C15" s="767"/>
      <c r="D15" s="875"/>
    </row>
    <row r="16" spans="2:7" ht="15" customHeight="1">
      <c r="B16" s="763" t="s">
        <v>940</v>
      </c>
      <c r="C16" s="767"/>
      <c r="D16" s="875"/>
    </row>
    <row r="17" spans="2:5" ht="8.25" customHeight="1">
      <c r="B17" s="766" t="s">
        <v>941</v>
      </c>
      <c r="C17" s="769">
        <f>-'Flujo Consolidado por mes'!L23</f>
        <v>-703088.82618025749</v>
      </c>
      <c r="D17" s="875"/>
    </row>
    <row r="18" spans="2:5" ht="12" customHeight="1" thickBot="1">
      <c r="B18" s="877" t="s">
        <v>778</v>
      </c>
      <c r="C18" s="770">
        <f>-'Flujo Consolidado por mes'!L25</f>
        <v>-134744.68454935623</v>
      </c>
      <c r="D18" s="773"/>
    </row>
    <row r="19" spans="2:5" ht="11" customHeight="1" thickBot="1">
      <c r="B19" s="876" t="s">
        <v>940</v>
      </c>
      <c r="C19" s="772">
        <f>SUM(C17:C18)</f>
        <v>-837833.51072961371</v>
      </c>
      <c r="D19" s="886" t="e">
        <f>SUM(C19/C6)*-1</f>
        <v>#REF!</v>
      </c>
    </row>
    <row r="20" spans="2:5" ht="11" customHeight="1" thickBot="1">
      <c r="B20" s="887"/>
      <c r="C20" s="879"/>
      <c r="D20" s="773"/>
    </row>
    <row r="21" spans="2:5" ht="14.25" customHeight="1" thickBot="1">
      <c r="B21" s="890" t="s">
        <v>949</v>
      </c>
      <c r="C21" s="889" t="e">
        <f>SUM(C14+C19)</f>
        <v>#REF!</v>
      </c>
      <c r="D21" s="886" t="e">
        <f>SUM(C21/C6)</f>
        <v>#REF!</v>
      </c>
    </row>
    <row r="22" spans="2:5" ht="11" customHeight="1">
      <c r="B22" s="763"/>
      <c r="C22" s="769"/>
      <c r="D22" s="773"/>
    </row>
    <row r="23" spans="2:5" ht="11" customHeight="1">
      <c r="B23" s="763" t="s">
        <v>766</v>
      </c>
      <c r="C23" s="774"/>
      <c r="D23" s="773"/>
    </row>
    <row r="24" spans="2:5" ht="11" customHeight="1">
      <c r="B24" s="766" t="s">
        <v>785</v>
      </c>
      <c r="C24" s="769">
        <f>+'Flujo Consolidado por mes'!L31</f>
        <v>21714.461373390557</v>
      </c>
      <c r="D24" s="765"/>
    </row>
    <row r="25" spans="2:5" ht="11" customHeight="1">
      <c r="B25" s="766" t="s">
        <v>945</v>
      </c>
      <c r="C25" s="881">
        <f>-'Flujo Redco Chile'!F48</f>
        <v>0</v>
      </c>
      <c r="D25" s="765"/>
    </row>
    <row r="26" spans="2:5" ht="11" customHeight="1">
      <c r="B26" s="766" t="s">
        <v>777</v>
      </c>
      <c r="C26" s="881">
        <f>-'Flujo Redco Chile'!F45-'Flujo Redco Chile'!F46-'Flujo Redco Chile'!F47</f>
        <v>-31866.890557939911</v>
      </c>
      <c r="D26" s="765"/>
    </row>
    <row r="27" spans="2:5" ht="11" customHeight="1" thickBot="1">
      <c r="B27" s="766" t="s">
        <v>963</v>
      </c>
      <c r="C27" s="881">
        <f>+'Flujo Consolidado por mes'!L33</f>
        <v>695515.27575107291</v>
      </c>
      <c r="D27" s="765"/>
    </row>
    <row r="28" spans="2:5" ht="13.5" customHeight="1" thickBot="1">
      <c r="B28" s="771" t="s">
        <v>767</v>
      </c>
      <c r="C28" s="775">
        <f>SUM(C24:C27)</f>
        <v>685362.84656652354</v>
      </c>
      <c r="D28" s="875"/>
      <c r="E28" s="776"/>
    </row>
    <row r="29" spans="2:5" ht="9" customHeight="1">
      <c r="B29" s="763"/>
      <c r="C29" s="767"/>
      <c r="D29" s="773"/>
      <c r="E29" s="776"/>
    </row>
    <row r="30" spans="2:5" ht="11" customHeight="1">
      <c r="B30" s="763" t="s">
        <v>943</v>
      </c>
      <c r="C30" s="767"/>
      <c r="D30" s="773"/>
      <c r="E30" s="776"/>
    </row>
    <row r="31" spans="2:5" ht="11" customHeight="1">
      <c r="B31" s="766" t="s">
        <v>780</v>
      </c>
      <c r="C31" s="769">
        <f>+'Flujo Redco Chile'!F32</f>
        <v>146563.30150214591</v>
      </c>
      <c r="D31" s="765"/>
    </row>
    <row r="32" spans="2:5" ht="12.75" customHeight="1">
      <c r="B32" s="766" t="s">
        <v>776</v>
      </c>
      <c r="C32" s="769">
        <f>+'Flujo Redco Chile'!F35-'Flujo Redco Chile'!F55</f>
        <v>0</v>
      </c>
      <c r="D32" s="765"/>
    </row>
    <row r="33" spans="2:5" ht="12.75" customHeight="1">
      <c r="B33" s="766" t="s">
        <v>779</v>
      </c>
      <c r="C33" s="769">
        <f>-'Flujo Redco Chile'!F53</f>
        <v>-140964.7092274678</v>
      </c>
      <c r="D33" s="882"/>
    </row>
    <row r="34" spans="2:5" ht="13.5" customHeight="1">
      <c r="B34" s="766" t="s">
        <v>794</v>
      </c>
      <c r="C34" s="769">
        <f>+'Flujo Redco Chile'!F36-'Flujo Redco Chile'!F52</f>
        <v>-14882.192060085836</v>
      </c>
      <c r="D34" s="765"/>
    </row>
    <row r="35" spans="2:5" ht="13.5" customHeight="1" thickBot="1">
      <c r="B35" s="766" t="s">
        <v>942</v>
      </c>
      <c r="C35" s="769">
        <f>-'Flujo Redco Chile'!F54+'Flujo Redco Chile'!F37</f>
        <v>0</v>
      </c>
      <c r="D35" s="765"/>
    </row>
    <row r="36" spans="2:5" ht="15" customHeight="1" thickBot="1">
      <c r="B36" s="771" t="s">
        <v>786</v>
      </c>
      <c r="C36" s="775">
        <f>SUM(C31:C35)</f>
        <v>-9283.5997854077214</v>
      </c>
      <c r="D36" s="875"/>
      <c r="E36" s="880"/>
    </row>
    <row r="37" spans="2:5" ht="11" customHeight="1" thickBot="1">
      <c r="C37" s="767"/>
      <c r="D37" s="765"/>
    </row>
    <row r="38" spans="2:5" ht="12" customHeight="1" thickBot="1">
      <c r="B38" s="878" t="s">
        <v>781</v>
      </c>
      <c r="C38" s="879">
        <f>+'Flujo Consolidado por mes'!L30</f>
        <v>930965.53218884126</v>
      </c>
      <c r="D38" s="883"/>
    </row>
    <row r="39" spans="2:5" ht="12.75" customHeight="1" thickBot="1">
      <c r="B39" s="878" t="s">
        <v>946</v>
      </c>
      <c r="C39" s="879">
        <f>-'Flujo Consolidado por mes'!L37</f>
        <v>-826022.35300429189</v>
      </c>
      <c r="D39" s="765"/>
      <c r="E39" s="884"/>
    </row>
    <row r="40" spans="2:5" ht="12.75" customHeight="1" thickBot="1">
      <c r="B40" s="891" t="s">
        <v>947</v>
      </c>
      <c r="C40" s="885">
        <f>SUM(C38:C39)</f>
        <v>104943.17918454937</v>
      </c>
      <c r="D40" s="765"/>
    </row>
    <row r="41" spans="2:5" ht="11" customHeight="1">
      <c r="B41" s="766"/>
      <c r="C41" s="769"/>
      <c r="D41" s="765"/>
    </row>
    <row r="42" spans="2:5" ht="11" customHeight="1">
      <c r="B42" s="777" t="s">
        <v>782</v>
      </c>
      <c r="C42" s="769" t="e">
        <f>SUM(C14+C19+C28+C36+C40)</f>
        <v>#REF!</v>
      </c>
      <c r="D42" s="765"/>
    </row>
    <row r="43" spans="2:5" ht="12.75" customHeight="1" thickBot="1">
      <c r="B43" s="777" t="s">
        <v>768</v>
      </c>
      <c r="C43" s="770">
        <f>+'Flujo Consolidado por mes'!L47</f>
        <v>253992.16085170198</v>
      </c>
      <c r="D43" s="765"/>
    </row>
    <row r="44" spans="2:5" ht="13" customHeight="1" thickBot="1">
      <c r="B44" s="771" t="s">
        <v>944</v>
      </c>
      <c r="C44" s="778" t="e">
        <f>SUM(C42:C43)</f>
        <v>#REF!</v>
      </c>
      <c r="D44" s="776"/>
    </row>
    <row r="45" spans="2:5" ht="13" customHeight="1">
      <c r="B45" s="779"/>
      <c r="C45" s="776" t="e">
        <f>SUM(C44-'Flujo Consolidado por mes'!L48)</f>
        <v>#REF!</v>
      </c>
    </row>
  </sheetData>
  <mergeCells count="1">
    <mergeCell ref="B2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C1CF-332C-41EC-84E8-B0C642DF4A34}">
  <sheetPr codeName="Hoja39"/>
  <dimension ref="A1:R1605"/>
  <sheetViews>
    <sheetView showGridLines="0" zoomScale="80" zoomScaleNormal="80" workbookViewId="0">
      <selection activeCell="L31" sqref="L31"/>
    </sheetView>
  </sheetViews>
  <sheetFormatPr baseColWidth="10" defaultColWidth="11.5" defaultRowHeight="13" outlineLevelCol="1"/>
  <cols>
    <col min="1" max="1" width="16.5" style="1845" bestFit="1" customWidth="1"/>
    <col min="2" max="2" width="11.5" style="1845" bestFit="1" customWidth="1"/>
    <col min="3" max="14" width="18" style="1845" bestFit="1" customWidth="1" outlineLevel="1"/>
    <col min="15" max="15" width="13.5" style="1845" bestFit="1" customWidth="1"/>
    <col min="16" max="16" width="12.5" style="1845" bestFit="1" customWidth="1"/>
    <col min="17" max="16384" width="11.5" style="1845"/>
  </cols>
  <sheetData>
    <row r="1" spans="1:17" ht="15">
      <c r="A1"/>
      <c r="B1"/>
      <c r="H1"/>
    </row>
    <row r="2" spans="1:17">
      <c r="A2" s="1844" t="s">
        <v>1335</v>
      </c>
      <c r="B2" s="1845" t="s">
        <v>1485</v>
      </c>
    </row>
    <row r="3" spans="1:17" ht="15">
      <c r="A3"/>
      <c r="B3"/>
      <c r="C3"/>
      <c r="D3"/>
      <c r="E3"/>
      <c r="I3"/>
      <c r="J3"/>
      <c r="K3"/>
      <c r="L3"/>
      <c r="M3"/>
      <c r="N3"/>
    </row>
    <row r="4" spans="1:17">
      <c r="A4" s="1844" t="s">
        <v>1481</v>
      </c>
      <c r="C4" s="1844" t="s">
        <v>1482</v>
      </c>
    </row>
    <row r="5" spans="1:17">
      <c r="A5" s="1844" t="s">
        <v>1483</v>
      </c>
      <c r="B5" s="1844" t="s">
        <v>1484</v>
      </c>
      <c r="C5" s="1845" t="s">
        <v>1475</v>
      </c>
      <c r="D5" s="1845" t="s">
        <v>1476</v>
      </c>
      <c r="E5" s="1845" t="s">
        <v>1477</v>
      </c>
      <c r="F5" s="1845" t="s">
        <v>1478</v>
      </c>
      <c r="G5" s="1845" t="s">
        <v>1479</v>
      </c>
      <c r="H5" s="1845" t="s">
        <v>1480</v>
      </c>
      <c r="I5" s="1845" t="s">
        <v>1532</v>
      </c>
      <c r="J5" s="1845" t="s">
        <v>1811</v>
      </c>
      <c r="K5" s="1845" t="s">
        <v>1812</v>
      </c>
      <c r="L5" s="1845" t="s">
        <v>1864</v>
      </c>
      <c r="M5" s="1845" t="s">
        <v>1902</v>
      </c>
      <c r="N5" s="1845" t="s">
        <v>1929</v>
      </c>
      <c r="O5" s="1845" t="s">
        <v>1474</v>
      </c>
      <c r="P5" s="1846"/>
    </row>
    <row r="6" spans="1:17">
      <c r="A6" s="1845" t="s">
        <v>1465</v>
      </c>
      <c r="C6" s="1846">
        <v>55815.878999999994</v>
      </c>
      <c r="D6" s="1846">
        <v>41890.3626</v>
      </c>
      <c r="E6" s="1846">
        <v>48925.262900000009</v>
      </c>
      <c r="F6" s="1846">
        <v>65992.216499999995</v>
      </c>
      <c r="G6" s="1846">
        <v>58191.89160000001</v>
      </c>
      <c r="H6" s="1846">
        <v>75589.437699999995</v>
      </c>
      <c r="I6" s="1846">
        <v>52328.506399999998</v>
      </c>
      <c r="J6" s="1846">
        <v>104511.26710000003</v>
      </c>
      <c r="K6" s="1846">
        <v>79579.002200000003</v>
      </c>
      <c r="L6" s="1846">
        <v>104137.09539999999</v>
      </c>
      <c r="M6" s="1846">
        <v>41028.985900000007</v>
      </c>
      <c r="N6" s="1846">
        <v>77538.834900000016</v>
      </c>
      <c r="O6" s="1846">
        <v>805528.7422000001</v>
      </c>
      <c r="P6" s="1846"/>
    </row>
    <row r="7" spans="1:17">
      <c r="A7" s="1845" t="s">
        <v>1487</v>
      </c>
      <c r="C7" s="1846">
        <v>12027.718800000002</v>
      </c>
      <c r="D7" s="1846">
        <v>22080.861599999997</v>
      </c>
      <c r="E7" s="1846">
        <v>21292.178199999995</v>
      </c>
      <c r="F7" s="1846">
        <v>30224.079300000001</v>
      </c>
      <c r="G7" s="1846">
        <v>13707.694299999999</v>
      </c>
      <c r="H7" s="1846">
        <v>24521.8681</v>
      </c>
      <c r="I7" s="1846">
        <v>25233.8874</v>
      </c>
      <c r="J7" s="1846">
        <v>32104.548400000003</v>
      </c>
      <c r="K7" s="1846">
        <v>21154.015900000002</v>
      </c>
      <c r="L7" s="1846">
        <v>19672.344399999998</v>
      </c>
      <c r="M7" s="1846">
        <v>18556.3842</v>
      </c>
      <c r="N7" s="1846">
        <v>20054.299299999999</v>
      </c>
      <c r="O7" s="1846">
        <v>260629.8799</v>
      </c>
      <c r="P7" s="1846"/>
    </row>
    <row r="8" spans="1:17">
      <c r="A8" s="1845" t="s">
        <v>490</v>
      </c>
      <c r="C8" s="1846">
        <v>9720</v>
      </c>
      <c r="D8" s="1846">
        <v>2711</v>
      </c>
      <c r="E8" s="1846">
        <v>9675</v>
      </c>
      <c r="F8" s="1846">
        <v>17383</v>
      </c>
      <c r="G8" s="1846">
        <v>11056</v>
      </c>
      <c r="H8" s="1846">
        <v>8453</v>
      </c>
      <c r="I8" s="1846">
        <v>7808</v>
      </c>
      <c r="J8" s="1846">
        <v>6464</v>
      </c>
      <c r="K8" s="1846">
        <v>9114</v>
      </c>
      <c r="L8" s="1846">
        <v>13294</v>
      </c>
      <c r="M8" s="1846">
        <v>13325</v>
      </c>
      <c r="N8" s="1846">
        <v>21627</v>
      </c>
      <c r="O8" s="1846">
        <v>130630</v>
      </c>
      <c r="P8" s="1846"/>
    </row>
    <row r="9" spans="1:17">
      <c r="A9" s="1845" t="s">
        <v>229</v>
      </c>
      <c r="C9" s="1846">
        <v>0</v>
      </c>
      <c r="D9" s="1846">
        <v>13948.4979</v>
      </c>
      <c r="E9" s="1846">
        <v>13948.4979</v>
      </c>
      <c r="F9" s="1846">
        <v>13948.4979</v>
      </c>
      <c r="G9" s="1846">
        <v>13948.4979</v>
      </c>
      <c r="H9" s="1846">
        <v>13948.4979</v>
      </c>
      <c r="I9" s="1846">
        <v>13948.4979</v>
      </c>
      <c r="J9" s="1846">
        <v>13948.4979</v>
      </c>
      <c r="K9" s="1846">
        <v>13948.4979</v>
      </c>
      <c r="L9" s="1846">
        <v>0</v>
      </c>
      <c r="M9" s="1846">
        <v>0</v>
      </c>
      <c r="N9" s="1846">
        <v>0</v>
      </c>
      <c r="O9" s="1846">
        <v>111587.9832</v>
      </c>
      <c r="P9" s="1846"/>
    </row>
    <row r="10" spans="1:17">
      <c r="A10" s="1845" t="s">
        <v>1474</v>
      </c>
      <c r="C10" s="1846">
        <v>77563.597799999989</v>
      </c>
      <c r="D10" s="1846">
        <v>80630.722099999999</v>
      </c>
      <c r="E10" s="1846">
        <v>93840.938999999998</v>
      </c>
      <c r="F10" s="1846">
        <v>127547.79369999999</v>
      </c>
      <c r="G10" s="1846">
        <v>96904.083800000008</v>
      </c>
      <c r="H10" s="1846">
        <v>122512.80369999999</v>
      </c>
      <c r="I10" s="1846">
        <v>99318.891700000007</v>
      </c>
      <c r="J10" s="1846">
        <v>157028.31340000004</v>
      </c>
      <c r="K10" s="1846">
        <v>123795.516</v>
      </c>
      <c r="L10" s="1846">
        <v>137103.43979999999</v>
      </c>
      <c r="M10" s="1846">
        <v>72910.3701</v>
      </c>
      <c r="N10" s="1846">
        <v>119220.13420000001</v>
      </c>
      <c r="O10" s="1846">
        <v>1308376.6053000002</v>
      </c>
      <c r="P10" s="1846"/>
    </row>
    <row r="11" spans="1:17" ht="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7" ht="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ht="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s="2337">
        <f>+N13-M13</f>
        <v>0</v>
      </c>
      <c r="Q13" s="1846"/>
    </row>
    <row r="14" spans="1:17" ht="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s="2337"/>
    </row>
    <row r="15" spans="1:17" ht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s="2337">
        <f t="shared" ref="P15:P76" si="0">+N15-M15</f>
        <v>0</v>
      </c>
    </row>
    <row r="16" spans="1:17" ht="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s="2337">
        <f t="shared" si="0"/>
        <v>0</v>
      </c>
    </row>
    <row r="17" spans="1:18" ht="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 s="2337">
        <f t="shared" si="0"/>
        <v>0</v>
      </c>
    </row>
    <row r="18" spans="1:18" ht="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s="2337"/>
    </row>
    <row r="19" spans="1:18" ht="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s="2337">
        <f t="shared" si="0"/>
        <v>0</v>
      </c>
    </row>
    <row r="20" spans="1:18" ht="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2337"/>
      <c r="Q20" s="1846"/>
      <c r="R20" s="2334"/>
    </row>
    <row r="21" spans="1:18" ht="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2337"/>
    </row>
    <row r="22" spans="1:18" ht="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s="2337">
        <f t="shared" si="0"/>
        <v>0</v>
      </c>
    </row>
    <row r="23" spans="1:18" ht="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 s="2337">
        <f t="shared" si="0"/>
        <v>0</v>
      </c>
    </row>
    <row r="24" spans="1:18" ht="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s="2337">
        <f t="shared" si="0"/>
        <v>0</v>
      </c>
    </row>
    <row r="25" spans="1:18" ht="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 s="2337"/>
    </row>
    <row r="26" spans="1:18" ht="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s="2337"/>
    </row>
    <row r="27" spans="1:18" ht="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2337"/>
    </row>
    <row r="28" spans="1:18" ht="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s="2337"/>
    </row>
    <row r="29" spans="1:18" ht="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s="2337">
        <f t="shared" si="0"/>
        <v>0</v>
      </c>
    </row>
    <row r="30" spans="1:18" ht="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 s="2337">
        <f t="shared" si="0"/>
        <v>0</v>
      </c>
    </row>
    <row r="31" spans="1:18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2337">
        <f t="shared" si="0"/>
        <v>0</v>
      </c>
    </row>
    <row r="32" spans="1:18" ht="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2337"/>
    </row>
    <row r="33" spans="1:16" ht="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2337">
        <f t="shared" si="0"/>
        <v>0</v>
      </c>
    </row>
    <row r="34" spans="1:16" ht="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s="2337">
        <f t="shared" si="0"/>
        <v>0</v>
      </c>
    </row>
    <row r="35" spans="1:16" ht="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s="2337"/>
    </row>
    <row r="36" spans="1:16" ht="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s="2337"/>
    </row>
    <row r="37" spans="1:16" ht="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 s="2337"/>
    </row>
    <row r="38" spans="1:16" ht="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 s="2337">
        <f t="shared" si="0"/>
        <v>0</v>
      </c>
    </row>
    <row r="39" spans="1:16" ht="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s="2337">
        <f t="shared" si="0"/>
        <v>0</v>
      </c>
    </row>
    <row r="40" spans="1:16" ht="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s="2337">
        <f t="shared" si="0"/>
        <v>0</v>
      </c>
    </row>
    <row r="41" spans="1:16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 s="2337"/>
    </row>
    <row r="42" spans="1:16" ht="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 s="2337">
        <f t="shared" si="0"/>
        <v>0</v>
      </c>
    </row>
    <row r="43" spans="1:16" ht="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s="2337">
        <f t="shared" si="0"/>
        <v>0</v>
      </c>
    </row>
    <row r="44" spans="1:16" ht="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2337">
        <f t="shared" si="0"/>
        <v>0</v>
      </c>
    </row>
    <row r="45" spans="1:16" ht="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2337"/>
    </row>
    <row r="46" spans="1:16" ht="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2337"/>
    </row>
    <row r="47" spans="1:16" ht="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2337"/>
    </row>
    <row r="48" spans="1:16" ht="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2337"/>
    </row>
    <row r="49" spans="1:16" ht="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2337">
        <f t="shared" si="0"/>
        <v>0</v>
      </c>
    </row>
    <row r="50" spans="1:16" ht="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2337"/>
    </row>
    <row r="51" spans="1:16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2337">
        <f t="shared" si="0"/>
        <v>0</v>
      </c>
    </row>
    <row r="52" spans="1:16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2337">
        <f t="shared" si="0"/>
        <v>0</v>
      </c>
    </row>
    <row r="53" spans="1:16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2337"/>
    </row>
    <row r="54" spans="1:16" ht="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2337"/>
    </row>
    <row r="55" spans="1:16" ht="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2337">
        <f t="shared" si="0"/>
        <v>0</v>
      </c>
    </row>
    <row r="56" spans="1:16" ht="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2337"/>
    </row>
    <row r="57" spans="1:16" ht="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2337"/>
    </row>
    <row r="58" spans="1:16" ht="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2337"/>
    </row>
    <row r="59" spans="1:16" ht="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2337">
        <f t="shared" si="0"/>
        <v>0</v>
      </c>
    </row>
    <row r="60" spans="1:16" ht="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2337"/>
    </row>
    <row r="61" spans="1:16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2337"/>
    </row>
    <row r="62" spans="1:16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2337"/>
    </row>
    <row r="63" spans="1:16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2337"/>
    </row>
    <row r="64" spans="1:16" ht="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2337"/>
    </row>
    <row r="65" spans="1:16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2337"/>
    </row>
    <row r="66" spans="1:16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2337"/>
    </row>
    <row r="67" spans="1:16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2337"/>
    </row>
    <row r="68" spans="1:16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2337"/>
    </row>
    <row r="69" spans="1:16" ht="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2337"/>
    </row>
    <row r="70" spans="1:16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2337">
        <f t="shared" si="0"/>
        <v>0</v>
      </c>
    </row>
    <row r="71" spans="1:16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2337"/>
    </row>
    <row r="72" spans="1:16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2337">
        <f t="shared" si="0"/>
        <v>0</v>
      </c>
    </row>
    <row r="73" spans="1:16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2337"/>
    </row>
    <row r="74" spans="1:16" ht="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2337"/>
    </row>
    <row r="75" spans="1:16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2337"/>
    </row>
    <row r="76" spans="1:16" ht="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2337">
        <f t="shared" si="0"/>
        <v>0</v>
      </c>
    </row>
    <row r="77" spans="1:16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2337"/>
    </row>
    <row r="78" spans="1:16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2337"/>
    </row>
    <row r="79" spans="1:16" ht="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2337"/>
    </row>
    <row r="80" spans="1:16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2337"/>
    </row>
    <row r="81" spans="1:16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2337"/>
    </row>
    <row r="82" spans="1:16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2337"/>
    </row>
    <row r="83" spans="1:16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2337"/>
    </row>
    <row r="84" spans="1:16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2337"/>
    </row>
    <row r="85" spans="1:16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2337"/>
    </row>
    <row r="86" spans="1:16" ht="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2337"/>
    </row>
    <row r="87" spans="1:16" ht="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2337"/>
    </row>
    <row r="88" spans="1:16" ht="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2337">
        <f t="shared" ref="P88:P91" si="1">+N88-M88</f>
        <v>0</v>
      </c>
    </row>
    <row r="89" spans="1:16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2337"/>
    </row>
    <row r="90" spans="1:16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2337"/>
    </row>
    <row r="91" spans="1:16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2337">
        <f t="shared" si="1"/>
        <v>0</v>
      </c>
    </row>
    <row r="92" spans="1:16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2337"/>
    </row>
    <row r="93" spans="1:16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2337"/>
    </row>
    <row r="94" spans="1:16" ht="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2337"/>
    </row>
    <row r="95" spans="1:16" ht="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2337"/>
    </row>
    <row r="96" spans="1:16" ht="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2337"/>
    </row>
    <row r="97" spans="1:16" ht="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2337"/>
    </row>
    <row r="98" spans="1:16" ht="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2337"/>
    </row>
    <row r="99" spans="1:16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2337"/>
    </row>
    <row r="100" spans="1:16" ht="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2337"/>
    </row>
    <row r="101" spans="1:16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2337"/>
    </row>
    <row r="102" spans="1:16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2337"/>
    </row>
    <row r="103" spans="1:16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2337"/>
    </row>
    <row r="104" spans="1:16" ht="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2337"/>
    </row>
    <row r="105" spans="1:16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2337"/>
    </row>
    <row r="106" spans="1:16" ht="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2337"/>
    </row>
    <row r="107" spans="1:16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2337"/>
    </row>
    <row r="108" spans="1:16" ht="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2337"/>
    </row>
    <row r="109" spans="1:16" ht="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2337"/>
    </row>
    <row r="110" spans="1:16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2337"/>
    </row>
    <row r="111" spans="1:16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2337"/>
    </row>
    <row r="112" spans="1:16" ht="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2337"/>
    </row>
    <row r="113" spans="1:16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2337"/>
    </row>
    <row r="114" spans="1:16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2337"/>
    </row>
    <row r="115" spans="1:16" ht="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2337"/>
    </row>
    <row r="116" spans="1:16" ht="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2337"/>
    </row>
    <row r="117" spans="1:16" ht="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2337"/>
    </row>
    <row r="118" spans="1:16" ht="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2337"/>
    </row>
    <row r="119" spans="1:16" ht="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2337"/>
    </row>
    <row r="120" spans="1:16" ht="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2337"/>
    </row>
    <row r="121" spans="1:16" ht="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2337"/>
    </row>
    <row r="122" spans="1:16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2337"/>
    </row>
    <row r="123" spans="1:16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2337"/>
    </row>
    <row r="124" spans="1:16" ht="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2337"/>
    </row>
    <row r="125" spans="1:16" ht="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2337"/>
    </row>
    <row r="126" spans="1:16" ht="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2337"/>
    </row>
    <row r="127" spans="1:16" ht="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2337"/>
    </row>
    <row r="128" spans="1:16" ht="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2337"/>
    </row>
    <row r="129" spans="1:16" ht="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2337"/>
    </row>
    <row r="130" spans="1:16" ht="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2337"/>
    </row>
    <row r="131" spans="1:16" ht="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2337"/>
    </row>
    <row r="132" spans="1:16" ht="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2337"/>
    </row>
    <row r="133" spans="1:16" ht="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2337"/>
    </row>
    <row r="134" spans="1:16" ht="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2337"/>
    </row>
    <row r="135" spans="1:16" ht="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2337"/>
    </row>
    <row r="136" spans="1:16" ht="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2337"/>
    </row>
    <row r="137" spans="1:16" ht="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2337"/>
    </row>
    <row r="138" spans="1:16" ht="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2337"/>
    </row>
    <row r="139" spans="1:16" ht="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2337"/>
    </row>
    <row r="140" spans="1:16" ht="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2337"/>
    </row>
    <row r="141" spans="1:16" ht="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2337"/>
    </row>
    <row r="142" spans="1:16" ht="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2337"/>
    </row>
    <row r="143" spans="1:16" ht="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2337"/>
    </row>
    <row r="144" spans="1:16" ht="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2337"/>
    </row>
    <row r="145" spans="1:16" ht="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2337"/>
    </row>
    <row r="146" spans="1:16" ht="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2337"/>
    </row>
    <row r="147" spans="1:16" ht="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2337"/>
    </row>
    <row r="148" spans="1:16" ht="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2337"/>
    </row>
    <row r="149" spans="1:16" ht="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2337"/>
    </row>
    <row r="150" spans="1:16" ht="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2337"/>
    </row>
    <row r="151" spans="1:16" ht="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2337"/>
    </row>
    <row r="152" spans="1:16" ht="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2337"/>
    </row>
    <row r="153" spans="1:16" ht="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2337"/>
    </row>
    <row r="154" spans="1:16" ht="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2337"/>
    </row>
    <row r="155" spans="1:16" ht="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2337"/>
    </row>
    <row r="156" spans="1:16" ht="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2337"/>
    </row>
    <row r="157" spans="1:16" ht="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2337"/>
    </row>
    <row r="158" spans="1:16" ht="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2337"/>
    </row>
    <row r="159" spans="1:16" ht="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2337"/>
    </row>
    <row r="160" spans="1:16" ht="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2337"/>
    </row>
    <row r="161" spans="1:16" ht="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2337"/>
    </row>
    <row r="162" spans="1:16" ht="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2337"/>
    </row>
    <row r="163" spans="1:16" ht="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2337"/>
    </row>
    <row r="164" spans="1:16" ht="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2337"/>
    </row>
    <row r="165" spans="1:16" ht="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2337"/>
    </row>
    <row r="166" spans="1:16" ht="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2337"/>
    </row>
    <row r="167" spans="1:16" ht="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2337"/>
    </row>
    <row r="168" spans="1:16" ht="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2337"/>
    </row>
    <row r="169" spans="1:16" ht="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2337"/>
    </row>
    <row r="170" spans="1:16" ht="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6" ht="15">
      <c r="A171"/>
      <c r="B171"/>
      <c r="C171"/>
    </row>
    <row r="257" spans="3:3">
      <c r="C257" s="1847"/>
    </row>
    <row r="258" spans="3:3">
      <c r="C258" s="1847"/>
    </row>
    <row r="259" spans="3:3">
      <c r="C259" s="1847"/>
    </row>
    <row r="260" spans="3:3">
      <c r="C260" s="1847"/>
    </row>
    <row r="261" spans="3:3">
      <c r="C261" s="1847"/>
    </row>
    <row r="262" spans="3:3">
      <c r="C262" s="1847"/>
    </row>
    <row r="263" spans="3:3">
      <c r="C263" s="1847"/>
    </row>
    <row r="264" spans="3:3">
      <c r="C264" s="1847"/>
    </row>
    <row r="265" spans="3:3">
      <c r="C265" s="1847"/>
    </row>
    <row r="266" spans="3:3">
      <c r="C266" s="1847"/>
    </row>
    <row r="267" spans="3:3">
      <c r="C267" s="1847"/>
    </row>
    <row r="268" spans="3:3">
      <c r="C268" s="1847"/>
    </row>
    <row r="269" spans="3:3">
      <c r="C269" s="1847"/>
    </row>
    <row r="270" spans="3:3">
      <c r="C270" s="1847"/>
    </row>
    <row r="271" spans="3:3">
      <c r="C271" s="1847"/>
    </row>
    <row r="272" spans="3:3">
      <c r="C272" s="1847"/>
    </row>
    <row r="273" spans="3:3">
      <c r="C273" s="1847"/>
    </row>
    <row r="274" spans="3:3">
      <c r="C274" s="1847"/>
    </row>
    <row r="275" spans="3:3">
      <c r="C275" s="1847"/>
    </row>
    <row r="276" spans="3:3">
      <c r="C276" s="1847"/>
    </row>
    <row r="277" spans="3:3">
      <c r="C277" s="1847"/>
    </row>
    <row r="278" spans="3:3">
      <c r="C278" s="1847"/>
    </row>
    <row r="279" spans="3:3">
      <c r="C279" s="1847"/>
    </row>
    <row r="280" spans="3:3">
      <c r="C280" s="1847"/>
    </row>
    <row r="281" spans="3:3">
      <c r="C281" s="1847"/>
    </row>
    <row r="282" spans="3:3">
      <c r="C282" s="1847"/>
    </row>
    <row r="283" spans="3:3">
      <c r="C283" s="1847"/>
    </row>
    <row r="284" spans="3:3">
      <c r="C284" s="1847"/>
    </row>
    <row r="285" spans="3:3">
      <c r="C285" s="1847"/>
    </row>
    <row r="286" spans="3:3">
      <c r="C286" s="1847"/>
    </row>
    <row r="287" spans="3:3">
      <c r="C287" s="1847"/>
    </row>
    <row r="288" spans="3:3">
      <c r="C288" s="1847"/>
    </row>
    <row r="289" spans="3:3">
      <c r="C289" s="1847"/>
    </row>
    <row r="290" spans="3:3">
      <c r="C290" s="1847"/>
    </row>
    <row r="291" spans="3:3">
      <c r="C291" s="1847"/>
    </row>
    <row r="292" spans="3:3">
      <c r="C292" s="1847"/>
    </row>
    <row r="293" spans="3:3">
      <c r="C293" s="1847"/>
    </row>
    <row r="294" spans="3:3">
      <c r="C294" s="1847"/>
    </row>
    <row r="295" spans="3:3">
      <c r="C295" s="1847"/>
    </row>
    <row r="296" spans="3:3">
      <c r="C296" s="1847"/>
    </row>
    <row r="297" spans="3:3">
      <c r="C297" s="1847"/>
    </row>
    <row r="298" spans="3:3">
      <c r="C298" s="1847"/>
    </row>
    <row r="299" spans="3:3">
      <c r="C299" s="1847"/>
    </row>
    <row r="300" spans="3:3">
      <c r="C300" s="1847"/>
    </row>
    <row r="301" spans="3:3">
      <c r="C301" s="1847"/>
    </row>
    <row r="302" spans="3:3">
      <c r="C302" s="1847"/>
    </row>
    <row r="303" spans="3:3">
      <c r="C303" s="1847"/>
    </row>
    <row r="304" spans="3:3">
      <c r="C304" s="1847"/>
    </row>
    <row r="305" spans="3:3">
      <c r="C305" s="1847"/>
    </row>
    <row r="306" spans="3:3">
      <c r="C306" s="1847"/>
    </row>
    <row r="307" spans="3:3">
      <c r="C307" s="1847"/>
    </row>
    <row r="308" spans="3:3">
      <c r="C308" s="1847"/>
    </row>
    <row r="309" spans="3:3">
      <c r="C309" s="1847"/>
    </row>
    <row r="310" spans="3:3">
      <c r="C310" s="1847"/>
    </row>
    <row r="311" spans="3:3">
      <c r="C311" s="1847"/>
    </row>
    <row r="312" spans="3:3">
      <c r="C312" s="1847"/>
    </row>
    <row r="313" spans="3:3">
      <c r="C313" s="1847"/>
    </row>
    <row r="314" spans="3:3">
      <c r="C314" s="1847"/>
    </row>
    <row r="315" spans="3:3">
      <c r="C315" s="1847"/>
    </row>
    <row r="316" spans="3:3">
      <c r="C316" s="1847"/>
    </row>
    <row r="317" spans="3:3">
      <c r="C317" s="1847"/>
    </row>
    <row r="318" spans="3:3">
      <c r="C318" s="1847"/>
    </row>
    <row r="319" spans="3:3">
      <c r="C319" s="1847"/>
    </row>
    <row r="320" spans="3:3">
      <c r="C320" s="1847"/>
    </row>
    <row r="321" spans="3:3">
      <c r="C321" s="1847"/>
    </row>
    <row r="322" spans="3:3">
      <c r="C322" s="1847"/>
    </row>
    <row r="323" spans="3:3">
      <c r="C323" s="1847"/>
    </row>
    <row r="324" spans="3:3">
      <c r="C324" s="1847"/>
    </row>
    <row r="325" spans="3:3">
      <c r="C325" s="1847"/>
    </row>
    <row r="326" spans="3:3">
      <c r="C326" s="1847"/>
    </row>
    <row r="327" spans="3:3">
      <c r="C327" s="1847"/>
    </row>
    <row r="328" spans="3:3">
      <c r="C328" s="1847"/>
    </row>
    <row r="329" spans="3:3">
      <c r="C329" s="1847"/>
    </row>
    <row r="330" spans="3:3">
      <c r="C330" s="1847"/>
    </row>
    <row r="331" spans="3:3">
      <c r="C331" s="1847"/>
    </row>
    <row r="332" spans="3:3">
      <c r="C332" s="1847"/>
    </row>
    <row r="333" spans="3:3">
      <c r="C333" s="1847"/>
    </row>
    <row r="334" spans="3:3">
      <c r="C334" s="1847"/>
    </row>
    <row r="335" spans="3:3">
      <c r="C335" s="1847"/>
    </row>
    <row r="336" spans="3:3">
      <c r="C336" s="1847"/>
    </row>
    <row r="337" spans="3:3">
      <c r="C337" s="1847"/>
    </row>
    <row r="338" spans="3:3">
      <c r="C338" s="1847"/>
    </row>
    <row r="339" spans="3:3">
      <c r="C339" s="1847"/>
    </row>
    <row r="340" spans="3:3">
      <c r="C340" s="1847"/>
    </row>
    <row r="341" spans="3:3">
      <c r="C341" s="1847"/>
    </row>
    <row r="342" spans="3:3">
      <c r="C342" s="1847"/>
    </row>
    <row r="343" spans="3:3">
      <c r="C343" s="1847"/>
    </row>
    <row r="344" spans="3:3">
      <c r="C344" s="1847"/>
    </row>
    <row r="345" spans="3:3">
      <c r="C345" s="1847"/>
    </row>
    <row r="346" spans="3:3">
      <c r="C346" s="1847"/>
    </row>
    <row r="347" spans="3:3">
      <c r="C347" s="1847"/>
    </row>
    <row r="348" spans="3:3">
      <c r="C348" s="1847"/>
    </row>
    <row r="349" spans="3:3">
      <c r="C349" s="1847"/>
    </row>
    <row r="350" spans="3:3">
      <c r="C350" s="1847"/>
    </row>
    <row r="351" spans="3:3">
      <c r="C351" s="1847"/>
    </row>
    <row r="352" spans="3:3">
      <c r="C352" s="1847"/>
    </row>
    <row r="353" spans="3:3">
      <c r="C353" s="1847"/>
    </row>
    <row r="354" spans="3:3">
      <c r="C354" s="1847"/>
    </row>
    <row r="355" spans="3:3">
      <c r="C355" s="1847"/>
    </row>
    <row r="356" spans="3:3">
      <c r="C356" s="1847"/>
    </row>
    <row r="357" spans="3:3">
      <c r="C357" s="1847"/>
    </row>
    <row r="358" spans="3:3">
      <c r="C358" s="1847"/>
    </row>
    <row r="359" spans="3:3">
      <c r="C359" s="1847"/>
    </row>
    <row r="360" spans="3:3">
      <c r="C360" s="1847"/>
    </row>
    <row r="361" spans="3:3">
      <c r="C361" s="1847"/>
    </row>
    <row r="362" spans="3:3">
      <c r="C362" s="1847"/>
    </row>
    <row r="363" spans="3:3">
      <c r="C363" s="1847"/>
    </row>
    <row r="364" spans="3:3">
      <c r="C364" s="1847"/>
    </row>
    <row r="365" spans="3:3">
      <c r="C365" s="1847"/>
    </row>
    <row r="366" spans="3:3">
      <c r="C366" s="1847"/>
    </row>
    <row r="367" spans="3:3">
      <c r="C367" s="1847"/>
    </row>
    <row r="368" spans="3:3">
      <c r="C368" s="1847"/>
    </row>
    <row r="369" spans="3:3">
      <c r="C369" s="1847"/>
    </row>
    <row r="370" spans="3:3">
      <c r="C370" s="1847"/>
    </row>
    <row r="371" spans="3:3">
      <c r="C371" s="1847"/>
    </row>
    <row r="372" spans="3:3">
      <c r="C372" s="1847"/>
    </row>
    <row r="373" spans="3:3">
      <c r="C373" s="1847"/>
    </row>
    <row r="374" spans="3:3">
      <c r="C374" s="1847"/>
    </row>
    <row r="375" spans="3:3">
      <c r="C375" s="1847"/>
    </row>
    <row r="376" spans="3:3">
      <c r="C376" s="1847"/>
    </row>
    <row r="377" spans="3:3">
      <c r="C377" s="1847"/>
    </row>
    <row r="378" spans="3:3">
      <c r="C378" s="1847"/>
    </row>
    <row r="379" spans="3:3">
      <c r="C379" s="1847"/>
    </row>
    <row r="380" spans="3:3">
      <c r="C380" s="1847"/>
    </row>
    <row r="381" spans="3:3">
      <c r="C381" s="1847"/>
    </row>
    <row r="382" spans="3:3">
      <c r="C382" s="1847"/>
    </row>
    <row r="383" spans="3:3">
      <c r="C383" s="1847"/>
    </row>
    <row r="384" spans="3:3">
      <c r="C384" s="1847"/>
    </row>
    <row r="385" spans="3:3">
      <c r="C385" s="1847"/>
    </row>
    <row r="386" spans="3:3">
      <c r="C386" s="1847"/>
    </row>
    <row r="387" spans="3:3">
      <c r="C387" s="1847"/>
    </row>
    <row r="388" spans="3:3">
      <c r="C388" s="1847"/>
    </row>
    <row r="389" spans="3:3">
      <c r="C389" s="1847"/>
    </row>
    <row r="390" spans="3:3">
      <c r="C390" s="1847"/>
    </row>
    <row r="391" spans="3:3">
      <c r="C391" s="1847"/>
    </row>
    <row r="392" spans="3:3">
      <c r="C392" s="1847"/>
    </row>
    <row r="393" spans="3:3">
      <c r="C393" s="1847"/>
    </row>
    <row r="394" spans="3:3">
      <c r="C394" s="1847"/>
    </row>
    <row r="395" spans="3:3">
      <c r="C395" s="1847"/>
    </row>
    <row r="396" spans="3:3">
      <c r="C396" s="1847"/>
    </row>
    <row r="397" spans="3:3">
      <c r="C397" s="1847"/>
    </row>
    <row r="398" spans="3:3">
      <c r="C398" s="1847"/>
    </row>
    <row r="399" spans="3:3">
      <c r="C399" s="1847"/>
    </row>
    <row r="400" spans="3:3">
      <c r="C400" s="1847"/>
    </row>
    <row r="401" spans="3:3">
      <c r="C401" s="1847"/>
    </row>
    <row r="402" spans="3:3">
      <c r="C402" s="1847"/>
    </row>
    <row r="403" spans="3:3">
      <c r="C403" s="1847"/>
    </row>
    <row r="404" spans="3:3">
      <c r="C404" s="1847"/>
    </row>
    <row r="405" spans="3:3">
      <c r="C405" s="1847"/>
    </row>
    <row r="406" spans="3:3">
      <c r="C406" s="1847"/>
    </row>
    <row r="407" spans="3:3">
      <c r="C407" s="1847"/>
    </row>
    <row r="408" spans="3:3">
      <c r="C408" s="1847"/>
    </row>
    <row r="409" spans="3:3">
      <c r="C409" s="1847"/>
    </row>
    <row r="410" spans="3:3">
      <c r="C410" s="1847"/>
    </row>
    <row r="411" spans="3:3">
      <c r="C411" s="1847"/>
    </row>
    <row r="412" spans="3:3">
      <c r="C412" s="1847"/>
    </row>
    <row r="413" spans="3:3">
      <c r="C413" s="1847"/>
    </row>
    <row r="414" spans="3:3">
      <c r="C414" s="1847"/>
    </row>
    <row r="415" spans="3:3">
      <c r="C415" s="1847"/>
    </row>
    <row r="416" spans="3:3">
      <c r="C416" s="1847"/>
    </row>
    <row r="417" spans="3:3">
      <c r="C417" s="1847"/>
    </row>
    <row r="418" spans="3:3">
      <c r="C418" s="1847"/>
    </row>
    <row r="419" spans="3:3">
      <c r="C419" s="1847"/>
    </row>
    <row r="420" spans="3:3">
      <c r="C420" s="1847"/>
    </row>
    <row r="421" spans="3:3">
      <c r="C421" s="1847"/>
    </row>
    <row r="422" spans="3:3">
      <c r="C422" s="1847"/>
    </row>
    <row r="423" spans="3:3">
      <c r="C423" s="1847"/>
    </row>
    <row r="424" spans="3:3">
      <c r="C424" s="1847"/>
    </row>
    <row r="425" spans="3:3">
      <c r="C425" s="1847"/>
    </row>
    <row r="426" spans="3:3">
      <c r="C426" s="1847"/>
    </row>
    <row r="427" spans="3:3">
      <c r="C427" s="1847"/>
    </row>
    <row r="428" spans="3:3">
      <c r="C428" s="1847"/>
    </row>
    <row r="429" spans="3:3">
      <c r="C429" s="1847"/>
    </row>
    <row r="430" spans="3:3">
      <c r="C430" s="1847"/>
    </row>
    <row r="431" spans="3:3">
      <c r="C431" s="1847"/>
    </row>
    <row r="432" spans="3:3">
      <c r="C432" s="1847"/>
    </row>
    <row r="433" spans="3:3">
      <c r="C433" s="1847"/>
    </row>
    <row r="434" spans="3:3">
      <c r="C434" s="1847"/>
    </row>
    <row r="435" spans="3:3">
      <c r="C435" s="1847"/>
    </row>
    <row r="436" spans="3:3">
      <c r="C436" s="1847"/>
    </row>
    <row r="437" spans="3:3">
      <c r="C437" s="1847"/>
    </row>
    <row r="438" spans="3:3">
      <c r="C438" s="1847"/>
    </row>
    <row r="439" spans="3:3">
      <c r="C439" s="1847"/>
    </row>
    <row r="440" spans="3:3">
      <c r="C440" s="1847"/>
    </row>
    <row r="441" spans="3:3">
      <c r="C441" s="1847"/>
    </row>
    <row r="442" spans="3:3">
      <c r="C442" s="1847"/>
    </row>
    <row r="443" spans="3:3">
      <c r="C443" s="1847"/>
    </row>
    <row r="444" spans="3:3">
      <c r="C444" s="1847"/>
    </row>
    <row r="445" spans="3:3">
      <c r="C445" s="1847"/>
    </row>
    <row r="446" spans="3:3">
      <c r="C446" s="1847"/>
    </row>
    <row r="447" spans="3:3">
      <c r="C447" s="1847"/>
    </row>
    <row r="448" spans="3:3">
      <c r="C448" s="1847"/>
    </row>
    <row r="449" spans="3:3">
      <c r="C449" s="1847"/>
    </row>
    <row r="450" spans="3:3">
      <c r="C450" s="1847"/>
    </row>
    <row r="451" spans="3:3">
      <c r="C451" s="1847"/>
    </row>
    <row r="452" spans="3:3">
      <c r="C452" s="1847"/>
    </row>
    <row r="453" spans="3:3">
      <c r="C453" s="1847"/>
    </row>
    <row r="454" spans="3:3">
      <c r="C454" s="1847"/>
    </row>
    <row r="455" spans="3:3">
      <c r="C455" s="1847"/>
    </row>
    <row r="456" spans="3:3">
      <c r="C456" s="1847"/>
    </row>
    <row r="457" spans="3:3">
      <c r="C457" s="1847"/>
    </row>
    <row r="458" spans="3:3">
      <c r="C458" s="1847"/>
    </row>
    <row r="459" spans="3:3">
      <c r="C459" s="1847"/>
    </row>
    <row r="460" spans="3:3">
      <c r="C460" s="1847"/>
    </row>
    <row r="461" spans="3:3">
      <c r="C461" s="1847"/>
    </row>
    <row r="462" spans="3:3">
      <c r="C462" s="1847"/>
    </row>
    <row r="463" spans="3:3">
      <c r="C463" s="1847"/>
    </row>
    <row r="464" spans="3:3">
      <c r="C464" s="1847"/>
    </row>
    <row r="465" spans="3:3">
      <c r="C465" s="1847"/>
    </row>
    <row r="466" spans="3:3">
      <c r="C466" s="1847"/>
    </row>
    <row r="467" spans="3:3">
      <c r="C467" s="1847"/>
    </row>
    <row r="468" spans="3:3">
      <c r="C468" s="1847"/>
    </row>
    <row r="469" spans="3:3">
      <c r="C469" s="1847"/>
    </row>
    <row r="470" spans="3:3">
      <c r="C470" s="1847"/>
    </row>
    <row r="471" spans="3:3">
      <c r="C471" s="1847"/>
    </row>
    <row r="472" spans="3:3">
      <c r="C472" s="1847"/>
    </row>
    <row r="473" spans="3:3">
      <c r="C473" s="1847"/>
    </row>
    <row r="474" spans="3:3">
      <c r="C474" s="1847"/>
    </row>
    <row r="475" spans="3:3">
      <c r="C475" s="1847"/>
    </row>
    <row r="476" spans="3:3">
      <c r="C476" s="1847"/>
    </row>
    <row r="477" spans="3:3">
      <c r="C477" s="1847"/>
    </row>
    <row r="478" spans="3:3">
      <c r="C478" s="1847"/>
    </row>
    <row r="479" spans="3:3">
      <c r="C479" s="1847"/>
    </row>
    <row r="480" spans="3:3">
      <c r="C480" s="1847"/>
    </row>
    <row r="481" spans="3:3">
      <c r="C481" s="1847"/>
    </row>
    <row r="482" spans="3:3">
      <c r="C482" s="1847"/>
    </row>
    <row r="483" spans="3:3">
      <c r="C483" s="1847"/>
    </row>
    <row r="484" spans="3:3">
      <c r="C484" s="1847"/>
    </row>
    <row r="485" spans="3:3">
      <c r="C485" s="1847"/>
    </row>
    <row r="486" spans="3:3">
      <c r="C486" s="1847"/>
    </row>
    <row r="487" spans="3:3">
      <c r="C487" s="1847"/>
    </row>
    <row r="488" spans="3:3">
      <c r="C488" s="1847"/>
    </row>
    <row r="489" spans="3:3">
      <c r="C489" s="1847"/>
    </row>
    <row r="490" spans="3:3">
      <c r="C490" s="1847"/>
    </row>
    <row r="491" spans="3:3">
      <c r="C491" s="1847"/>
    </row>
    <row r="492" spans="3:3">
      <c r="C492" s="1847"/>
    </row>
    <row r="493" spans="3:3">
      <c r="C493" s="1847"/>
    </row>
    <row r="494" spans="3:3">
      <c r="C494" s="1847"/>
    </row>
    <row r="495" spans="3:3">
      <c r="C495" s="1847"/>
    </row>
    <row r="496" spans="3:3">
      <c r="C496" s="1847"/>
    </row>
    <row r="497" spans="3:3">
      <c r="C497" s="1847"/>
    </row>
    <row r="498" spans="3:3">
      <c r="C498" s="1847"/>
    </row>
    <row r="499" spans="3:3">
      <c r="C499" s="1847"/>
    </row>
    <row r="500" spans="3:3">
      <c r="C500" s="1847"/>
    </row>
    <row r="501" spans="3:3">
      <c r="C501" s="1847"/>
    </row>
    <row r="502" spans="3:3">
      <c r="C502" s="1847"/>
    </row>
    <row r="503" spans="3:3">
      <c r="C503" s="1847"/>
    </row>
    <row r="504" spans="3:3">
      <c r="C504" s="1847"/>
    </row>
    <row r="505" spans="3:3">
      <c r="C505" s="1847"/>
    </row>
    <row r="506" spans="3:3">
      <c r="C506" s="1847"/>
    </row>
    <row r="507" spans="3:3">
      <c r="C507" s="1847"/>
    </row>
    <row r="508" spans="3:3">
      <c r="C508" s="1847"/>
    </row>
    <row r="509" spans="3:3">
      <c r="C509" s="1847"/>
    </row>
    <row r="510" spans="3:3">
      <c r="C510" s="1847"/>
    </row>
    <row r="511" spans="3:3">
      <c r="C511" s="1847"/>
    </row>
    <row r="512" spans="3:3">
      <c r="C512" s="1847"/>
    </row>
    <row r="513" spans="3:3">
      <c r="C513" s="1847"/>
    </row>
    <row r="514" spans="3:3">
      <c r="C514" s="1847"/>
    </row>
    <row r="515" spans="3:3">
      <c r="C515" s="1847"/>
    </row>
    <row r="516" spans="3:3">
      <c r="C516" s="1847"/>
    </row>
    <row r="517" spans="3:3">
      <c r="C517" s="1847"/>
    </row>
    <row r="518" spans="3:3">
      <c r="C518" s="1847"/>
    </row>
    <row r="519" spans="3:3">
      <c r="C519" s="1847"/>
    </row>
    <row r="520" spans="3:3">
      <c r="C520" s="1847"/>
    </row>
    <row r="521" spans="3:3">
      <c r="C521" s="1847"/>
    </row>
    <row r="522" spans="3:3">
      <c r="C522" s="1847"/>
    </row>
    <row r="523" spans="3:3">
      <c r="C523" s="1847"/>
    </row>
    <row r="524" spans="3:3">
      <c r="C524" s="1847"/>
    </row>
    <row r="525" spans="3:3">
      <c r="C525" s="1847"/>
    </row>
    <row r="526" spans="3:3">
      <c r="C526" s="1847"/>
    </row>
    <row r="527" spans="3:3">
      <c r="C527" s="1847"/>
    </row>
    <row r="528" spans="3:3">
      <c r="C528" s="1847"/>
    </row>
    <row r="529" spans="3:3">
      <c r="C529" s="1847"/>
    </row>
    <row r="530" spans="3:3">
      <c r="C530" s="1847"/>
    </row>
    <row r="531" spans="3:3">
      <c r="C531" s="1847"/>
    </row>
    <row r="532" spans="3:3">
      <c r="C532" s="1847"/>
    </row>
    <row r="533" spans="3:3">
      <c r="C533" s="1847"/>
    </row>
    <row r="534" spans="3:3">
      <c r="C534" s="1847"/>
    </row>
    <row r="535" spans="3:3">
      <c r="C535" s="1847"/>
    </row>
    <row r="536" spans="3:3">
      <c r="C536" s="1847"/>
    </row>
    <row r="537" spans="3:3">
      <c r="C537" s="1847"/>
    </row>
    <row r="538" spans="3:3">
      <c r="C538" s="1847"/>
    </row>
    <row r="539" spans="3:3">
      <c r="C539" s="1847"/>
    </row>
    <row r="540" spans="3:3">
      <c r="C540" s="1847"/>
    </row>
    <row r="541" spans="3:3">
      <c r="C541" s="1847"/>
    </row>
    <row r="542" spans="3:3">
      <c r="C542" s="1847"/>
    </row>
    <row r="543" spans="3:3">
      <c r="C543" s="1847"/>
    </row>
    <row r="544" spans="3:3">
      <c r="C544" s="1847"/>
    </row>
    <row r="545" spans="3:3">
      <c r="C545" s="1847"/>
    </row>
    <row r="546" spans="3:3">
      <c r="C546" s="1847"/>
    </row>
    <row r="547" spans="3:3">
      <c r="C547" s="1847"/>
    </row>
    <row r="548" spans="3:3">
      <c r="C548" s="1847"/>
    </row>
    <row r="549" spans="3:3">
      <c r="C549" s="1847"/>
    </row>
    <row r="550" spans="3:3">
      <c r="C550" s="1847"/>
    </row>
    <row r="551" spans="3:3">
      <c r="C551" s="1847"/>
    </row>
    <row r="552" spans="3:3">
      <c r="C552" s="1847"/>
    </row>
    <row r="553" spans="3:3">
      <c r="C553" s="1847"/>
    </row>
    <row r="554" spans="3:3">
      <c r="C554" s="1847"/>
    </row>
    <row r="555" spans="3:3">
      <c r="C555" s="1847"/>
    </row>
    <row r="556" spans="3:3">
      <c r="C556" s="1847"/>
    </row>
    <row r="557" spans="3:3">
      <c r="C557" s="1847"/>
    </row>
    <row r="558" spans="3:3">
      <c r="C558" s="1847"/>
    </row>
    <row r="559" spans="3:3">
      <c r="C559" s="1847"/>
    </row>
    <row r="560" spans="3:3">
      <c r="C560" s="1847"/>
    </row>
    <row r="561" spans="3:3">
      <c r="C561" s="1847"/>
    </row>
    <row r="562" spans="3:3">
      <c r="C562" s="1847"/>
    </row>
    <row r="563" spans="3:3">
      <c r="C563" s="1847"/>
    </row>
    <row r="564" spans="3:3">
      <c r="C564" s="1847"/>
    </row>
    <row r="565" spans="3:3">
      <c r="C565" s="1847"/>
    </row>
    <row r="566" spans="3:3">
      <c r="C566" s="1847"/>
    </row>
    <row r="567" spans="3:3">
      <c r="C567" s="1847"/>
    </row>
    <row r="568" spans="3:3">
      <c r="C568" s="1847"/>
    </row>
    <row r="569" spans="3:3">
      <c r="C569" s="1847"/>
    </row>
    <row r="570" spans="3:3">
      <c r="C570" s="1847"/>
    </row>
    <row r="571" spans="3:3">
      <c r="C571" s="1847"/>
    </row>
    <row r="572" spans="3:3">
      <c r="C572" s="1847"/>
    </row>
    <row r="573" spans="3:3">
      <c r="C573" s="1847"/>
    </row>
    <row r="574" spans="3:3">
      <c r="C574" s="1847"/>
    </row>
    <row r="575" spans="3:3">
      <c r="C575" s="1847"/>
    </row>
    <row r="576" spans="3:3">
      <c r="C576" s="1847"/>
    </row>
    <row r="577" spans="3:3">
      <c r="C577" s="1847"/>
    </row>
    <row r="578" spans="3:3">
      <c r="C578" s="1847"/>
    </row>
    <row r="579" spans="3:3">
      <c r="C579" s="1847"/>
    </row>
    <row r="580" spans="3:3">
      <c r="C580" s="1847"/>
    </row>
    <row r="581" spans="3:3">
      <c r="C581" s="1847"/>
    </row>
    <row r="582" spans="3:3">
      <c r="C582" s="1847"/>
    </row>
    <row r="583" spans="3:3">
      <c r="C583" s="1847"/>
    </row>
    <row r="584" spans="3:3">
      <c r="C584" s="1847"/>
    </row>
    <row r="585" spans="3:3">
      <c r="C585" s="1847"/>
    </row>
    <row r="586" spans="3:3">
      <c r="C586" s="1847"/>
    </row>
    <row r="587" spans="3:3">
      <c r="C587" s="1847"/>
    </row>
    <row r="588" spans="3:3">
      <c r="C588" s="1847"/>
    </row>
    <row r="589" spans="3:3">
      <c r="C589" s="1847"/>
    </row>
    <row r="590" spans="3:3">
      <c r="C590" s="1847"/>
    </row>
    <row r="591" spans="3:3">
      <c r="C591" s="1847"/>
    </row>
    <row r="592" spans="3:3">
      <c r="C592" s="1847"/>
    </row>
    <row r="593" spans="3:3">
      <c r="C593" s="1847"/>
    </row>
    <row r="594" spans="3:3">
      <c r="C594" s="1847"/>
    </row>
    <row r="595" spans="3:3">
      <c r="C595" s="1847"/>
    </row>
    <row r="596" spans="3:3">
      <c r="C596" s="1847"/>
    </row>
    <row r="597" spans="3:3">
      <c r="C597" s="1847"/>
    </row>
    <row r="598" spans="3:3">
      <c r="C598" s="1847"/>
    </row>
    <row r="599" spans="3:3">
      <c r="C599" s="1847"/>
    </row>
    <row r="600" spans="3:3">
      <c r="C600" s="1847"/>
    </row>
    <row r="601" spans="3:3">
      <c r="C601" s="1847"/>
    </row>
    <row r="602" spans="3:3">
      <c r="C602" s="1847"/>
    </row>
    <row r="603" spans="3:3">
      <c r="C603" s="1847"/>
    </row>
    <row r="604" spans="3:3">
      <c r="C604" s="1847"/>
    </row>
    <row r="605" spans="3:3">
      <c r="C605" s="1847"/>
    </row>
    <row r="606" spans="3:3">
      <c r="C606" s="1847"/>
    </row>
    <row r="607" spans="3:3">
      <c r="C607" s="1847"/>
    </row>
    <row r="608" spans="3:3">
      <c r="C608" s="1847"/>
    </row>
    <row r="609" spans="3:3">
      <c r="C609" s="1847"/>
    </row>
    <row r="610" spans="3:3">
      <c r="C610" s="1847"/>
    </row>
    <row r="611" spans="3:3">
      <c r="C611" s="1847"/>
    </row>
    <row r="612" spans="3:3">
      <c r="C612" s="1847"/>
    </row>
    <row r="613" spans="3:3">
      <c r="C613" s="1847"/>
    </row>
    <row r="614" spans="3:3">
      <c r="C614" s="1847"/>
    </row>
    <row r="615" spans="3:3">
      <c r="C615" s="1847"/>
    </row>
    <row r="616" spans="3:3">
      <c r="C616" s="1847"/>
    </row>
    <row r="617" spans="3:3">
      <c r="C617" s="1847"/>
    </row>
    <row r="618" spans="3:3">
      <c r="C618" s="1847"/>
    </row>
    <row r="619" spans="3:3">
      <c r="C619" s="1847"/>
    </row>
    <row r="620" spans="3:3">
      <c r="C620" s="1847"/>
    </row>
    <row r="621" spans="3:3">
      <c r="C621" s="1847"/>
    </row>
    <row r="622" spans="3:3">
      <c r="C622" s="1847"/>
    </row>
    <row r="623" spans="3:3">
      <c r="C623" s="1847"/>
    </row>
    <row r="624" spans="3:3">
      <c r="C624" s="1847"/>
    </row>
    <row r="625" spans="3:3">
      <c r="C625" s="1847"/>
    </row>
    <row r="626" spans="3:3">
      <c r="C626" s="1847"/>
    </row>
    <row r="627" spans="3:3">
      <c r="C627" s="1847"/>
    </row>
    <row r="628" spans="3:3">
      <c r="C628" s="1847"/>
    </row>
    <row r="629" spans="3:3">
      <c r="C629" s="1847"/>
    </row>
    <row r="630" spans="3:3">
      <c r="C630" s="1847"/>
    </row>
    <row r="631" spans="3:3">
      <c r="C631" s="1847"/>
    </row>
    <row r="632" spans="3:3">
      <c r="C632" s="1847"/>
    </row>
    <row r="633" spans="3:3">
      <c r="C633" s="1847"/>
    </row>
    <row r="634" spans="3:3">
      <c r="C634" s="1847"/>
    </row>
    <row r="635" spans="3:3">
      <c r="C635" s="1847"/>
    </row>
    <row r="636" spans="3:3">
      <c r="C636" s="1847"/>
    </row>
    <row r="637" spans="3:3">
      <c r="C637" s="1847"/>
    </row>
    <row r="638" spans="3:3">
      <c r="C638" s="1847"/>
    </row>
    <row r="639" spans="3:3">
      <c r="C639" s="1847"/>
    </row>
    <row r="640" spans="3:3">
      <c r="C640" s="1847"/>
    </row>
    <row r="641" spans="3:3">
      <c r="C641" s="1847"/>
    </row>
    <row r="642" spans="3:3">
      <c r="C642" s="1847"/>
    </row>
    <row r="643" spans="3:3">
      <c r="C643" s="1847"/>
    </row>
    <row r="644" spans="3:3">
      <c r="C644" s="1847"/>
    </row>
    <row r="645" spans="3:3">
      <c r="C645" s="1847"/>
    </row>
    <row r="646" spans="3:3">
      <c r="C646" s="1847"/>
    </row>
    <row r="647" spans="3:3">
      <c r="C647" s="1847"/>
    </row>
    <row r="648" spans="3:3">
      <c r="C648" s="1847"/>
    </row>
    <row r="649" spans="3:3">
      <c r="C649" s="1847"/>
    </row>
    <row r="650" spans="3:3">
      <c r="C650" s="1847"/>
    </row>
    <row r="651" spans="3:3">
      <c r="C651" s="1847"/>
    </row>
    <row r="652" spans="3:3">
      <c r="C652" s="1847"/>
    </row>
    <row r="653" spans="3:3">
      <c r="C653" s="1847"/>
    </row>
    <row r="654" spans="3:3">
      <c r="C654" s="1847"/>
    </row>
    <row r="655" spans="3:3">
      <c r="C655" s="1847"/>
    </row>
    <row r="656" spans="3:3">
      <c r="C656" s="1847"/>
    </row>
    <row r="657" spans="3:3">
      <c r="C657" s="1847"/>
    </row>
    <row r="658" spans="3:3">
      <c r="C658" s="1847"/>
    </row>
    <row r="659" spans="3:3">
      <c r="C659" s="1847"/>
    </row>
    <row r="660" spans="3:3">
      <c r="C660" s="1847"/>
    </row>
    <row r="661" spans="3:3">
      <c r="C661" s="1847"/>
    </row>
    <row r="662" spans="3:3">
      <c r="C662" s="1847"/>
    </row>
    <row r="663" spans="3:3">
      <c r="C663" s="1847"/>
    </row>
    <row r="664" spans="3:3">
      <c r="C664" s="1847"/>
    </row>
    <row r="665" spans="3:3">
      <c r="C665" s="1847"/>
    </row>
    <row r="666" spans="3:3">
      <c r="C666" s="1847"/>
    </row>
    <row r="667" spans="3:3">
      <c r="C667" s="1847"/>
    </row>
    <row r="668" spans="3:3">
      <c r="C668" s="1847"/>
    </row>
    <row r="669" spans="3:3">
      <c r="C669" s="1847"/>
    </row>
    <row r="670" spans="3:3">
      <c r="C670" s="1847"/>
    </row>
    <row r="671" spans="3:3">
      <c r="C671" s="1847"/>
    </row>
    <row r="672" spans="3:3">
      <c r="C672" s="1847"/>
    </row>
    <row r="673" spans="3:3">
      <c r="C673" s="1847"/>
    </row>
    <row r="674" spans="3:3">
      <c r="C674" s="1847"/>
    </row>
    <row r="675" spans="3:3">
      <c r="C675" s="1847"/>
    </row>
    <row r="676" spans="3:3">
      <c r="C676" s="1847"/>
    </row>
    <row r="677" spans="3:3">
      <c r="C677" s="1847"/>
    </row>
    <row r="678" spans="3:3">
      <c r="C678" s="1847"/>
    </row>
    <row r="679" spans="3:3">
      <c r="C679" s="1847"/>
    </row>
    <row r="680" spans="3:3">
      <c r="C680" s="1847"/>
    </row>
    <row r="681" spans="3:3">
      <c r="C681" s="1847"/>
    </row>
    <row r="682" spans="3:3">
      <c r="C682" s="1847"/>
    </row>
    <row r="683" spans="3:3">
      <c r="C683" s="1847"/>
    </row>
    <row r="684" spans="3:3">
      <c r="C684" s="1847"/>
    </row>
    <row r="685" spans="3:3">
      <c r="C685" s="1847"/>
    </row>
    <row r="686" spans="3:3">
      <c r="C686" s="1847"/>
    </row>
    <row r="687" spans="3:3">
      <c r="C687" s="1847"/>
    </row>
    <row r="688" spans="3:3">
      <c r="C688" s="1847"/>
    </row>
    <row r="689" spans="3:3">
      <c r="C689" s="1847"/>
    </row>
    <row r="690" spans="3:3">
      <c r="C690" s="1847"/>
    </row>
    <row r="691" spans="3:3">
      <c r="C691" s="1847"/>
    </row>
    <row r="692" spans="3:3">
      <c r="C692" s="1847"/>
    </row>
    <row r="693" spans="3:3">
      <c r="C693" s="1847"/>
    </row>
    <row r="694" spans="3:3">
      <c r="C694" s="1847"/>
    </row>
    <row r="695" spans="3:3">
      <c r="C695" s="1847"/>
    </row>
    <row r="696" spans="3:3">
      <c r="C696" s="1847"/>
    </row>
    <row r="697" spans="3:3">
      <c r="C697" s="1847"/>
    </row>
    <row r="698" spans="3:3">
      <c r="C698" s="1847"/>
    </row>
    <row r="699" spans="3:3">
      <c r="C699" s="1847"/>
    </row>
    <row r="700" spans="3:3">
      <c r="C700" s="1847"/>
    </row>
    <row r="701" spans="3:3">
      <c r="C701" s="1847"/>
    </row>
    <row r="702" spans="3:3">
      <c r="C702" s="1847"/>
    </row>
    <row r="703" spans="3:3">
      <c r="C703" s="1847"/>
    </row>
    <row r="704" spans="3:3">
      <c r="C704" s="1847"/>
    </row>
    <row r="705" spans="3:3">
      <c r="C705" s="1847"/>
    </row>
    <row r="706" spans="3:3">
      <c r="C706" s="1847"/>
    </row>
    <row r="707" spans="3:3">
      <c r="C707" s="1847"/>
    </row>
    <row r="708" spans="3:3">
      <c r="C708" s="1847"/>
    </row>
    <row r="709" spans="3:3">
      <c r="C709" s="1847"/>
    </row>
    <row r="710" spans="3:3">
      <c r="C710" s="1847"/>
    </row>
    <row r="711" spans="3:3">
      <c r="C711" s="1847"/>
    </row>
    <row r="712" spans="3:3">
      <c r="C712" s="1847"/>
    </row>
    <row r="713" spans="3:3">
      <c r="C713" s="1847"/>
    </row>
    <row r="714" spans="3:3">
      <c r="C714" s="1847"/>
    </row>
    <row r="715" spans="3:3">
      <c r="C715" s="1847"/>
    </row>
    <row r="716" spans="3:3">
      <c r="C716" s="1847"/>
    </row>
    <row r="717" spans="3:3">
      <c r="C717" s="1847"/>
    </row>
    <row r="718" spans="3:3">
      <c r="C718" s="1847"/>
    </row>
    <row r="719" spans="3:3">
      <c r="C719" s="1847"/>
    </row>
    <row r="720" spans="3:3">
      <c r="C720" s="1847"/>
    </row>
    <row r="721" spans="3:3">
      <c r="C721" s="1847"/>
    </row>
    <row r="722" spans="3:3">
      <c r="C722" s="1847"/>
    </row>
    <row r="723" spans="3:3">
      <c r="C723" s="1847"/>
    </row>
    <row r="724" spans="3:3">
      <c r="C724" s="1847"/>
    </row>
    <row r="725" spans="3:3">
      <c r="C725" s="1847"/>
    </row>
    <row r="726" spans="3:3">
      <c r="C726" s="1847"/>
    </row>
    <row r="727" spans="3:3">
      <c r="C727" s="1847"/>
    </row>
    <row r="728" spans="3:3">
      <c r="C728" s="1847"/>
    </row>
    <row r="729" spans="3:3">
      <c r="C729" s="1847"/>
    </row>
    <row r="730" spans="3:3">
      <c r="C730" s="1847"/>
    </row>
    <row r="731" spans="3:3">
      <c r="C731" s="1847"/>
    </row>
    <row r="732" spans="3:3">
      <c r="C732" s="1847"/>
    </row>
    <row r="733" spans="3:3">
      <c r="C733" s="1847"/>
    </row>
    <row r="734" spans="3:3">
      <c r="C734" s="1847"/>
    </row>
    <row r="735" spans="3:3">
      <c r="C735" s="1847"/>
    </row>
    <row r="736" spans="3:3">
      <c r="C736" s="1847"/>
    </row>
    <row r="737" spans="3:3">
      <c r="C737" s="1847"/>
    </row>
    <row r="738" spans="3:3">
      <c r="C738" s="1847"/>
    </row>
    <row r="739" spans="3:3">
      <c r="C739" s="1847"/>
    </row>
    <row r="740" spans="3:3">
      <c r="C740" s="1847"/>
    </row>
    <row r="741" spans="3:3">
      <c r="C741" s="1847"/>
    </row>
    <row r="742" spans="3:3">
      <c r="C742" s="1847"/>
    </row>
    <row r="743" spans="3:3">
      <c r="C743" s="1847"/>
    </row>
    <row r="744" spans="3:3">
      <c r="C744" s="1847"/>
    </row>
    <row r="745" spans="3:3">
      <c r="C745" s="1847"/>
    </row>
    <row r="746" spans="3:3">
      <c r="C746" s="1847"/>
    </row>
    <row r="747" spans="3:3">
      <c r="C747" s="1847"/>
    </row>
    <row r="748" spans="3:3">
      <c r="C748" s="1847"/>
    </row>
    <row r="749" spans="3:3">
      <c r="C749" s="1847"/>
    </row>
    <row r="750" spans="3:3">
      <c r="C750" s="1847"/>
    </row>
    <row r="751" spans="3:3">
      <c r="C751" s="1847"/>
    </row>
    <row r="752" spans="3:3">
      <c r="C752" s="1847"/>
    </row>
    <row r="753" spans="3:3">
      <c r="C753" s="1847"/>
    </row>
    <row r="754" spans="3:3">
      <c r="C754" s="1847"/>
    </row>
    <row r="755" spans="3:3">
      <c r="C755" s="1847"/>
    </row>
    <row r="756" spans="3:3">
      <c r="C756" s="1847"/>
    </row>
    <row r="757" spans="3:3">
      <c r="C757" s="1847"/>
    </row>
    <row r="758" spans="3:3">
      <c r="C758" s="1847"/>
    </row>
    <row r="759" spans="3:3">
      <c r="C759" s="1847"/>
    </row>
    <row r="760" spans="3:3">
      <c r="C760" s="1847"/>
    </row>
    <row r="761" spans="3:3">
      <c r="C761" s="1847"/>
    </row>
    <row r="762" spans="3:3">
      <c r="C762" s="1847"/>
    </row>
    <row r="763" spans="3:3">
      <c r="C763" s="1847"/>
    </row>
    <row r="764" spans="3:3">
      <c r="C764" s="1847"/>
    </row>
    <row r="765" spans="3:3">
      <c r="C765" s="1847"/>
    </row>
    <row r="766" spans="3:3">
      <c r="C766" s="1847"/>
    </row>
    <row r="767" spans="3:3">
      <c r="C767" s="1847"/>
    </row>
    <row r="768" spans="3:3">
      <c r="C768" s="1847"/>
    </row>
    <row r="769" spans="3:3">
      <c r="C769" s="1847"/>
    </row>
    <row r="770" spans="3:3">
      <c r="C770" s="1847"/>
    </row>
    <row r="771" spans="3:3">
      <c r="C771" s="1847"/>
    </row>
    <row r="772" spans="3:3">
      <c r="C772" s="1847"/>
    </row>
    <row r="773" spans="3:3">
      <c r="C773" s="1847"/>
    </row>
    <row r="774" spans="3:3">
      <c r="C774" s="1847"/>
    </row>
    <row r="775" spans="3:3">
      <c r="C775" s="1847"/>
    </row>
    <row r="776" spans="3:3">
      <c r="C776" s="1847"/>
    </row>
    <row r="777" spans="3:3">
      <c r="C777" s="1847"/>
    </row>
    <row r="778" spans="3:3">
      <c r="C778" s="1847"/>
    </row>
    <row r="779" spans="3:3">
      <c r="C779" s="1847"/>
    </row>
    <row r="780" spans="3:3">
      <c r="C780" s="1847"/>
    </row>
    <row r="781" spans="3:3">
      <c r="C781" s="1847"/>
    </row>
    <row r="782" spans="3:3">
      <c r="C782" s="1847"/>
    </row>
    <row r="783" spans="3:3">
      <c r="C783" s="1847"/>
    </row>
    <row r="784" spans="3:3">
      <c r="C784" s="1847"/>
    </row>
    <row r="785" spans="3:3">
      <c r="C785" s="1847"/>
    </row>
    <row r="786" spans="3:3">
      <c r="C786" s="1847"/>
    </row>
    <row r="787" spans="3:3">
      <c r="C787" s="1847"/>
    </row>
    <row r="788" spans="3:3">
      <c r="C788" s="1847"/>
    </row>
    <row r="789" spans="3:3">
      <c r="C789" s="1847"/>
    </row>
    <row r="790" spans="3:3">
      <c r="C790" s="1847"/>
    </row>
    <row r="791" spans="3:3">
      <c r="C791" s="1847"/>
    </row>
    <row r="792" spans="3:3">
      <c r="C792" s="1847"/>
    </row>
    <row r="793" spans="3:3">
      <c r="C793" s="1847"/>
    </row>
    <row r="794" spans="3:3">
      <c r="C794" s="1847"/>
    </row>
    <row r="795" spans="3:3">
      <c r="C795" s="1847"/>
    </row>
    <row r="796" spans="3:3">
      <c r="C796" s="1847"/>
    </row>
    <row r="797" spans="3:3">
      <c r="C797" s="1847"/>
    </row>
    <row r="798" spans="3:3">
      <c r="C798" s="1847"/>
    </row>
    <row r="799" spans="3:3">
      <c r="C799" s="1847"/>
    </row>
    <row r="800" spans="3:3">
      <c r="C800" s="1847"/>
    </row>
    <row r="801" spans="3:3">
      <c r="C801" s="1847"/>
    </row>
    <row r="802" spans="3:3">
      <c r="C802" s="1847"/>
    </row>
    <row r="803" spans="3:3">
      <c r="C803" s="1847"/>
    </row>
    <row r="804" spans="3:3">
      <c r="C804" s="1847"/>
    </row>
    <row r="805" spans="3:3">
      <c r="C805" s="1847"/>
    </row>
    <row r="806" spans="3:3">
      <c r="C806" s="1847"/>
    </row>
    <row r="807" spans="3:3">
      <c r="C807" s="1847"/>
    </row>
    <row r="808" spans="3:3">
      <c r="C808" s="1847"/>
    </row>
    <row r="809" spans="3:3">
      <c r="C809" s="1847"/>
    </row>
    <row r="810" spans="3:3">
      <c r="C810" s="1847"/>
    </row>
    <row r="811" spans="3:3">
      <c r="C811" s="1847"/>
    </row>
    <row r="812" spans="3:3">
      <c r="C812" s="1847"/>
    </row>
    <row r="813" spans="3:3">
      <c r="C813" s="1847"/>
    </row>
    <row r="814" spans="3:3">
      <c r="C814" s="1847"/>
    </row>
    <row r="815" spans="3:3">
      <c r="C815" s="1847"/>
    </row>
    <row r="816" spans="3:3">
      <c r="C816" s="1847"/>
    </row>
    <row r="817" spans="3:3">
      <c r="C817" s="1847"/>
    </row>
    <row r="818" spans="3:3">
      <c r="C818" s="1847"/>
    </row>
    <row r="819" spans="3:3">
      <c r="C819" s="1847"/>
    </row>
    <row r="820" spans="3:3">
      <c r="C820" s="1847"/>
    </row>
    <row r="821" spans="3:3">
      <c r="C821" s="1847"/>
    </row>
    <row r="822" spans="3:3">
      <c r="C822" s="1847"/>
    </row>
    <row r="823" spans="3:3">
      <c r="C823" s="1847"/>
    </row>
    <row r="824" spans="3:3">
      <c r="C824" s="1847"/>
    </row>
    <row r="825" spans="3:3">
      <c r="C825" s="1847"/>
    </row>
    <row r="826" spans="3:3">
      <c r="C826" s="1847"/>
    </row>
    <row r="827" spans="3:3">
      <c r="C827" s="1847"/>
    </row>
    <row r="828" spans="3:3">
      <c r="C828" s="1847"/>
    </row>
    <row r="829" spans="3:3">
      <c r="C829" s="1847"/>
    </row>
    <row r="830" spans="3:3">
      <c r="C830" s="1847"/>
    </row>
    <row r="831" spans="3:3">
      <c r="C831" s="1847"/>
    </row>
    <row r="832" spans="3:3">
      <c r="C832" s="1847"/>
    </row>
    <row r="833" spans="3:3">
      <c r="C833" s="1847"/>
    </row>
    <row r="834" spans="3:3">
      <c r="C834" s="1847"/>
    </row>
    <row r="835" spans="3:3">
      <c r="C835" s="1847"/>
    </row>
    <row r="836" spans="3:3">
      <c r="C836" s="1847"/>
    </row>
    <row r="837" spans="3:3">
      <c r="C837" s="1847"/>
    </row>
    <row r="838" spans="3:3">
      <c r="C838" s="1847"/>
    </row>
    <row r="839" spans="3:3">
      <c r="C839" s="1847"/>
    </row>
    <row r="840" spans="3:3">
      <c r="C840" s="1847"/>
    </row>
    <row r="841" spans="3:3">
      <c r="C841" s="1847"/>
    </row>
    <row r="842" spans="3:3">
      <c r="C842" s="1847"/>
    </row>
    <row r="843" spans="3:3">
      <c r="C843" s="1847"/>
    </row>
    <row r="844" spans="3:3">
      <c r="C844" s="1847"/>
    </row>
    <row r="845" spans="3:3">
      <c r="C845" s="1847"/>
    </row>
    <row r="846" spans="3:3">
      <c r="C846" s="1847"/>
    </row>
    <row r="847" spans="3:3">
      <c r="C847" s="1847"/>
    </row>
    <row r="848" spans="3:3">
      <c r="C848" s="1847"/>
    </row>
    <row r="849" spans="3:3">
      <c r="C849" s="1847"/>
    </row>
    <row r="850" spans="3:3">
      <c r="C850" s="1847"/>
    </row>
    <row r="851" spans="3:3">
      <c r="C851" s="1847"/>
    </row>
    <row r="852" spans="3:3">
      <c r="C852" s="1847"/>
    </row>
    <row r="853" spans="3:3">
      <c r="C853" s="1847"/>
    </row>
    <row r="854" spans="3:3">
      <c r="C854" s="1847"/>
    </row>
    <row r="855" spans="3:3">
      <c r="C855" s="1847"/>
    </row>
    <row r="856" spans="3:3">
      <c r="C856" s="1847"/>
    </row>
    <row r="857" spans="3:3">
      <c r="C857" s="1847"/>
    </row>
    <row r="858" spans="3:3">
      <c r="C858" s="1847"/>
    </row>
    <row r="859" spans="3:3">
      <c r="C859" s="1847"/>
    </row>
    <row r="860" spans="3:3">
      <c r="C860" s="1847"/>
    </row>
    <row r="861" spans="3:3">
      <c r="C861" s="1847"/>
    </row>
    <row r="862" spans="3:3">
      <c r="C862" s="1847"/>
    </row>
    <row r="863" spans="3:3">
      <c r="C863" s="1847"/>
    </row>
    <row r="864" spans="3:3">
      <c r="C864" s="1847"/>
    </row>
    <row r="865" spans="3:3">
      <c r="C865" s="1847"/>
    </row>
    <row r="866" spans="3:3">
      <c r="C866" s="1847"/>
    </row>
    <row r="867" spans="3:3">
      <c r="C867" s="1847"/>
    </row>
    <row r="868" spans="3:3">
      <c r="C868" s="1847"/>
    </row>
    <row r="869" spans="3:3">
      <c r="C869" s="1847"/>
    </row>
    <row r="870" spans="3:3">
      <c r="C870" s="1847"/>
    </row>
    <row r="871" spans="3:3">
      <c r="C871" s="1847"/>
    </row>
    <row r="872" spans="3:3">
      <c r="C872" s="1847"/>
    </row>
    <row r="873" spans="3:3">
      <c r="C873" s="1847"/>
    </row>
    <row r="874" spans="3:3">
      <c r="C874" s="1847"/>
    </row>
    <row r="875" spans="3:3">
      <c r="C875" s="1847"/>
    </row>
    <row r="876" spans="3:3">
      <c r="C876" s="1847"/>
    </row>
    <row r="877" spans="3:3">
      <c r="C877" s="1847"/>
    </row>
    <row r="878" spans="3:3">
      <c r="C878" s="1847"/>
    </row>
    <row r="879" spans="3:3">
      <c r="C879" s="1847"/>
    </row>
    <row r="880" spans="3:3">
      <c r="C880" s="1847"/>
    </row>
    <row r="881" spans="3:3">
      <c r="C881" s="1847"/>
    </row>
    <row r="882" spans="3:3">
      <c r="C882" s="1847"/>
    </row>
    <row r="883" spans="3:3">
      <c r="C883" s="1847"/>
    </row>
    <row r="884" spans="3:3">
      <c r="C884" s="1847"/>
    </row>
    <row r="885" spans="3:3">
      <c r="C885" s="1847"/>
    </row>
    <row r="886" spans="3:3">
      <c r="C886" s="1847"/>
    </row>
    <row r="887" spans="3:3">
      <c r="C887" s="1847"/>
    </row>
    <row r="888" spans="3:3">
      <c r="C888" s="1847"/>
    </row>
    <row r="889" spans="3:3">
      <c r="C889" s="1847"/>
    </row>
    <row r="890" spans="3:3">
      <c r="C890" s="1847"/>
    </row>
    <row r="891" spans="3:3">
      <c r="C891" s="1847"/>
    </row>
    <row r="892" spans="3:3">
      <c r="C892" s="1847"/>
    </row>
    <row r="893" spans="3:3">
      <c r="C893" s="1847"/>
    </row>
    <row r="894" spans="3:3">
      <c r="C894" s="1847"/>
    </row>
    <row r="895" spans="3:3">
      <c r="C895" s="1847"/>
    </row>
    <row r="896" spans="3:3">
      <c r="C896" s="1847"/>
    </row>
    <row r="897" spans="3:3">
      <c r="C897" s="1847"/>
    </row>
    <row r="898" spans="3:3">
      <c r="C898" s="1847"/>
    </row>
    <row r="899" spans="3:3">
      <c r="C899" s="1847"/>
    </row>
    <row r="900" spans="3:3">
      <c r="C900" s="1847"/>
    </row>
    <row r="901" spans="3:3">
      <c r="C901" s="1847"/>
    </row>
    <row r="902" spans="3:3">
      <c r="C902" s="1847"/>
    </row>
    <row r="903" spans="3:3">
      <c r="C903" s="1847"/>
    </row>
    <row r="904" spans="3:3">
      <c r="C904" s="1847"/>
    </row>
    <row r="905" spans="3:3">
      <c r="C905" s="1847"/>
    </row>
    <row r="906" spans="3:3">
      <c r="C906" s="1847"/>
    </row>
    <row r="907" spans="3:3">
      <c r="C907" s="1847"/>
    </row>
    <row r="908" spans="3:3">
      <c r="C908" s="1847"/>
    </row>
    <row r="909" spans="3:3">
      <c r="C909" s="1847"/>
    </row>
    <row r="910" spans="3:3">
      <c r="C910" s="1847"/>
    </row>
    <row r="911" spans="3:3">
      <c r="C911" s="1847"/>
    </row>
    <row r="912" spans="3:3">
      <c r="C912" s="1847"/>
    </row>
    <row r="913" spans="3:3">
      <c r="C913" s="1847"/>
    </row>
    <row r="914" spans="3:3">
      <c r="C914" s="1847"/>
    </row>
    <row r="915" spans="3:3">
      <c r="C915" s="1847"/>
    </row>
    <row r="916" spans="3:3">
      <c r="C916" s="1847"/>
    </row>
    <row r="917" spans="3:3">
      <c r="C917" s="1847"/>
    </row>
    <row r="918" spans="3:3">
      <c r="C918" s="1847"/>
    </row>
    <row r="919" spans="3:3">
      <c r="C919" s="1847"/>
    </row>
    <row r="920" spans="3:3">
      <c r="C920" s="1847"/>
    </row>
    <row r="921" spans="3:3">
      <c r="C921" s="1847"/>
    </row>
    <row r="922" spans="3:3">
      <c r="C922" s="1847"/>
    </row>
    <row r="923" spans="3:3">
      <c r="C923" s="1847"/>
    </row>
    <row r="924" spans="3:3">
      <c r="C924" s="1847"/>
    </row>
    <row r="925" spans="3:3">
      <c r="C925" s="1847"/>
    </row>
    <row r="926" spans="3:3">
      <c r="C926" s="1847"/>
    </row>
    <row r="927" spans="3:3">
      <c r="C927" s="1847"/>
    </row>
    <row r="928" spans="3:3">
      <c r="C928" s="1847"/>
    </row>
    <row r="929" spans="3:3">
      <c r="C929" s="1847"/>
    </row>
    <row r="930" spans="3:3">
      <c r="C930" s="1847"/>
    </row>
    <row r="931" spans="3:3">
      <c r="C931" s="1847"/>
    </row>
    <row r="932" spans="3:3">
      <c r="C932" s="1847"/>
    </row>
    <row r="933" spans="3:3">
      <c r="C933" s="1847"/>
    </row>
    <row r="934" spans="3:3">
      <c r="C934" s="1847"/>
    </row>
    <row r="935" spans="3:3">
      <c r="C935" s="1847"/>
    </row>
    <row r="936" spans="3:3">
      <c r="C936" s="1847"/>
    </row>
    <row r="937" spans="3:3">
      <c r="C937" s="1847"/>
    </row>
    <row r="938" spans="3:3">
      <c r="C938" s="1847"/>
    </row>
    <row r="939" spans="3:3">
      <c r="C939" s="1847"/>
    </row>
    <row r="940" spans="3:3">
      <c r="C940" s="1847"/>
    </row>
    <row r="941" spans="3:3">
      <c r="C941" s="1847"/>
    </row>
    <row r="942" spans="3:3">
      <c r="C942" s="1847"/>
    </row>
    <row r="943" spans="3:3">
      <c r="C943" s="1847"/>
    </row>
    <row r="944" spans="3:3">
      <c r="C944" s="1847"/>
    </row>
    <row r="945" spans="3:3">
      <c r="C945" s="1847"/>
    </row>
    <row r="946" spans="3:3">
      <c r="C946" s="1847"/>
    </row>
    <row r="947" spans="3:3">
      <c r="C947" s="1847"/>
    </row>
    <row r="948" spans="3:3">
      <c r="C948" s="1847"/>
    </row>
    <row r="949" spans="3:3">
      <c r="C949" s="1847"/>
    </row>
    <row r="950" spans="3:3">
      <c r="C950" s="1847"/>
    </row>
    <row r="951" spans="3:3">
      <c r="C951" s="1847"/>
    </row>
    <row r="952" spans="3:3">
      <c r="C952" s="1847"/>
    </row>
    <row r="953" spans="3:3">
      <c r="C953" s="1847"/>
    </row>
    <row r="954" spans="3:3">
      <c r="C954" s="1847"/>
    </row>
    <row r="955" spans="3:3">
      <c r="C955" s="1847"/>
    </row>
    <row r="956" spans="3:3">
      <c r="C956" s="1847"/>
    </row>
    <row r="957" spans="3:3">
      <c r="C957" s="1847"/>
    </row>
    <row r="958" spans="3:3">
      <c r="C958" s="1847"/>
    </row>
    <row r="959" spans="3:3">
      <c r="C959" s="1847"/>
    </row>
    <row r="960" spans="3:3">
      <c r="C960" s="1847"/>
    </row>
    <row r="961" spans="3:3">
      <c r="C961" s="1847"/>
    </row>
    <row r="962" spans="3:3">
      <c r="C962" s="1847"/>
    </row>
    <row r="963" spans="3:3">
      <c r="C963" s="1847"/>
    </row>
    <row r="964" spans="3:3">
      <c r="C964" s="1847"/>
    </row>
    <row r="965" spans="3:3">
      <c r="C965" s="1847"/>
    </row>
    <row r="966" spans="3:3">
      <c r="C966" s="1847"/>
    </row>
    <row r="967" spans="3:3">
      <c r="C967" s="1847"/>
    </row>
    <row r="968" spans="3:3">
      <c r="C968" s="1847"/>
    </row>
    <row r="969" spans="3:3">
      <c r="C969" s="1847"/>
    </row>
    <row r="970" spans="3:3">
      <c r="C970" s="1847"/>
    </row>
    <row r="971" spans="3:3">
      <c r="C971" s="1847"/>
    </row>
    <row r="972" spans="3:3">
      <c r="C972" s="1847"/>
    </row>
    <row r="973" spans="3:3">
      <c r="C973" s="1847"/>
    </row>
    <row r="974" spans="3:3">
      <c r="C974" s="1847"/>
    </row>
    <row r="975" spans="3:3">
      <c r="C975" s="1847"/>
    </row>
    <row r="976" spans="3:3">
      <c r="C976" s="1847"/>
    </row>
    <row r="977" spans="3:3">
      <c r="C977" s="1847"/>
    </row>
    <row r="978" spans="3:3">
      <c r="C978" s="1847"/>
    </row>
    <row r="979" spans="3:3">
      <c r="C979" s="1847"/>
    </row>
    <row r="980" spans="3:3">
      <c r="C980" s="1847"/>
    </row>
    <row r="981" spans="3:3">
      <c r="C981" s="1847"/>
    </row>
    <row r="982" spans="3:3">
      <c r="C982" s="1847"/>
    </row>
    <row r="983" spans="3:3">
      <c r="C983" s="1847"/>
    </row>
    <row r="984" spans="3:3">
      <c r="C984" s="1847"/>
    </row>
    <row r="985" spans="3:3">
      <c r="C985" s="1847"/>
    </row>
    <row r="986" spans="3:3">
      <c r="C986" s="1847"/>
    </row>
    <row r="987" spans="3:3">
      <c r="C987" s="1847"/>
    </row>
    <row r="988" spans="3:3">
      <c r="C988" s="1847"/>
    </row>
    <row r="989" spans="3:3">
      <c r="C989" s="1847"/>
    </row>
    <row r="990" spans="3:3">
      <c r="C990" s="1847"/>
    </row>
    <row r="991" spans="3:3">
      <c r="C991" s="1847"/>
    </row>
    <row r="992" spans="3:3">
      <c r="C992" s="1847"/>
    </row>
    <row r="993" spans="3:3">
      <c r="C993" s="1847"/>
    </row>
    <row r="994" spans="3:3">
      <c r="C994" s="1847"/>
    </row>
    <row r="995" spans="3:3">
      <c r="C995" s="1847"/>
    </row>
    <row r="996" spans="3:3">
      <c r="C996" s="1847"/>
    </row>
    <row r="997" spans="3:3">
      <c r="C997" s="1847"/>
    </row>
    <row r="998" spans="3:3">
      <c r="C998" s="1847"/>
    </row>
    <row r="999" spans="3:3">
      <c r="C999" s="1847"/>
    </row>
    <row r="1000" spans="3:3">
      <c r="C1000" s="1847"/>
    </row>
    <row r="1001" spans="3:3">
      <c r="C1001" s="1847"/>
    </row>
    <row r="1002" spans="3:3">
      <c r="C1002" s="1847"/>
    </row>
    <row r="1003" spans="3:3">
      <c r="C1003" s="1847"/>
    </row>
    <row r="1004" spans="3:3">
      <c r="C1004" s="1847"/>
    </row>
    <row r="1005" spans="3:3">
      <c r="C1005" s="1847"/>
    </row>
    <row r="1006" spans="3:3">
      <c r="C1006" s="1847"/>
    </row>
    <row r="1007" spans="3:3">
      <c r="C1007" s="1847"/>
    </row>
    <row r="1008" spans="3:3">
      <c r="C1008" s="1847"/>
    </row>
    <row r="1009" spans="3:3">
      <c r="C1009" s="1847"/>
    </row>
    <row r="1010" spans="3:3">
      <c r="C1010" s="1847"/>
    </row>
    <row r="1011" spans="3:3">
      <c r="C1011" s="1847"/>
    </row>
    <row r="1012" spans="3:3">
      <c r="C1012" s="1847"/>
    </row>
    <row r="1013" spans="3:3">
      <c r="C1013" s="1847"/>
    </row>
    <row r="1014" spans="3:3">
      <c r="C1014" s="1847"/>
    </row>
    <row r="1015" spans="3:3">
      <c r="C1015" s="1847"/>
    </row>
    <row r="1016" spans="3:3">
      <c r="C1016" s="1847"/>
    </row>
    <row r="1017" spans="3:3">
      <c r="C1017" s="1847"/>
    </row>
    <row r="1018" spans="3:3">
      <c r="C1018" s="1847"/>
    </row>
    <row r="1019" spans="3:3">
      <c r="C1019" s="1847"/>
    </row>
    <row r="1020" spans="3:3">
      <c r="C1020" s="1847"/>
    </row>
    <row r="1021" spans="3:3">
      <c r="C1021" s="1847"/>
    </row>
    <row r="1022" spans="3:3">
      <c r="C1022" s="1847"/>
    </row>
    <row r="1023" spans="3:3">
      <c r="C1023" s="1847"/>
    </row>
    <row r="1024" spans="3:3">
      <c r="C1024" s="1847"/>
    </row>
    <row r="1025" spans="3:3">
      <c r="C1025" s="1847"/>
    </row>
    <row r="1026" spans="3:3">
      <c r="C1026" s="1847"/>
    </row>
    <row r="1027" spans="3:3">
      <c r="C1027" s="1847"/>
    </row>
    <row r="1028" spans="3:3">
      <c r="C1028" s="1847"/>
    </row>
    <row r="1029" spans="3:3">
      <c r="C1029" s="1847"/>
    </row>
    <row r="1030" spans="3:3">
      <c r="C1030" s="1847"/>
    </row>
    <row r="1031" spans="3:3">
      <c r="C1031" s="1847"/>
    </row>
    <row r="1032" spans="3:3">
      <c r="C1032" s="1847"/>
    </row>
    <row r="1033" spans="3:3">
      <c r="C1033" s="1847"/>
    </row>
    <row r="1034" spans="3:3">
      <c r="C1034" s="1847"/>
    </row>
    <row r="1035" spans="3:3">
      <c r="C1035" s="1847"/>
    </row>
    <row r="1036" spans="3:3">
      <c r="C1036" s="1847"/>
    </row>
    <row r="1037" spans="3:3">
      <c r="C1037" s="1847"/>
    </row>
    <row r="1038" spans="3:3">
      <c r="C1038" s="1847"/>
    </row>
    <row r="1039" spans="3:3">
      <c r="C1039" s="1847"/>
    </row>
    <row r="1040" spans="3:3">
      <c r="C1040" s="1847"/>
    </row>
    <row r="1041" spans="3:3">
      <c r="C1041" s="1847"/>
    </row>
    <row r="1042" spans="3:3">
      <c r="C1042" s="1847"/>
    </row>
    <row r="1043" spans="3:3">
      <c r="C1043" s="1847"/>
    </row>
    <row r="1044" spans="3:3">
      <c r="C1044" s="1847"/>
    </row>
    <row r="1045" spans="3:3">
      <c r="C1045" s="1847"/>
    </row>
    <row r="1046" spans="3:3">
      <c r="C1046" s="1847"/>
    </row>
    <row r="1047" spans="3:3">
      <c r="C1047" s="1847"/>
    </row>
    <row r="1048" spans="3:3">
      <c r="C1048" s="1847"/>
    </row>
    <row r="1049" spans="3:3">
      <c r="C1049" s="1847"/>
    </row>
    <row r="1050" spans="3:3">
      <c r="C1050" s="1847"/>
    </row>
    <row r="1051" spans="3:3">
      <c r="C1051" s="1847"/>
    </row>
    <row r="1052" spans="3:3">
      <c r="C1052" s="1847"/>
    </row>
    <row r="1053" spans="3:3">
      <c r="C1053" s="1847"/>
    </row>
    <row r="1054" spans="3:3">
      <c r="C1054" s="1847"/>
    </row>
    <row r="1055" spans="3:3">
      <c r="C1055" s="1847"/>
    </row>
    <row r="1056" spans="3:3">
      <c r="C1056" s="1847"/>
    </row>
    <row r="1057" spans="3:3">
      <c r="C1057" s="1847"/>
    </row>
    <row r="1058" spans="3:3">
      <c r="C1058" s="1847"/>
    </row>
    <row r="1059" spans="3:3">
      <c r="C1059" s="1847"/>
    </row>
    <row r="1060" spans="3:3">
      <c r="C1060" s="1847"/>
    </row>
    <row r="1061" spans="3:3">
      <c r="C1061" s="1847"/>
    </row>
    <row r="1062" spans="3:3">
      <c r="C1062" s="1847"/>
    </row>
    <row r="1063" spans="3:3">
      <c r="C1063" s="1847"/>
    </row>
    <row r="1064" spans="3:3">
      <c r="C1064" s="1847"/>
    </row>
    <row r="1065" spans="3:3">
      <c r="C1065" s="1847"/>
    </row>
    <row r="1066" spans="3:3">
      <c r="C1066" s="1847"/>
    </row>
    <row r="1067" spans="3:3">
      <c r="C1067" s="1847"/>
    </row>
    <row r="1068" spans="3:3">
      <c r="C1068" s="1847"/>
    </row>
    <row r="1069" spans="3:3">
      <c r="C1069" s="1847"/>
    </row>
    <row r="1070" spans="3:3">
      <c r="C1070" s="1847"/>
    </row>
    <row r="1071" spans="3:3">
      <c r="C1071" s="1847"/>
    </row>
    <row r="1072" spans="3:3">
      <c r="C1072" s="1847"/>
    </row>
    <row r="1073" spans="3:3">
      <c r="C1073" s="1847"/>
    </row>
    <row r="1074" spans="3:3">
      <c r="C1074" s="1847"/>
    </row>
    <row r="1075" spans="3:3">
      <c r="C1075" s="1847"/>
    </row>
    <row r="1076" spans="3:3">
      <c r="C1076" s="1847"/>
    </row>
    <row r="1077" spans="3:3">
      <c r="C1077" s="1847"/>
    </row>
    <row r="1078" spans="3:3">
      <c r="C1078" s="1847"/>
    </row>
    <row r="1079" spans="3:3">
      <c r="C1079" s="1847"/>
    </row>
    <row r="1080" spans="3:3">
      <c r="C1080" s="1847"/>
    </row>
    <row r="1081" spans="3:3">
      <c r="C1081" s="1847"/>
    </row>
    <row r="1082" spans="3:3">
      <c r="C1082" s="1847"/>
    </row>
    <row r="1083" spans="3:3">
      <c r="C1083" s="1847"/>
    </row>
    <row r="1084" spans="3:3">
      <c r="C1084" s="1847"/>
    </row>
    <row r="1085" spans="3:3">
      <c r="C1085" s="1847"/>
    </row>
    <row r="1086" spans="3:3">
      <c r="C1086" s="1847"/>
    </row>
    <row r="1087" spans="3:3">
      <c r="C1087" s="1847"/>
    </row>
    <row r="1088" spans="3:3">
      <c r="C1088" s="1847"/>
    </row>
    <row r="1089" spans="3:3">
      <c r="C1089" s="1847"/>
    </row>
    <row r="1090" spans="3:3">
      <c r="C1090" s="1847"/>
    </row>
    <row r="1091" spans="3:3">
      <c r="C1091" s="1847"/>
    </row>
    <row r="1092" spans="3:3">
      <c r="C1092" s="1847"/>
    </row>
    <row r="1093" spans="3:3">
      <c r="C1093" s="1847"/>
    </row>
    <row r="1094" spans="3:3">
      <c r="C1094" s="1847"/>
    </row>
    <row r="1095" spans="3:3">
      <c r="C1095" s="1847"/>
    </row>
    <row r="1096" spans="3:3">
      <c r="C1096" s="1847"/>
    </row>
    <row r="1097" spans="3:3">
      <c r="C1097" s="1847"/>
    </row>
    <row r="1098" spans="3:3">
      <c r="C1098" s="1847"/>
    </row>
    <row r="1099" spans="3:3">
      <c r="C1099" s="1847"/>
    </row>
    <row r="1100" spans="3:3">
      <c r="C1100" s="1847"/>
    </row>
    <row r="1101" spans="3:3">
      <c r="C1101" s="1847"/>
    </row>
    <row r="1102" spans="3:3">
      <c r="C1102" s="1847"/>
    </row>
    <row r="1103" spans="3:3">
      <c r="C1103" s="1847"/>
    </row>
    <row r="1104" spans="3:3">
      <c r="C1104" s="1847"/>
    </row>
    <row r="1105" spans="3:3">
      <c r="C1105" s="1847"/>
    </row>
    <row r="1106" spans="3:3">
      <c r="C1106" s="1847"/>
    </row>
    <row r="1107" spans="3:3">
      <c r="C1107" s="1847"/>
    </row>
    <row r="1108" spans="3:3">
      <c r="C1108" s="1847"/>
    </row>
    <row r="1109" spans="3:3">
      <c r="C1109" s="1847"/>
    </row>
    <row r="1110" spans="3:3">
      <c r="C1110" s="1847"/>
    </row>
    <row r="1111" spans="3:3">
      <c r="C1111" s="1847"/>
    </row>
    <row r="1112" spans="3:3">
      <c r="C1112" s="1847"/>
    </row>
    <row r="1113" spans="3:3">
      <c r="C1113" s="1847"/>
    </row>
    <row r="1114" spans="3:3">
      <c r="C1114" s="1847"/>
    </row>
    <row r="1115" spans="3:3">
      <c r="C1115" s="1847"/>
    </row>
    <row r="1116" spans="3:3">
      <c r="C1116" s="1847"/>
    </row>
    <row r="1117" spans="3:3">
      <c r="C1117" s="1847"/>
    </row>
    <row r="1118" spans="3:3">
      <c r="C1118" s="1847"/>
    </row>
    <row r="1119" spans="3:3">
      <c r="C1119" s="1847"/>
    </row>
    <row r="1120" spans="3:3">
      <c r="C1120" s="1847"/>
    </row>
    <row r="1121" spans="3:3">
      <c r="C1121" s="1847"/>
    </row>
    <row r="1122" spans="3:3">
      <c r="C1122" s="1847"/>
    </row>
    <row r="1123" spans="3:3">
      <c r="C1123" s="1847"/>
    </row>
    <row r="1124" spans="3:3">
      <c r="C1124" s="1847"/>
    </row>
    <row r="1125" spans="3:3">
      <c r="C1125" s="1847"/>
    </row>
    <row r="1126" spans="3:3">
      <c r="C1126" s="1847"/>
    </row>
    <row r="1127" spans="3:3">
      <c r="C1127" s="1847"/>
    </row>
    <row r="1128" spans="3:3">
      <c r="C1128" s="1847"/>
    </row>
    <row r="1129" spans="3:3">
      <c r="C1129" s="1847"/>
    </row>
    <row r="1130" spans="3:3">
      <c r="C1130" s="1847"/>
    </row>
    <row r="1131" spans="3:3">
      <c r="C1131" s="1847"/>
    </row>
    <row r="1132" spans="3:3">
      <c r="C1132" s="1847"/>
    </row>
    <row r="1133" spans="3:3">
      <c r="C1133" s="1847"/>
    </row>
    <row r="1134" spans="3:3">
      <c r="C1134" s="1847"/>
    </row>
    <row r="1135" spans="3:3">
      <c r="C1135" s="1847"/>
    </row>
    <row r="1136" spans="3:3">
      <c r="C1136" s="1847"/>
    </row>
    <row r="1137" spans="3:3">
      <c r="C1137" s="1847"/>
    </row>
    <row r="1138" spans="3:3">
      <c r="C1138" s="1847"/>
    </row>
    <row r="1139" spans="3:3">
      <c r="C1139" s="1847"/>
    </row>
    <row r="1140" spans="3:3">
      <c r="C1140" s="1847"/>
    </row>
    <row r="1141" spans="3:3">
      <c r="C1141" s="1847"/>
    </row>
    <row r="1142" spans="3:3">
      <c r="C1142" s="1847"/>
    </row>
    <row r="1143" spans="3:3">
      <c r="C1143" s="1847"/>
    </row>
    <row r="1144" spans="3:3">
      <c r="C1144" s="1847"/>
    </row>
    <row r="1145" spans="3:3">
      <c r="C1145" s="1847"/>
    </row>
    <row r="1146" spans="3:3">
      <c r="C1146" s="1847"/>
    </row>
    <row r="1147" spans="3:3">
      <c r="C1147" s="1847"/>
    </row>
    <row r="1148" spans="3:3">
      <c r="C1148" s="1847"/>
    </row>
    <row r="1149" spans="3:3">
      <c r="C1149" s="1847"/>
    </row>
    <row r="1150" spans="3:3">
      <c r="C1150" s="1847"/>
    </row>
    <row r="1151" spans="3:3">
      <c r="C1151" s="1847"/>
    </row>
    <row r="1152" spans="3:3">
      <c r="C1152" s="1847"/>
    </row>
    <row r="1153" spans="3:3">
      <c r="C1153" s="1847"/>
    </row>
    <row r="1154" spans="3:3">
      <c r="C1154" s="1847"/>
    </row>
    <row r="1155" spans="3:3">
      <c r="C1155" s="1847"/>
    </row>
    <row r="1156" spans="3:3">
      <c r="C1156" s="1847"/>
    </row>
    <row r="1157" spans="3:3">
      <c r="C1157" s="1847"/>
    </row>
    <row r="1158" spans="3:3">
      <c r="C1158" s="1847"/>
    </row>
    <row r="1159" spans="3:3">
      <c r="C1159" s="1847"/>
    </row>
    <row r="1160" spans="3:3">
      <c r="C1160" s="1847"/>
    </row>
    <row r="1161" spans="3:3">
      <c r="C1161" s="1847"/>
    </row>
    <row r="1162" spans="3:3">
      <c r="C1162" s="1847"/>
    </row>
    <row r="1163" spans="3:3">
      <c r="C1163" s="1847"/>
    </row>
    <row r="1164" spans="3:3">
      <c r="C1164" s="1847"/>
    </row>
    <row r="1165" spans="3:3">
      <c r="C1165" s="1847"/>
    </row>
    <row r="1166" spans="3:3">
      <c r="C1166" s="1847"/>
    </row>
    <row r="1167" spans="3:3">
      <c r="C1167" s="1847"/>
    </row>
    <row r="1168" spans="3:3">
      <c r="C1168" s="1847"/>
    </row>
    <row r="1169" spans="3:3">
      <c r="C1169" s="1847"/>
    </row>
    <row r="1170" spans="3:3">
      <c r="C1170" s="1847"/>
    </row>
    <row r="1171" spans="3:3">
      <c r="C1171" s="1847"/>
    </row>
    <row r="1172" spans="3:3">
      <c r="C1172" s="1847"/>
    </row>
    <row r="1173" spans="3:3">
      <c r="C1173" s="1847"/>
    </row>
    <row r="1174" spans="3:3">
      <c r="C1174" s="1847"/>
    </row>
    <row r="1175" spans="3:3">
      <c r="C1175" s="1847"/>
    </row>
    <row r="1176" spans="3:3">
      <c r="C1176" s="1847"/>
    </row>
    <row r="1177" spans="3:3">
      <c r="C1177" s="1847"/>
    </row>
    <row r="1178" spans="3:3">
      <c r="C1178" s="1847"/>
    </row>
    <row r="1179" spans="3:3">
      <c r="C1179" s="1847"/>
    </row>
    <row r="1180" spans="3:3">
      <c r="C1180" s="1847"/>
    </row>
    <row r="1181" spans="3:3">
      <c r="C1181" s="1847"/>
    </row>
    <row r="1182" spans="3:3">
      <c r="C1182" s="1847"/>
    </row>
    <row r="1183" spans="3:3">
      <c r="C1183" s="1847"/>
    </row>
    <row r="1184" spans="3:3">
      <c r="C1184" s="1847"/>
    </row>
    <row r="1185" spans="3:3">
      <c r="C1185" s="1847"/>
    </row>
    <row r="1186" spans="3:3">
      <c r="C1186" s="1847"/>
    </row>
    <row r="1187" spans="3:3">
      <c r="C1187" s="1847"/>
    </row>
    <row r="1188" spans="3:3">
      <c r="C1188" s="1847"/>
    </row>
    <row r="1189" spans="3:3">
      <c r="C1189" s="1847"/>
    </row>
    <row r="1190" spans="3:3">
      <c r="C1190" s="1847"/>
    </row>
    <row r="1191" spans="3:3">
      <c r="C1191" s="1847"/>
    </row>
    <row r="1192" spans="3:3">
      <c r="C1192" s="1847"/>
    </row>
    <row r="1193" spans="3:3">
      <c r="C1193" s="1847"/>
    </row>
    <row r="1194" spans="3:3">
      <c r="C1194" s="1847"/>
    </row>
    <row r="1195" spans="3:3">
      <c r="C1195" s="1847"/>
    </row>
    <row r="1196" spans="3:3">
      <c r="C1196" s="1847"/>
    </row>
    <row r="1197" spans="3:3">
      <c r="C1197" s="1847"/>
    </row>
    <row r="1198" spans="3:3">
      <c r="C1198" s="1847"/>
    </row>
    <row r="1199" spans="3:3">
      <c r="C1199" s="1847"/>
    </row>
    <row r="1200" spans="3:3">
      <c r="C1200" s="1847"/>
    </row>
    <row r="1201" spans="3:3">
      <c r="C1201" s="1847"/>
    </row>
    <row r="1202" spans="3:3">
      <c r="C1202" s="1847"/>
    </row>
    <row r="1203" spans="3:3">
      <c r="C1203" s="1847"/>
    </row>
    <row r="1204" spans="3:3">
      <c r="C1204" s="1847"/>
    </row>
    <row r="1205" spans="3:3">
      <c r="C1205" s="1847"/>
    </row>
    <row r="1206" spans="3:3">
      <c r="C1206" s="1847"/>
    </row>
    <row r="1207" spans="3:3">
      <c r="C1207" s="1847"/>
    </row>
    <row r="1208" spans="3:3">
      <c r="C1208" s="1847"/>
    </row>
    <row r="1209" spans="3:3">
      <c r="C1209" s="1847"/>
    </row>
    <row r="1210" spans="3:3">
      <c r="C1210" s="1847"/>
    </row>
    <row r="1211" spans="3:3">
      <c r="C1211" s="1847"/>
    </row>
    <row r="1212" spans="3:3">
      <c r="C1212" s="1847"/>
    </row>
    <row r="1213" spans="3:3">
      <c r="C1213" s="1847"/>
    </row>
    <row r="1214" spans="3:3">
      <c r="C1214" s="1847"/>
    </row>
    <row r="1215" spans="3:3">
      <c r="C1215" s="1847"/>
    </row>
    <row r="1216" spans="3:3">
      <c r="C1216" s="1847"/>
    </row>
    <row r="1217" spans="3:3">
      <c r="C1217" s="1847"/>
    </row>
    <row r="1218" spans="3:3">
      <c r="C1218" s="1847"/>
    </row>
    <row r="1219" spans="3:3">
      <c r="C1219" s="1847"/>
    </row>
    <row r="1220" spans="3:3">
      <c r="C1220" s="1847"/>
    </row>
    <row r="1221" spans="3:3">
      <c r="C1221" s="1847"/>
    </row>
    <row r="1222" spans="3:3">
      <c r="C1222" s="1847"/>
    </row>
    <row r="1223" spans="3:3">
      <c r="C1223" s="1847"/>
    </row>
    <row r="1224" spans="3:3">
      <c r="C1224" s="1847"/>
    </row>
    <row r="1225" spans="3:3">
      <c r="C1225" s="1847"/>
    </row>
    <row r="1226" spans="3:3">
      <c r="C1226" s="1847"/>
    </row>
    <row r="1227" spans="3:3">
      <c r="C1227" s="1847"/>
    </row>
    <row r="1228" spans="3:3">
      <c r="C1228" s="1847"/>
    </row>
    <row r="1229" spans="3:3">
      <c r="C1229" s="1847"/>
    </row>
    <row r="1230" spans="3:3">
      <c r="C1230" s="1847"/>
    </row>
    <row r="1231" spans="3:3">
      <c r="C1231" s="1847"/>
    </row>
    <row r="1232" spans="3:3">
      <c r="C1232" s="1847"/>
    </row>
    <row r="1233" spans="3:3">
      <c r="C1233" s="1847"/>
    </row>
    <row r="1234" spans="3:3">
      <c r="C1234" s="1847"/>
    </row>
    <row r="1235" spans="3:3">
      <c r="C1235" s="1847"/>
    </row>
    <row r="1236" spans="3:3">
      <c r="C1236" s="1847"/>
    </row>
    <row r="1237" spans="3:3">
      <c r="C1237" s="1847"/>
    </row>
    <row r="1238" spans="3:3">
      <c r="C1238" s="1847"/>
    </row>
    <row r="1239" spans="3:3">
      <c r="C1239" s="1847"/>
    </row>
    <row r="1240" spans="3:3">
      <c r="C1240" s="1847"/>
    </row>
    <row r="1241" spans="3:3">
      <c r="C1241" s="1847"/>
    </row>
    <row r="1242" spans="3:3">
      <c r="C1242" s="1847"/>
    </row>
    <row r="1243" spans="3:3">
      <c r="C1243" s="1847"/>
    </row>
    <row r="1244" spans="3:3">
      <c r="C1244" s="1847"/>
    </row>
    <row r="1245" spans="3:3">
      <c r="C1245" s="1847"/>
    </row>
    <row r="1246" spans="3:3">
      <c r="C1246" s="1847"/>
    </row>
    <row r="1247" spans="3:3">
      <c r="C1247" s="1847"/>
    </row>
    <row r="1248" spans="3:3">
      <c r="C1248" s="1847"/>
    </row>
    <row r="1249" spans="3:3">
      <c r="C1249" s="1847"/>
    </row>
    <row r="1250" spans="3:3">
      <c r="C1250" s="1847"/>
    </row>
    <row r="1251" spans="3:3">
      <c r="C1251" s="1847"/>
    </row>
    <row r="1252" spans="3:3">
      <c r="C1252" s="1847"/>
    </row>
    <row r="1253" spans="3:3">
      <c r="C1253" s="1847"/>
    </row>
    <row r="1254" spans="3:3">
      <c r="C1254" s="1847"/>
    </row>
    <row r="1255" spans="3:3">
      <c r="C1255" s="1847"/>
    </row>
    <row r="1256" spans="3:3">
      <c r="C1256" s="1847"/>
    </row>
    <row r="1257" spans="3:3">
      <c r="C1257" s="1847"/>
    </row>
    <row r="1258" spans="3:3">
      <c r="C1258" s="1847"/>
    </row>
    <row r="1259" spans="3:3">
      <c r="C1259" s="1847"/>
    </row>
    <row r="1260" spans="3:3">
      <c r="C1260" s="1847"/>
    </row>
    <row r="1261" spans="3:3">
      <c r="C1261" s="1847"/>
    </row>
    <row r="1262" spans="3:3">
      <c r="C1262" s="1847"/>
    </row>
    <row r="1263" spans="3:3">
      <c r="C1263" s="1847"/>
    </row>
    <row r="1264" spans="3:3">
      <c r="C1264" s="1847"/>
    </row>
    <row r="1265" spans="3:3">
      <c r="C1265" s="1847"/>
    </row>
    <row r="1266" spans="3:3">
      <c r="C1266" s="1847"/>
    </row>
    <row r="1267" spans="3:3">
      <c r="C1267" s="1847"/>
    </row>
    <row r="1268" spans="3:3">
      <c r="C1268" s="1847"/>
    </row>
    <row r="1269" spans="3:3">
      <c r="C1269" s="1847"/>
    </row>
    <row r="1270" spans="3:3">
      <c r="C1270" s="1847"/>
    </row>
    <row r="1271" spans="3:3">
      <c r="C1271" s="1847"/>
    </row>
    <row r="1272" spans="3:3">
      <c r="C1272" s="1847"/>
    </row>
    <row r="1273" spans="3:3">
      <c r="C1273" s="1847"/>
    </row>
    <row r="1274" spans="3:3">
      <c r="C1274" s="1847"/>
    </row>
    <row r="1275" spans="3:3">
      <c r="C1275" s="1847"/>
    </row>
    <row r="1276" spans="3:3">
      <c r="C1276" s="1847"/>
    </row>
    <row r="1277" spans="3:3">
      <c r="C1277" s="1847"/>
    </row>
    <row r="1278" spans="3:3">
      <c r="C1278" s="1847"/>
    </row>
    <row r="1279" spans="3:3">
      <c r="C1279" s="1847"/>
    </row>
    <row r="1280" spans="3:3">
      <c r="C1280" s="1847"/>
    </row>
    <row r="1281" spans="3:3">
      <c r="C1281" s="1847"/>
    </row>
    <row r="1282" spans="3:3">
      <c r="C1282" s="1847"/>
    </row>
    <row r="1283" spans="3:3">
      <c r="C1283" s="1847"/>
    </row>
    <row r="1284" spans="3:3">
      <c r="C1284" s="1847"/>
    </row>
    <row r="1285" spans="3:3">
      <c r="C1285" s="1847"/>
    </row>
    <row r="1286" spans="3:3">
      <c r="C1286" s="1847"/>
    </row>
    <row r="1287" spans="3:3">
      <c r="C1287" s="1847"/>
    </row>
    <row r="1288" spans="3:3">
      <c r="C1288" s="1847"/>
    </row>
    <row r="1289" spans="3:3">
      <c r="C1289" s="1847"/>
    </row>
    <row r="1290" spans="3:3">
      <c r="C1290" s="1847"/>
    </row>
    <row r="1291" spans="3:3">
      <c r="C1291" s="1847"/>
    </row>
    <row r="1292" spans="3:3">
      <c r="C1292" s="1847"/>
    </row>
    <row r="1293" spans="3:3">
      <c r="C1293" s="1847"/>
    </row>
    <row r="1294" spans="3:3">
      <c r="C1294" s="1847"/>
    </row>
    <row r="1295" spans="3:3">
      <c r="C1295" s="1847"/>
    </row>
    <row r="1296" spans="3:3">
      <c r="C1296" s="1847"/>
    </row>
    <row r="1297" spans="3:3">
      <c r="C1297" s="1847"/>
    </row>
    <row r="1298" spans="3:3">
      <c r="C1298" s="1847"/>
    </row>
    <row r="1299" spans="3:3">
      <c r="C1299" s="1847"/>
    </row>
    <row r="1300" spans="3:3">
      <c r="C1300" s="1847"/>
    </row>
    <row r="1301" spans="3:3">
      <c r="C1301" s="1847"/>
    </row>
    <row r="1302" spans="3:3">
      <c r="C1302" s="1847"/>
    </row>
    <row r="1303" spans="3:3">
      <c r="C1303" s="1847"/>
    </row>
    <row r="1304" spans="3:3">
      <c r="C1304" s="1847"/>
    </row>
    <row r="1305" spans="3:3">
      <c r="C1305" s="1847"/>
    </row>
    <row r="1306" spans="3:3">
      <c r="C1306" s="1847"/>
    </row>
    <row r="1307" spans="3:3">
      <c r="C1307" s="1847"/>
    </row>
    <row r="1308" spans="3:3">
      <c r="C1308" s="1847"/>
    </row>
    <row r="1309" spans="3:3">
      <c r="C1309" s="1847"/>
    </row>
    <row r="1310" spans="3:3">
      <c r="C1310" s="1847"/>
    </row>
    <row r="1311" spans="3:3">
      <c r="C1311" s="1847"/>
    </row>
    <row r="1312" spans="3:3">
      <c r="C1312" s="1847"/>
    </row>
    <row r="1313" spans="3:3">
      <c r="C1313" s="1847"/>
    </row>
    <row r="1314" spans="3:3">
      <c r="C1314" s="1847"/>
    </row>
    <row r="1315" spans="3:3">
      <c r="C1315" s="1847"/>
    </row>
    <row r="1316" spans="3:3">
      <c r="C1316" s="1847"/>
    </row>
    <row r="1317" spans="3:3">
      <c r="C1317" s="1847"/>
    </row>
    <row r="1318" spans="3:3">
      <c r="C1318" s="1847"/>
    </row>
    <row r="1319" spans="3:3">
      <c r="C1319" s="1847"/>
    </row>
    <row r="1320" spans="3:3">
      <c r="C1320" s="1847"/>
    </row>
    <row r="1321" spans="3:3">
      <c r="C1321" s="1847"/>
    </row>
    <row r="1322" spans="3:3">
      <c r="C1322" s="1847"/>
    </row>
    <row r="1323" spans="3:3">
      <c r="C1323" s="1847"/>
    </row>
    <row r="1324" spans="3:3">
      <c r="C1324" s="1847"/>
    </row>
    <row r="1325" spans="3:3">
      <c r="C1325" s="1847"/>
    </row>
    <row r="1326" spans="3:3">
      <c r="C1326" s="1847"/>
    </row>
    <row r="1327" spans="3:3">
      <c r="C1327" s="1847"/>
    </row>
    <row r="1328" spans="3:3">
      <c r="C1328" s="1847"/>
    </row>
    <row r="1329" spans="3:3">
      <c r="C1329" s="1847"/>
    </row>
    <row r="1330" spans="3:3">
      <c r="C1330" s="1847"/>
    </row>
    <row r="1331" spans="3:3">
      <c r="C1331" s="1847"/>
    </row>
    <row r="1332" spans="3:3">
      <c r="C1332" s="1847"/>
    </row>
    <row r="1333" spans="3:3">
      <c r="C1333" s="1847"/>
    </row>
    <row r="1334" spans="3:3">
      <c r="C1334" s="1847"/>
    </row>
    <row r="1335" spans="3:3">
      <c r="C1335" s="1847"/>
    </row>
    <row r="1336" spans="3:3">
      <c r="C1336" s="1847"/>
    </row>
    <row r="1337" spans="3:3">
      <c r="C1337" s="1847"/>
    </row>
    <row r="1338" spans="3:3">
      <c r="C1338" s="1847"/>
    </row>
    <row r="1339" spans="3:3">
      <c r="C1339" s="1847"/>
    </row>
    <row r="1340" spans="3:3">
      <c r="C1340" s="1847"/>
    </row>
    <row r="1341" spans="3:3">
      <c r="C1341" s="1847"/>
    </row>
    <row r="1342" spans="3:3">
      <c r="C1342" s="1847"/>
    </row>
    <row r="1343" spans="3:3">
      <c r="C1343" s="1847"/>
    </row>
    <row r="1344" spans="3:3">
      <c r="C1344" s="1847"/>
    </row>
    <row r="1345" spans="3:3">
      <c r="C1345" s="1847"/>
    </row>
    <row r="1346" spans="3:3">
      <c r="C1346" s="1847"/>
    </row>
    <row r="1347" spans="3:3">
      <c r="C1347" s="1847"/>
    </row>
    <row r="1348" spans="3:3">
      <c r="C1348" s="1847"/>
    </row>
    <row r="1349" spans="3:3">
      <c r="C1349" s="1847"/>
    </row>
    <row r="1350" spans="3:3">
      <c r="C1350" s="1847"/>
    </row>
    <row r="1351" spans="3:3">
      <c r="C1351" s="1847"/>
    </row>
    <row r="1352" spans="3:3">
      <c r="C1352" s="1847"/>
    </row>
    <row r="1353" spans="3:3">
      <c r="C1353" s="1847"/>
    </row>
    <row r="1354" spans="3:3">
      <c r="C1354" s="1847"/>
    </row>
    <row r="1355" spans="3:3">
      <c r="C1355" s="1847"/>
    </row>
    <row r="1356" spans="3:3">
      <c r="C1356" s="1847"/>
    </row>
    <row r="1357" spans="3:3">
      <c r="C1357" s="1847"/>
    </row>
    <row r="1358" spans="3:3">
      <c r="C1358" s="1847"/>
    </row>
    <row r="1359" spans="3:3">
      <c r="C1359" s="1847"/>
    </row>
    <row r="1360" spans="3:3">
      <c r="C1360" s="1847"/>
    </row>
    <row r="1361" spans="3:3">
      <c r="C1361" s="1847"/>
    </row>
    <row r="1362" spans="3:3">
      <c r="C1362" s="1847"/>
    </row>
    <row r="1363" spans="3:3">
      <c r="C1363" s="1847"/>
    </row>
    <row r="1364" spans="3:3">
      <c r="C1364" s="1847"/>
    </row>
    <row r="1365" spans="3:3">
      <c r="C1365" s="1847"/>
    </row>
    <row r="1366" spans="3:3">
      <c r="C1366" s="1847"/>
    </row>
    <row r="1367" spans="3:3">
      <c r="C1367" s="1847"/>
    </row>
    <row r="1368" spans="3:3">
      <c r="C1368" s="1847"/>
    </row>
    <row r="1369" spans="3:3">
      <c r="C1369" s="1847"/>
    </row>
    <row r="1370" spans="3:3">
      <c r="C1370" s="1847"/>
    </row>
    <row r="1371" spans="3:3">
      <c r="C1371" s="1847"/>
    </row>
    <row r="1372" spans="3:3">
      <c r="C1372" s="1847"/>
    </row>
    <row r="1373" spans="3:3">
      <c r="C1373" s="1847"/>
    </row>
    <row r="1374" spans="3:3">
      <c r="C1374" s="1847"/>
    </row>
    <row r="1375" spans="3:3">
      <c r="C1375" s="1847"/>
    </row>
    <row r="1376" spans="3:3">
      <c r="C1376" s="1847"/>
    </row>
    <row r="1377" spans="3:3">
      <c r="C1377" s="1847"/>
    </row>
    <row r="1378" spans="3:3">
      <c r="C1378" s="1847"/>
    </row>
    <row r="1379" spans="3:3">
      <c r="C1379" s="1847"/>
    </row>
    <row r="1380" spans="3:3">
      <c r="C1380" s="1847"/>
    </row>
    <row r="1381" spans="3:3">
      <c r="C1381" s="1847"/>
    </row>
    <row r="1382" spans="3:3">
      <c r="C1382" s="1847"/>
    </row>
    <row r="1383" spans="3:3">
      <c r="C1383" s="1847"/>
    </row>
    <row r="1384" spans="3:3">
      <c r="C1384" s="1847"/>
    </row>
    <row r="1385" spans="3:3">
      <c r="C1385" s="1847"/>
    </row>
    <row r="1386" spans="3:3">
      <c r="C1386" s="1847"/>
    </row>
    <row r="1387" spans="3:3">
      <c r="C1387" s="1847"/>
    </row>
    <row r="1388" spans="3:3">
      <c r="C1388" s="1847"/>
    </row>
    <row r="1389" spans="3:3">
      <c r="C1389" s="1847"/>
    </row>
    <row r="1390" spans="3:3">
      <c r="C1390" s="1847"/>
    </row>
    <row r="1391" spans="3:3">
      <c r="C1391" s="1847"/>
    </row>
    <row r="1392" spans="3:3">
      <c r="C1392" s="1847"/>
    </row>
    <row r="1393" spans="3:3">
      <c r="C1393" s="1847"/>
    </row>
    <row r="1394" spans="3:3">
      <c r="C1394" s="1847"/>
    </row>
    <row r="1395" spans="3:3">
      <c r="C1395" s="1847"/>
    </row>
    <row r="1396" spans="3:3">
      <c r="C1396" s="1847"/>
    </row>
    <row r="1397" spans="3:3">
      <c r="C1397" s="1847"/>
    </row>
    <row r="1398" spans="3:3">
      <c r="C1398" s="1847"/>
    </row>
    <row r="1399" spans="3:3">
      <c r="C1399" s="1847"/>
    </row>
    <row r="1400" spans="3:3">
      <c r="C1400" s="1847"/>
    </row>
    <row r="1401" spans="3:3">
      <c r="C1401" s="1847"/>
    </row>
    <row r="1402" spans="3:3">
      <c r="C1402" s="1847"/>
    </row>
    <row r="1403" spans="3:3">
      <c r="C1403" s="1847"/>
    </row>
    <row r="1404" spans="3:3">
      <c r="C1404" s="1847"/>
    </row>
    <row r="1405" spans="3:3">
      <c r="C1405" s="1847"/>
    </row>
    <row r="1406" spans="3:3">
      <c r="C1406" s="1847"/>
    </row>
    <row r="1407" spans="3:3">
      <c r="C1407" s="1847"/>
    </row>
    <row r="1408" spans="3:3">
      <c r="C1408" s="1847"/>
    </row>
    <row r="1409" spans="3:3">
      <c r="C1409" s="1847"/>
    </row>
    <row r="1410" spans="3:3">
      <c r="C1410" s="1847"/>
    </row>
    <row r="1411" spans="3:3">
      <c r="C1411" s="1847"/>
    </row>
    <row r="1412" spans="3:3">
      <c r="C1412" s="1847"/>
    </row>
    <row r="1413" spans="3:3">
      <c r="C1413" s="1847"/>
    </row>
    <row r="1414" spans="3:3">
      <c r="C1414" s="1847"/>
    </row>
    <row r="1415" spans="3:3">
      <c r="C1415" s="1847"/>
    </row>
    <row r="1416" spans="3:3">
      <c r="C1416" s="1847"/>
    </row>
    <row r="1417" spans="3:3">
      <c r="C1417" s="1847"/>
    </row>
    <row r="1418" spans="3:3">
      <c r="C1418" s="1847"/>
    </row>
    <row r="1419" spans="3:3">
      <c r="C1419" s="1847"/>
    </row>
    <row r="1420" spans="3:3">
      <c r="C1420" s="1847"/>
    </row>
    <row r="1421" spans="3:3">
      <c r="C1421" s="1847"/>
    </row>
    <row r="1422" spans="3:3">
      <c r="C1422" s="1847"/>
    </row>
    <row r="1423" spans="3:3">
      <c r="C1423" s="1847"/>
    </row>
    <row r="1424" spans="3:3">
      <c r="C1424" s="1847"/>
    </row>
    <row r="1425" spans="3:3">
      <c r="C1425" s="1847"/>
    </row>
    <row r="1426" spans="3:3">
      <c r="C1426" s="1847"/>
    </row>
    <row r="1427" spans="3:3">
      <c r="C1427" s="1847"/>
    </row>
    <row r="1428" spans="3:3">
      <c r="C1428" s="1847"/>
    </row>
    <row r="1429" spans="3:3">
      <c r="C1429" s="1847"/>
    </row>
    <row r="1430" spans="3:3">
      <c r="C1430" s="1847"/>
    </row>
    <row r="1431" spans="3:3">
      <c r="C1431" s="1847"/>
    </row>
    <row r="1432" spans="3:3">
      <c r="C1432" s="1847"/>
    </row>
    <row r="1433" spans="3:3">
      <c r="C1433" s="1847"/>
    </row>
    <row r="1434" spans="3:3">
      <c r="C1434" s="1847"/>
    </row>
    <row r="1435" spans="3:3">
      <c r="C1435" s="1847"/>
    </row>
    <row r="1436" spans="3:3">
      <c r="C1436" s="1847"/>
    </row>
    <row r="1437" spans="3:3">
      <c r="C1437" s="1847"/>
    </row>
    <row r="1438" spans="3:3">
      <c r="C1438" s="1847"/>
    </row>
    <row r="1439" spans="3:3">
      <c r="C1439" s="1847"/>
    </row>
    <row r="1440" spans="3:3">
      <c r="C1440" s="1847"/>
    </row>
    <row r="1441" spans="3:3">
      <c r="C1441" s="1847"/>
    </row>
    <row r="1442" spans="3:3">
      <c r="C1442" s="1847"/>
    </row>
    <row r="1443" spans="3:3">
      <c r="C1443" s="1847"/>
    </row>
    <row r="1444" spans="3:3">
      <c r="C1444" s="1847"/>
    </row>
    <row r="1445" spans="3:3">
      <c r="C1445" s="1847"/>
    </row>
    <row r="1446" spans="3:3">
      <c r="C1446" s="1847"/>
    </row>
    <row r="1447" spans="3:3">
      <c r="C1447" s="1847"/>
    </row>
    <row r="1448" spans="3:3">
      <c r="C1448" s="1847"/>
    </row>
    <row r="1449" spans="3:3">
      <c r="C1449" s="1847"/>
    </row>
    <row r="1450" spans="3:3">
      <c r="C1450" s="1847"/>
    </row>
    <row r="1451" spans="3:3">
      <c r="C1451" s="1847"/>
    </row>
    <row r="1452" spans="3:3">
      <c r="C1452" s="1847"/>
    </row>
    <row r="1453" spans="3:3">
      <c r="C1453" s="1847"/>
    </row>
    <row r="1454" spans="3:3">
      <c r="C1454" s="1847"/>
    </row>
    <row r="1455" spans="3:3">
      <c r="C1455" s="1847"/>
    </row>
    <row r="1456" spans="3:3">
      <c r="C1456" s="1847"/>
    </row>
    <row r="1457" spans="3:3">
      <c r="C1457" s="1847"/>
    </row>
    <row r="1458" spans="3:3">
      <c r="C1458" s="1847"/>
    </row>
    <row r="1459" spans="3:3">
      <c r="C1459" s="1847"/>
    </row>
    <row r="1460" spans="3:3">
      <c r="C1460" s="1847"/>
    </row>
    <row r="1461" spans="3:3">
      <c r="C1461" s="1847"/>
    </row>
    <row r="1462" spans="3:3">
      <c r="C1462" s="1847"/>
    </row>
    <row r="1463" spans="3:3">
      <c r="C1463" s="1847"/>
    </row>
    <row r="1464" spans="3:3">
      <c r="C1464" s="1847"/>
    </row>
    <row r="1465" spans="3:3">
      <c r="C1465" s="1847"/>
    </row>
    <row r="1466" spans="3:3">
      <c r="C1466" s="1847"/>
    </row>
    <row r="1467" spans="3:3">
      <c r="C1467" s="1847"/>
    </row>
    <row r="1468" spans="3:3">
      <c r="C1468" s="1847"/>
    </row>
    <row r="1469" spans="3:3">
      <c r="C1469" s="1847"/>
    </row>
    <row r="1470" spans="3:3">
      <c r="C1470" s="1847"/>
    </row>
    <row r="1471" spans="3:3">
      <c r="C1471" s="1847"/>
    </row>
    <row r="1472" spans="3:3">
      <c r="C1472" s="1847"/>
    </row>
    <row r="1473" spans="3:3">
      <c r="C1473" s="1847"/>
    </row>
    <row r="1474" spans="3:3">
      <c r="C1474" s="1847"/>
    </row>
    <row r="1475" spans="3:3">
      <c r="C1475" s="1847"/>
    </row>
    <row r="1476" spans="3:3">
      <c r="C1476" s="1847"/>
    </row>
    <row r="1477" spans="3:3">
      <c r="C1477" s="1847"/>
    </row>
    <row r="1478" spans="3:3">
      <c r="C1478" s="1847"/>
    </row>
    <row r="1479" spans="3:3">
      <c r="C1479" s="1847"/>
    </row>
    <row r="1480" spans="3:3">
      <c r="C1480" s="1847"/>
    </row>
    <row r="1481" spans="3:3">
      <c r="C1481" s="1847"/>
    </row>
    <row r="1482" spans="3:3">
      <c r="C1482" s="1847"/>
    </row>
    <row r="1483" spans="3:3">
      <c r="C1483" s="1847"/>
    </row>
    <row r="1484" spans="3:3">
      <c r="C1484" s="1847"/>
    </row>
    <row r="1485" spans="3:3">
      <c r="C1485" s="1847"/>
    </row>
    <row r="1486" spans="3:3">
      <c r="C1486" s="1847"/>
    </row>
    <row r="1487" spans="3:3">
      <c r="C1487" s="1847"/>
    </row>
    <row r="1488" spans="3:3">
      <c r="C1488" s="1847"/>
    </row>
    <row r="1489" spans="3:3">
      <c r="C1489" s="1847"/>
    </row>
    <row r="1490" spans="3:3">
      <c r="C1490" s="1847"/>
    </row>
    <row r="1491" spans="3:3">
      <c r="C1491" s="1847"/>
    </row>
    <row r="1492" spans="3:3">
      <c r="C1492" s="1847"/>
    </row>
    <row r="1493" spans="3:3">
      <c r="C1493" s="1847"/>
    </row>
    <row r="1494" spans="3:3">
      <c r="C1494" s="1847"/>
    </row>
    <row r="1495" spans="3:3">
      <c r="C1495" s="1847"/>
    </row>
    <row r="1496" spans="3:3">
      <c r="C1496" s="1847"/>
    </row>
    <row r="1497" spans="3:3">
      <c r="C1497" s="1847"/>
    </row>
    <row r="1498" spans="3:3">
      <c r="C1498" s="1847"/>
    </row>
    <row r="1499" spans="3:3">
      <c r="C1499" s="1847"/>
    </row>
    <row r="1500" spans="3:3">
      <c r="C1500" s="1847"/>
    </row>
    <row r="1501" spans="3:3">
      <c r="C1501" s="1847"/>
    </row>
    <row r="1502" spans="3:3">
      <c r="C1502" s="1847"/>
    </row>
    <row r="1503" spans="3:3">
      <c r="C1503" s="1847"/>
    </row>
    <row r="1504" spans="3:3">
      <c r="C1504" s="1847"/>
    </row>
    <row r="1505" spans="3:3">
      <c r="C1505" s="1847"/>
    </row>
    <row r="1506" spans="3:3">
      <c r="C1506" s="1847"/>
    </row>
    <row r="1507" spans="3:3">
      <c r="C1507" s="1847"/>
    </row>
    <row r="1508" spans="3:3">
      <c r="C1508" s="1847"/>
    </row>
    <row r="1509" spans="3:3">
      <c r="C1509" s="1847"/>
    </row>
    <row r="1510" spans="3:3">
      <c r="C1510" s="1847"/>
    </row>
    <row r="1511" spans="3:3">
      <c r="C1511" s="1847"/>
    </row>
    <row r="1512" spans="3:3">
      <c r="C1512" s="1847"/>
    </row>
    <row r="1513" spans="3:3">
      <c r="C1513" s="1847"/>
    </row>
    <row r="1514" spans="3:3">
      <c r="C1514" s="1847"/>
    </row>
    <row r="1515" spans="3:3">
      <c r="C1515" s="1847"/>
    </row>
    <row r="1516" spans="3:3">
      <c r="C1516" s="1847"/>
    </row>
    <row r="1517" spans="3:3">
      <c r="C1517" s="1847"/>
    </row>
    <row r="1518" spans="3:3">
      <c r="C1518" s="1847"/>
    </row>
    <row r="1519" spans="3:3">
      <c r="C1519" s="1847"/>
    </row>
    <row r="1520" spans="3:3">
      <c r="C1520" s="1847"/>
    </row>
    <row r="1521" spans="3:3">
      <c r="C1521" s="1847"/>
    </row>
    <row r="1522" spans="3:3">
      <c r="C1522" s="1847"/>
    </row>
    <row r="1523" spans="3:3">
      <c r="C1523" s="1847"/>
    </row>
    <row r="1524" spans="3:3">
      <c r="C1524" s="1847"/>
    </row>
    <row r="1525" spans="3:3">
      <c r="C1525" s="1847"/>
    </row>
    <row r="1526" spans="3:3">
      <c r="C1526" s="1847"/>
    </row>
    <row r="1527" spans="3:3">
      <c r="C1527" s="1847"/>
    </row>
    <row r="1528" spans="3:3">
      <c r="C1528" s="1847"/>
    </row>
    <row r="1529" spans="3:3">
      <c r="C1529" s="1847"/>
    </row>
    <row r="1530" spans="3:3">
      <c r="C1530" s="1847"/>
    </row>
    <row r="1531" spans="3:3">
      <c r="C1531" s="1847"/>
    </row>
    <row r="1532" spans="3:3">
      <c r="C1532" s="1847"/>
    </row>
    <row r="1533" spans="3:3">
      <c r="C1533" s="1847"/>
    </row>
    <row r="1534" spans="3:3">
      <c r="C1534" s="1847"/>
    </row>
    <row r="1535" spans="3:3">
      <c r="C1535" s="1847"/>
    </row>
    <row r="1536" spans="3:3">
      <c r="C1536" s="1847"/>
    </row>
    <row r="1537" spans="3:3">
      <c r="C1537" s="1847"/>
    </row>
    <row r="1538" spans="3:3">
      <c r="C1538" s="1847"/>
    </row>
    <row r="1539" spans="3:3">
      <c r="C1539" s="1847"/>
    </row>
    <row r="1540" spans="3:3">
      <c r="C1540" s="1847"/>
    </row>
    <row r="1541" spans="3:3">
      <c r="C1541" s="1847"/>
    </row>
    <row r="1542" spans="3:3">
      <c r="C1542" s="1847"/>
    </row>
    <row r="1543" spans="3:3">
      <c r="C1543" s="1847"/>
    </row>
    <row r="1544" spans="3:3">
      <c r="C1544" s="1847"/>
    </row>
    <row r="1545" spans="3:3">
      <c r="C1545" s="1847"/>
    </row>
    <row r="1546" spans="3:3">
      <c r="C1546" s="1847"/>
    </row>
    <row r="1547" spans="3:3">
      <c r="C1547" s="1847"/>
    </row>
    <row r="1548" spans="3:3">
      <c r="C1548" s="1847"/>
    </row>
    <row r="1549" spans="3:3">
      <c r="C1549" s="1847"/>
    </row>
    <row r="1550" spans="3:3">
      <c r="C1550" s="1847"/>
    </row>
    <row r="1551" spans="3:3">
      <c r="C1551" s="1847"/>
    </row>
    <row r="1552" spans="3:3">
      <c r="C1552" s="1847"/>
    </row>
    <row r="1553" spans="3:3">
      <c r="C1553" s="1847"/>
    </row>
    <row r="1554" spans="3:3">
      <c r="C1554" s="1847"/>
    </row>
    <row r="1555" spans="3:3">
      <c r="C1555" s="1847"/>
    </row>
    <row r="1556" spans="3:3">
      <c r="C1556" s="1847"/>
    </row>
    <row r="1557" spans="3:3">
      <c r="C1557" s="1847"/>
    </row>
    <row r="1558" spans="3:3">
      <c r="C1558" s="1847"/>
    </row>
    <row r="1559" spans="3:3">
      <c r="C1559" s="1847"/>
    </row>
    <row r="1560" spans="3:3">
      <c r="C1560" s="1847"/>
    </row>
    <row r="1561" spans="3:3">
      <c r="C1561" s="1847"/>
    </row>
    <row r="1562" spans="3:3">
      <c r="C1562" s="1847"/>
    </row>
    <row r="1563" spans="3:3">
      <c r="C1563" s="1847"/>
    </row>
    <row r="1564" spans="3:3">
      <c r="C1564" s="1847"/>
    </row>
    <row r="1565" spans="3:3">
      <c r="C1565" s="1847"/>
    </row>
    <row r="1566" spans="3:3">
      <c r="C1566" s="1847"/>
    </row>
    <row r="1567" spans="3:3">
      <c r="C1567" s="1847"/>
    </row>
    <row r="1568" spans="3:3">
      <c r="C1568" s="1847"/>
    </row>
    <row r="1569" spans="3:3">
      <c r="C1569" s="1847"/>
    </row>
    <row r="1570" spans="3:3">
      <c r="C1570" s="1847"/>
    </row>
    <row r="1571" spans="3:3">
      <c r="C1571" s="1847"/>
    </row>
    <row r="1572" spans="3:3">
      <c r="C1572" s="1847"/>
    </row>
    <row r="1573" spans="3:3">
      <c r="C1573" s="1847"/>
    </row>
    <row r="1574" spans="3:3">
      <c r="C1574" s="1847"/>
    </row>
    <row r="1575" spans="3:3">
      <c r="C1575" s="1847"/>
    </row>
    <row r="1576" spans="3:3">
      <c r="C1576" s="1847"/>
    </row>
    <row r="1577" spans="3:3">
      <c r="C1577" s="1847"/>
    </row>
    <row r="1578" spans="3:3">
      <c r="C1578" s="1847"/>
    </row>
    <row r="1579" spans="3:3">
      <c r="C1579" s="1847"/>
    </row>
    <row r="1580" spans="3:3">
      <c r="C1580" s="1847"/>
    </row>
    <row r="1581" spans="3:3">
      <c r="C1581" s="1847"/>
    </row>
    <row r="1582" spans="3:3">
      <c r="C1582" s="1847"/>
    </row>
    <row r="1583" spans="3:3">
      <c r="C1583" s="1847"/>
    </row>
    <row r="1584" spans="3:3">
      <c r="C1584" s="1847"/>
    </row>
    <row r="1585" spans="3:3">
      <c r="C1585" s="1847"/>
    </row>
    <row r="1586" spans="3:3">
      <c r="C1586" s="1847"/>
    </row>
    <row r="1587" spans="3:3">
      <c r="C1587" s="1847"/>
    </row>
    <row r="1588" spans="3:3">
      <c r="C1588" s="1847"/>
    </row>
    <row r="1589" spans="3:3">
      <c r="C1589" s="1847"/>
    </row>
    <row r="1590" spans="3:3">
      <c r="C1590" s="1847"/>
    </row>
    <row r="1591" spans="3:3">
      <c r="C1591" s="1847"/>
    </row>
    <row r="1592" spans="3:3">
      <c r="C1592" s="1847"/>
    </row>
    <row r="1593" spans="3:3">
      <c r="C1593" s="1847"/>
    </row>
    <row r="1594" spans="3:3">
      <c r="C1594" s="1847"/>
    </row>
    <row r="1595" spans="3:3">
      <c r="C1595" s="1847"/>
    </row>
    <row r="1596" spans="3:3">
      <c r="C1596" s="1847"/>
    </row>
    <row r="1597" spans="3:3">
      <c r="C1597" s="1847"/>
    </row>
    <row r="1598" spans="3:3">
      <c r="C1598" s="1847"/>
    </row>
    <row r="1599" spans="3:3">
      <c r="C1599" s="1847"/>
    </row>
    <row r="1600" spans="3:3">
      <c r="C1600" s="1847"/>
    </row>
    <row r="1601" spans="3:3">
      <c r="C1601" s="1847"/>
    </row>
    <row r="1602" spans="3:3">
      <c r="C1602" s="1847"/>
    </row>
    <row r="1603" spans="3:3">
      <c r="C1603" s="1847"/>
    </row>
    <row r="1604" spans="3:3">
      <c r="C1604" s="1847"/>
    </row>
    <row r="1605" spans="3:3">
      <c r="C1605" s="18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A099-21FB-47D2-863B-2C6071113080}">
  <sheetPr codeName="Hoja4"/>
  <dimension ref="A1:AJ683"/>
  <sheetViews>
    <sheetView zoomScale="80" zoomScaleNormal="80" workbookViewId="0">
      <selection activeCell="O88" sqref="O88"/>
    </sheetView>
  </sheetViews>
  <sheetFormatPr baseColWidth="10" defaultRowHeight="15"/>
  <cols>
    <col min="1" max="1" width="16.83203125" bestFit="1" customWidth="1"/>
    <col min="2" max="2" width="21.5" bestFit="1" customWidth="1"/>
    <col min="3" max="3" width="3.83203125" bestFit="1" customWidth="1"/>
    <col min="4" max="4" width="4.1640625" bestFit="1" customWidth="1"/>
    <col min="5" max="5" width="3.83203125" bestFit="1" customWidth="1"/>
    <col min="6" max="6" width="4.5" bestFit="1" customWidth="1"/>
    <col min="7" max="9" width="3.83203125" bestFit="1" customWidth="1"/>
    <col min="10" max="10" width="4.5" bestFit="1" customWidth="1"/>
    <col min="11" max="11" width="3.83203125" bestFit="1" customWidth="1"/>
    <col min="12" max="12" width="4.1640625" bestFit="1" customWidth="1"/>
    <col min="13" max="13" width="3.83203125" bestFit="1" customWidth="1"/>
    <col min="14" max="14" width="12" bestFit="1" customWidth="1"/>
    <col min="16" max="16" width="20.5" bestFit="1" customWidth="1"/>
    <col min="21" max="21" width="16.83203125" bestFit="1" customWidth="1"/>
    <col min="25" max="25" width="15.5" bestFit="1" customWidth="1"/>
  </cols>
  <sheetData>
    <row r="1" spans="2:17">
      <c r="B1" t="s">
        <v>1533</v>
      </c>
      <c r="C1">
        <v>920</v>
      </c>
    </row>
    <row r="3" spans="2:17">
      <c r="B3" t="s">
        <v>1534</v>
      </c>
      <c r="C3" t="s">
        <v>1535</v>
      </c>
      <c r="D3" s="1953">
        <v>45658</v>
      </c>
      <c r="E3" s="1953">
        <v>45689</v>
      </c>
      <c r="F3" s="1953">
        <v>45717</v>
      </c>
      <c r="G3" s="1953">
        <v>45748</v>
      </c>
      <c r="H3" s="1953">
        <v>45778</v>
      </c>
      <c r="I3" s="1953">
        <v>45809</v>
      </c>
      <c r="J3" s="1953">
        <v>45839</v>
      </c>
      <c r="K3" s="1953">
        <v>45870</v>
      </c>
      <c r="L3" s="1953">
        <v>45901</v>
      </c>
      <c r="M3" s="1953">
        <v>45931</v>
      </c>
      <c r="N3" s="1953">
        <v>45962</v>
      </c>
      <c r="O3" s="1953">
        <v>45992</v>
      </c>
      <c r="P3" t="s">
        <v>1536</v>
      </c>
    </row>
    <row r="4" spans="2:17">
      <c r="B4" t="s">
        <v>1537</v>
      </c>
      <c r="C4" t="s">
        <v>1538</v>
      </c>
      <c r="D4" s="79">
        <v>688.03015980959526</v>
      </c>
      <c r="E4" s="79">
        <v>472.25504016872037</v>
      </c>
      <c r="F4" s="79">
        <v>437.9579020379939</v>
      </c>
      <c r="G4" s="79">
        <v>351.00939659172587</v>
      </c>
      <c r="H4" s="79">
        <v>522.7634349091386</v>
      </c>
      <c r="I4" s="79">
        <v>394.83649042483984</v>
      </c>
      <c r="J4" s="79">
        <v>526.6204905072741</v>
      </c>
      <c r="K4" s="79">
        <v>538.31007578341735</v>
      </c>
      <c r="L4" s="79">
        <v>383.77724292547038</v>
      </c>
      <c r="M4" s="79">
        <v>519.01288933990838</v>
      </c>
      <c r="N4" s="79">
        <v>452.20353728346993</v>
      </c>
      <c r="O4" s="79">
        <v>681.06638060457897</v>
      </c>
      <c r="P4" s="79">
        <v>5967.843040386133</v>
      </c>
      <c r="Q4">
        <v>5967.843040386133</v>
      </c>
    </row>
    <row r="5" spans="2:17">
      <c r="B5" t="s">
        <v>1336</v>
      </c>
      <c r="C5" t="s">
        <v>1539</v>
      </c>
      <c r="D5" s="79">
        <v>476.29050540204207</v>
      </c>
      <c r="E5" s="79">
        <v>313.31491841733776</v>
      </c>
      <c r="F5" s="79">
        <v>275.86854834543823</v>
      </c>
      <c r="G5" s="79">
        <v>231.52127189784832</v>
      </c>
      <c r="H5" s="79">
        <v>317.17005490913857</v>
      </c>
      <c r="I5" s="79">
        <v>288.14494428127159</v>
      </c>
      <c r="J5" s="79">
        <v>292.12749050727416</v>
      </c>
      <c r="K5" s="79">
        <v>299.21778578341736</v>
      </c>
      <c r="L5" s="79">
        <v>267.60024292547041</v>
      </c>
      <c r="M5" s="79">
        <v>356.05443933990841</v>
      </c>
      <c r="N5" s="79">
        <v>318.2745372834699</v>
      </c>
      <c r="O5" s="79">
        <v>334.87696060457898</v>
      </c>
      <c r="P5" s="79">
        <v>3770.4616996971954</v>
      </c>
      <c r="Q5">
        <v>0.63179639179203984</v>
      </c>
    </row>
    <row r="6" spans="2:17">
      <c r="B6" t="s">
        <v>1540</v>
      </c>
      <c r="C6" t="s">
        <v>1541</v>
      </c>
      <c r="D6" s="79">
        <v>167.14016440755313</v>
      </c>
      <c r="E6" s="79">
        <v>109.66978175138264</v>
      </c>
      <c r="F6" s="79">
        <v>119.90377369255575</v>
      </c>
      <c r="G6" s="79">
        <v>98.132410000000007</v>
      </c>
      <c r="H6" s="79">
        <v>125.25863</v>
      </c>
      <c r="I6" s="79">
        <v>82.824806143568253</v>
      </c>
      <c r="J6" s="79">
        <v>139.67400000000001</v>
      </c>
      <c r="K6" s="79">
        <v>152.09422000000004</v>
      </c>
      <c r="L6" s="79">
        <v>73.593999999999994</v>
      </c>
      <c r="M6" s="79">
        <v>88.148450000000025</v>
      </c>
      <c r="N6" s="79">
        <v>112.788</v>
      </c>
      <c r="O6" s="79">
        <v>159.18261999999999</v>
      </c>
      <c r="P6" s="79">
        <v>1428.41085599506</v>
      </c>
      <c r="Q6">
        <v>0.23935127756018171</v>
      </c>
    </row>
    <row r="7" spans="2:17">
      <c r="B7" t="s">
        <v>1338</v>
      </c>
      <c r="C7" t="s">
        <v>1542</v>
      </c>
      <c r="D7" s="79">
        <v>44.599490000000003</v>
      </c>
      <c r="E7" s="79">
        <v>49.270340000000004</v>
      </c>
      <c r="F7" s="79">
        <v>12.379580000000001</v>
      </c>
      <c r="G7" s="79">
        <v>21.355714693877552</v>
      </c>
      <c r="H7" s="79">
        <v>46.925750000000001</v>
      </c>
      <c r="I7" s="79">
        <v>15.35474</v>
      </c>
      <c r="J7" s="79">
        <v>23.350999999999999</v>
      </c>
      <c r="K7" s="79">
        <v>25.035070000000001</v>
      </c>
      <c r="L7" s="79">
        <v>27.683</v>
      </c>
      <c r="M7" s="79">
        <v>42.454999999999998</v>
      </c>
      <c r="N7" s="79">
        <v>13.641</v>
      </c>
      <c r="O7" s="79">
        <v>36.336800000000004</v>
      </c>
      <c r="P7" s="79">
        <v>358.38748469387752</v>
      </c>
      <c r="Q7">
        <v>6.0053101643016575E-2</v>
      </c>
    </row>
    <row r="8" spans="2:17">
      <c r="B8" t="s">
        <v>1052</v>
      </c>
      <c r="C8" t="s">
        <v>1543</v>
      </c>
      <c r="D8" s="79">
        <v>0</v>
      </c>
      <c r="E8" s="79">
        <v>0</v>
      </c>
      <c r="F8" s="79">
        <v>29.806000000000001</v>
      </c>
      <c r="G8" s="79">
        <v>0</v>
      </c>
      <c r="H8" s="79">
        <v>33.408999999999999</v>
      </c>
      <c r="I8" s="79">
        <v>8.5120000000000005</v>
      </c>
      <c r="J8" s="79">
        <v>71.468000000000004</v>
      </c>
      <c r="K8" s="79">
        <v>61.963000000000001</v>
      </c>
      <c r="L8" s="79">
        <v>14.9</v>
      </c>
      <c r="M8" s="79">
        <v>32.355000000000004</v>
      </c>
      <c r="N8" s="79">
        <v>7.5</v>
      </c>
      <c r="O8" s="79">
        <v>150.66999999999999</v>
      </c>
      <c r="P8" s="79">
        <v>410.58299999999997</v>
      </c>
      <c r="Q8">
        <v>6.8799229004761875E-2</v>
      </c>
    </row>
    <row r="9" spans="2:17"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2:17"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2:17">
      <c r="B11" t="s">
        <v>1544</v>
      </c>
      <c r="C11" t="s">
        <v>1535</v>
      </c>
      <c r="D11" s="1953" t="s">
        <v>1468</v>
      </c>
      <c r="E11" s="1953" t="s">
        <v>1469</v>
      </c>
      <c r="F11" s="1953" t="s">
        <v>1470</v>
      </c>
      <c r="G11" s="1953" t="s">
        <v>1471</v>
      </c>
      <c r="H11" s="1953" t="s">
        <v>1472</v>
      </c>
      <c r="I11" s="1953" t="s">
        <v>1473</v>
      </c>
      <c r="J11" s="1953" t="s">
        <v>1531</v>
      </c>
      <c r="K11" s="1953" t="s">
        <v>1600</v>
      </c>
      <c r="L11" s="1953" t="s">
        <v>1601</v>
      </c>
      <c r="M11" s="1953" t="s">
        <v>1602</v>
      </c>
      <c r="N11" s="1953" t="s">
        <v>1603</v>
      </c>
      <c r="O11" s="1953" t="s">
        <v>1604</v>
      </c>
      <c r="P11" s="79" t="s">
        <v>1536</v>
      </c>
    </row>
    <row r="12" spans="2:17">
      <c r="B12" t="s">
        <v>1462</v>
      </c>
      <c r="C12" t="s">
        <v>1545</v>
      </c>
      <c r="D12" s="79">
        <v>231.52655457712515</v>
      </c>
      <c r="E12" s="79">
        <v>238.52655457712515</v>
      </c>
      <c r="F12" s="79">
        <v>245.02655457712515</v>
      </c>
      <c r="G12" s="79">
        <v>245.02655457712515</v>
      </c>
      <c r="H12" s="79">
        <v>278.82421003483773</v>
      </c>
      <c r="I12" s="79">
        <v>259.58655457712513</v>
      </c>
      <c r="J12" s="79">
        <v>316.80786549255015</v>
      </c>
      <c r="K12" s="79">
        <v>264.00655457712514</v>
      </c>
      <c r="L12" s="79">
        <v>264.00655457712514</v>
      </c>
      <c r="M12" s="79">
        <v>264.00655457712514</v>
      </c>
      <c r="N12" s="79">
        <v>290.40721003483765</v>
      </c>
      <c r="O12" s="79">
        <v>316.80786549255015</v>
      </c>
      <c r="P12" s="79">
        <v>3214.5595876717762</v>
      </c>
    </row>
    <row r="13" spans="2:17">
      <c r="B13" t="s">
        <v>1462</v>
      </c>
      <c r="C13" t="s">
        <v>229</v>
      </c>
      <c r="D13" s="79">
        <v>22.138493033488142</v>
      </c>
      <c r="E13" s="79">
        <v>22.138493033488142</v>
      </c>
      <c r="F13" s="79">
        <v>22.138493033488142</v>
      </c>
      <c r="G13" s="79">
        <v>22.138493033488142</v>
      </c>
      <c r="H13" s="79">
        <v>22.138493033488142</v>
      </c>
      <c r="I13" s="79">
        <v>22.138493033488142</v>
      </c>
      <c r="J13" s="79">
        <v>22.138493033488142</v>
      </c>
      <c r="K13" s="79">
        <v>22.138493033488142</v>
      </c>
      <c r="L13" s="79">
        <v>22.138493033488142</v>
      </c>
      <c r="M13" s="79">
        <v>22.138493033488142</v>
      </c>
      <c r="N13" s="79">
        <v>22.138493033488142</v>
      </c>
      <c r="O13" s="79">
        <v>22.138493033488142</v>
      </c>
      <c r="P13" s="79">
        <v>265.6619164018577</v>
      </c>
    </row>
    <row r="14" spans="2:17">
      <c r="B14" t="s">
        <v>1462</v>
      </c>
      <c r="C14" t="s">
        <v>1546</v>
      </c>
      <c r="D14" s="79">
        <v>68.52974412814298</v>
      </c>
      <c r="E14" s="79">
        <v>75.02974412814298</v>
      </c>
      <c r="F14" s="79">
        <v>75.02974412814298</v>
      </c>
      <c r="G14" s="79">
        <v>88.679744128142971</v>
      </c>
      <c r="H14" s="79">
        <v>88.679744128142971</v>
      </c>
      <c r="I14" s="79">
        <v>88.679744128142971</v>
      </c>
      <c r="J14" s="79">
        <v>88.679744128142971</v>
      </c>
      <c r="K14" s="79">
        <v>88.679744128142971</v>
      </c>
      <c r="L14" s="79">
        <v>88.679744128142971</v>
      </c>
      <c r="M14" s="79">
        <v>88.679744128142971</v>
      </c>
      <c r="N14" s="79">
        <v>88.679744128142971</v>
      </c>
      <c r="O14" s="79">
        <v>88.679744128142971</v>
      </c>
      <c r="P14" s="79">
        <v>1016.7069295377155</v>
      </c>
    </row>
    <row r="15" spans="2:17">
      <c r="B15" t="s">
        <v>1462</v>
      </c>
      <c r="C15" t="s">
        <v>490</v>
      </c>
      <c r="D15" s="79">
        <v>8.9640270270270292</v>
      </c>
      <c r="E15" s="79">
        <v>8.9640270270270292</v>
      </c>
      <c r="F15" s="79">
        <v>8.9640270270270292</v>
      </c>
      <c r="G15" s="79">
        <v>8.9640270270270292</v>
      </c>
      <c r="H15" s="79">
        <v>9.8604297297297325</v>
      </c>
      <c r="I15" s="79">
        <v>8.9640270270270292</v>
      </c>
      <c r="J15" s="79">
        <v>10.756832432432432</v>
      </c>
      <c r="K15" s="79">
        <v>8.9640270270270292</v>
      </c>
      <c r="L15" s="79">
        <v>8.9640270270270292</v>
      </c>
      <c r="M15" s="79">
        <v>8.9640270270270292</v>
      </c>
      <c r="N15" s="79">
        <v>9.8604297297297325</v>
      </c>
      <c r="O15" s="79">
        <v>10.756832432432432</v>
      </c>
      <c r="P15" s="79">
        <v>112.94674054054056</v>
      </c>
    </row>
    <row r="16" spans="2:17">
      <c r="B16" t="s">
        <v>1462</v>
      </c>
      <c r="C16" t="s">
        <v>1547</v>
      </c>
      <c r="D16" s="79">
        <v>200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200</v>
      </c>
    </row>
    <row r="17" spans="2:16">
      <c r="B17" t="s">
        <v>1463</v>
      </c>
      <c r="C17" t="s">
        <v>1548</v>
      </c>
      <c r="D17" s="79">
        <v>52.9</v>
      </c>
      <c r="E17" s="79">
        <v>52.9</v>
      </c>
      <c r="F17" s="79">
        <v>52.9</v>
      </c>
      <c r="G17" s="79">
        <v>52.9</v>
      </c>
      <c r="H17" s="79">
        <v>52.9</v>
      </c>
      <c r="I17" s="79">
        <v>52.9</v>
      </c>
      <c r="J17" s="79">
        <v>52.9</v>
      </c>
      <c r="K17" s="79">
        <v>52.9</v>
      </c>
      <c r="L17" s="79">
        <v>52.9</v>
      </c>
      <c r="M17" s="79">
        <v>52.9</v>
      </c>
      <c r="N17" s="79">
        <v>52.9</v>
      </c>
      <c r="O17" s="79">
        <v>52.9</v>
      </c>
      <c r="P17" s="79">
        <v>634.79999999999984</v>
      </c>
    </row>
    <row r="18" spans="2:16">
      <c r="B18" t="s">
        <v>1465</v>
      </c>
      <c r="C18" t="s">
        <v>1550</v>
      </c>
      <c r="D18" s="79">
        <v>0.21739130434782608</v>
      </c>
      <c r="E18" s="79">
        <v>0.21739130434782608</v>
      </c>
      <c r="F18" s="79">
        <v>0.21739130434782608</v>
      </c>
      <c r="G18" s="79">
        <v>0.21739130434782608</v>
      </c>
      <c r="H18" s="79">
        <v>0.21739130434782608</v>
      </c>
      <c r="I18" s="79">
        <v>0.21739130434782608</v>
      </c>
      <c r="J18" s="79">
        <v>0.21739130434782608</v>
      </c>
      <c r="K18" s="79">
        <v>0.21739130434782608</v>
      </c>
      <c r="L18" s="79">
        <v>0.21739130434782608</v>
      </c>
      <c r="M18" s="79">
        <v>0.21739130434782608</v>
      </c>
      <c r="N18" s="79">
        <v>0.21739130434782608</v>
      </c>
      <c r="O18" s="79">
        <v>0.21739130434782608</v>
      </c>
      <c r="P18" s="79">
        <v>2.6086956521739135</v>
      </c>
    </row>
    <row r="19" spans="2:16">
      <c r="B19" t="s">
        <v>1465</v>
      </c>
      <c r="C19" t="s">
        <v>1551</v>
      </c>
      <c r="D19" s="79">
        <v>5.4347826086956523</v>
      </c>
      <c r="E19" s="79">
        <v>0.21739130434782608</v>
      </c>
      <c r="F19" s="79">
        <v>0</v>
      </c>
      <c r="G19" s="79">
        <v>0</v>
      </c>
      <c r="H19" s="79">
        <v>0.21739130434782608</v>
      </c>
      <c r="I19" s="79">
        <v>0</v>
      </c>
      <c r="J19" s="79">
        <v>0</v>
      </c>
      <c r="K19" s="79">
        <v>0.21739130434782608</v>
      </c>
      <c r="L19" s="79">
        <v>0</v>
      </c>
      <c r="M19" s="79">
        <v>0</v>
      </c>
      <c r="N19" s="79">
        <v>5.6521739130434776</v>
      </c>
      <c r="O19" s="79">
        <v>0</v>
      </c>
      <c r="P19" s="79">
        <v>11.739130434782609</v>
      </c>
    </row>
    <row r="20" spans="2:16">
      <c r="B20" t="s">
        <v>1465</v>
      </c>
      <c r="C20" t="s">
        <v>1552</v>
      </c>
      <c r="D20" s="79">
        <v>5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5</v>
      </c>
    </row>
    <row r="21" spans="2:16">
      <c r="B21" t="s">
        <v>1465</v>
      </c>
      <c r="C21" t="s">
        <v>1553</v>
      </c>
      <c r="D21" s="79">
        <v>0</v>
      </c>
      <c r="E21" s="79">
        <v>15</v>
      </c>
      <c r="F21" s="79">
        <v>15</v>
      </c>
      <c r="G21" s="79">
        <v>0</v>
      </c>
      <c r="H21" s="79">
        <v>0</v>
      </c>
      <c r="I21" s="79">
        <v>15</v>
      </c>
      <c r="J21" s="79">
        <v>0</v>
      </c>
      <c r="K21" s="79">
        <v>0</v>
      </c>
      <c r="L21" s="79">
        <v>0</v>
      </c>
      <c r="M21" s="79">
        <v>15</v>
      </c>
      <c r="N21" s="79">
        <v>0</v>
      </c>
      <c r="O21" s="79">
        <v>0</v>
      </c>
      <c r="P21" s="79">
        <v>60</v>
      </c>
    </row>
    <row r="22" spans="2:16">
      <c r="B22" t="s">
        <v>1465</v>
      </c>
      <c r="C22" t="s">
        <v>1554</v>
      </c>
      <c r="D22" s="79">
        <v>0</v>
      </c>
      <c r="E22" s="79">
        <v>0</v>
      </c>
      <c r="F22" s="79">
        <v>5</v>
      </c>
      <c r="G22" s="79">
        <v>0</v>
      </c>
      <c r="H22" s="79">
        <v>0</v>
      </c>
      <c r="I22" s="79">
        <v>5</v>
      </c>
      <c r="J22" s="79">
        <v>0</v>
      </c>
      <c r="K22" s="79">
        <v>0</v>
      </c>
      <c r="L22" s="79">
        <v>5</v>
      </c>
      <c r="M22" s="79">
        <v>0</v>
      </c>
      <c r="N22" s="79">
        <v>0</v>
      </c>
      <c r="O22" s="79">
        <v>5</v>
      </c>
      <c r="P22" s="79">
        <v>20</v>
      </c>
    </row>
    <row r="23" spans="2:16">
      <c r="B23" t="s">
        <v>1465</v>
      </c>
      <c r="C23" t="s">
        <v>1555</v>
      </c>
      <c r="D23" s="79">
        <v>4</v>
      </c>
      <c r="E23" s="79">
        <v>0.28804347826086957</v>
      </c>
      <c r="F23" s="79">
        <v>0.50543478260869568</v>
      </c>
      <c r="G23" s="79">
        <v>0.72282608695652173</v>
      </c>
      <c r="H23" s="79">
        <v>0.28804347826086957</v>
      </c>
      <c r="I23" s="79">
        <v>0.28804347826086957</v>
      </c>
      <c r="J23" s="79">
        <v>0.72282608695652173</v>
      </c>
      <c r="K23" s="79">
        <v>10.614130434782609</v>
      </c>
      <c r="L23" s="79">
        <v>0.28804347826086957</v>
      </c>
      <c r="M23" s="79">
        <v>0.72282608695652173</v>
      </c>
      <c r="N23" s="79">
        <v>0.28804347826086957</v>
      </c>
      <c r="O23" s="79">
        <v>3.0054347826086953</v>
      </c>
      <c r="P23" s="79">
        <v>21.733695652173914</v>
      </c>
    </row>
    <row r="24" spans="2:16">
      <c r="B24" t="s">
        <v>1465</v>
      </c>
      <c r="C24" t="s">
        <v>1556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</row>
    <row r="25" spans="2:16">
      <c r="B25" t="s">
        <v>1465</v>
      </c>
      <c r="C25" t="s">
        <v>1557</v>
      </c>
      <c r="D25" s="79">
        <v>1.7391304347826086</v>
      </c>
      <c r="E25" s="79">
        <v>0</v>
      </c>
      <c r="F25" s="79">
        <v>0</v>
      </c>
      <c r="G25" s="79">
        <v>1.4130434782608694</v>
      </c>
      <c r="H25" s="79">
        <v>0</v>
      </c>
      <c r="I25" s="79">
        <v>0</v>
      </c>
      <c r="J25" s="79">
        <v>1.0869565217391306</v>
      </c>
      <c r="K25" s="79">
        <v>0</v>
      </c>
      <c r="L25" s="79">
        <v>0</v>
      </c>
      <c r="M25" s="79">
        <v>1.7391304347826086</v>
      </c>
      <c r="N25" s="79">
        <v>0</v>
      </c>
      <c r="O25" s="79">
        <v>0</v>
      </c>
      <c r="P25" s="79">
        <v>5.9782608695652169</v>
      </c>
    </row>
    <row r="26" spans="2:16">
      <c r="B26" t="s">
        <v>1465</v>
      </c>
      <c r="C26" t="s">
        <v>1558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2.1739130434782612</v>
      </c>
      <c r="K26" s="79">
        <v>0</v>
      </c>
      <c r="L26" s="79">
        <v>0</v>
      </c>
      <c r="M26" s="79">
        <v>2.1739130434782612</v>
      </c>
      <c r="N26" s="79">
        <v>0</v>
      </c>
      <c r="O26" s="79">
        <v>0</v>
      </c>
      <c r="P26" s="79">
        <v>4.3478260869565224</v>
      </c>
    </row>
    <row r="27" spans="2:16">
      <c r="B27" t="s">
        <v>1465</v>
      </c>
      <c r="C27" t="s">
        <v>1559</v>
      </c>
      <c r="D27" s="79">
        <v>3.5</v>
      </c>
      <c r="E27" s="79">
        <v>3.5</v>
      </c>
      <c r="F27" s="79">
        <v>3.5</v>
      </c>
      <c r="G27" s="79">
        <v>3.5</v>
      </c>
      <c r="H27" s="79">
        <v>3.5</v>
      </c>
      <c r="I27" s="79">
        <v>3.5</v>
      </c>
      <c r="J27" s="79">
        <v>3.5</v>
      </c>
      <c r="K27" s="79">
        <v>3.5</v>
      </c>
      <c r="L27" s="79">
        <v>3.5</v>
      </c>
      <c r="M27" s="79">
        <v>3.5</v>
      </c>
      <c r="N27" s="79">
        <v>3.5</v>
      </c>
      <c r="O27" s="79">
        <v>3.5</v>
      </c>
      <c r="P27" s="79">
        <v>42</v>
      </c>
    </row>
    <row r="28" spans="2:16">
      <c r="B28" t="s">
        <v>1465</v>
      </c>
      <c r="C28" t="s">
        <v>1561</v>
      </c>
      <c r="D28" s="79">
        <v>6</v>
      </c>
      <c r="E28" s="79">
        <v>6</v>
      </c>
      <c r="F28" s="79">
        <v>6</v>
      </c>
      <c r="G28" s="79">
        <v>6</v>
      </c>
      <c r="H28" s="79">
        <v>6</v>
      </c>
      <c r="I28" s="79">
        <v>6</v>
      </c>
      <c r="J28" s="79">
        <v>6</v>
      </c>
      <c r="K28" s="79">
        <v>6</v>
      </c>
      <c r="L28" s="79">
        <v>6</v>
      </c>
      <c r="M28" s="79">
        <v>6</v>
      </c>
      <c r="N28" s="79">
        <v>6</v>
      </c>
      <c r="O28" s="79">
        <v>6</v>
      </c>
      <c r="P28" s="79">
        <v>72</v>
      </c>
    </row>
    <row r="29" spans="2:16">
      <c r="B29" t="s">
        <v>1465</v>
      </c>
      <c r="C29" t="s">
        <v>1562</v>
      </c>
      <c r="D29" s="79">
        <v>1.5</v>
      </c>
      <c r="E29" s="79">
        <v>1.5</v>
      </c>
      <c r="F29" s="79">
        <v>1.5</v>
      </c>
      <c r="G29" s="79">
        <v>1.5</v>
      </c>
      <c r="H29" s="79">
        <v>1.5</v>
      </c>
      <c r="I29" s="79">
        <v>1.5</v>
      </c>
      <c r="J29" s="79">
        <v>1.5</v>
      </c>
      <c r="K29" s="79">
        <v>1.5</v>
      </c>
      <c r="L29" s="79">
        <v>1.5</v>
      </c>
      <c r="M29" s="79">
        <v>1.5</v>
      </c>
      <c r="N29" s="79">
        <v>1.5</v>
      </c>
      <c r="O29" s="79">
        <v>1.5</v>
      </c>
      <c r="P29" s="79">
        <v>18</v>
      </c>
    </row>
    <row r="30" spans="2:16">
      <c r="B30" t="s">
        <v>1465</v>
      </c>
      <c r="C30" t="s">
        <v>1563</v>
      </c>
      <c r="D30" s="79">
        <v>1</v>
      </c>
      <c r="E30" s="79">
        <v>1</v>
      </c>
      <c r="F30" s="79">
        <v>1</v>
      </c>
      <c r="G30" s="79">
        <v>1</v>
      </c>
      <c r="H30" s="79">
        <v>1</v>
      </c>
      <c r="I30" s="79">
        <v>1</v>
      </c>
      <c r="J30" s="79">
        <v>1</v>
      </c>
      <c r="K30" s="79">
        <v>1</v>
      </c>
      <c r="L30" s="79">
        <v>1</v>
      </c>
      <c r="M30" s="79">
        <v>1</v>
      </c>
      <c r="N30" s="79">
        <v>1</v>
      </c>
      <c r="O30" s="79">
        <v>1</v>
      </c>
      <c r="P30" s="79">
        <v>12</v>
      </c>
    </row>
    <row r="31" spans="2:16">
      <c r="B31" t="s">
        <v>1465</v>
      </c>
      <c r="C31" t="s">
        <v>1564</v>
      </c>
      <c r="D31" s="79">
        <v>0.3</v>
      </c>
      <c r="E31" s="79">
        <v>0.3</v>
      </c>
      <c r="F31" s="79">
        <v>0.3</v>
      </c>
      <c r="G31" s="79">
        <v>0.3</v>
      </c>
      <c r="H31" s="79">
        <v>0.3</v>
      </c>
      <c r="I31" s="79">
        <v>0.3</v>
      </c>
      <c r="J31" s="79">
        <v>0.3</v>
      </c>
      <c r="K31" s="79">
        <v>0.3</v>
      </c>
      <c r="L31" s="79">
        <v>0.3</v>
      </c>
      <c r="M31" s="79">
        <v>0.3</v>
      </c>
      <c r="N31" s="79">
        <v>0.3</v>
      </c>
      <c r="O31" s="79">
        <v>0.3</v>
      </c>
      <c r="P31" s="79">
        <v>3.5999999999999992</v>
      </c>
    </row>
    <row r="32" spans="2:16">
      <c r="B32" t="s">
        <v>1465</v>
      </c>
      <c r="C32" t="s">
        <v>1565</v>
      </c>
      <c r="D32" s="79">
        <v>0.1</v>
      </c>
      <c r="E32" s="79">
        <v>0.1</v>
      </c>
      <c r="F32" s="79">
        <v>0.1</v>
      </c>
      <c r="G32" s="79">
        <v>0.1</v>
      </c>
      <c r="H32" s="79">
        <v>0.1</v>
      </c>
      <c r="I32" s="79">
        <v>0.1</v>
      </c>
      <c r="J32" s="79">
        <v>0.1</v>
      </c>
      <c r="K32" s="79">
        <v>0.1</v>
      </c>
      <c r="L32" s="79">
        <v>0.1</v>
      </c>
      <c r="M32" s="79">
        <v>0.1</v>
      </c>
      <c r="N32" s="79">
        <v>0.1</v>
      </c>
      <c r="O32" s="79">
        <v>0.1</v>
      </c>
      <c r="P32" s="79">
        <v>1.2</v>
      </c>
    </row>
    <row r="33" spans="2:16">
      <c r="B33" t="s">
        <v>1465</v>
      </c>
      <c r="C33" t="s">
        <v>1566</v>
      </c>
      <c r="D33" s="79">
        <v>0.1</v>
      </c>
      <c r="E33" s="79">
        <v>0.1</v>
      </c>
      <c r="F33" s="79">
        <v>0.1</v>
      </c>
      <c r="G33" s="79">
        <v>0.1</v>
      </c>
      <c r="H33" s="79">
        <v>0.1</v>
      </c>
      <c r="I33" s="79">
        <v>0.1</v>
      </c>
      <c r="J33" s="79">
        <v>0.1</v>
      </c>
      <c r="K33" s="79">
        <v>0.1</v>
      </c>
      <c r="L33" s="79">
        <v>0.1</v>
      </c>
      <c r="M33" s="79">
        <v>0.1</v>
      </c>
      <c r="N33" s="79">
        <v>0.1</v>
      </c>
      <c r="O33" s="79">
        <v>0.1</v>
      </c>
      <c r="P33" s="79">
        <v>1.2</v>
      </c>
    </row>
    <row r="34" spans="2:16">
      <c r="B34" t="s">
        <v>1465</v>
      </c>
      <c r="C34" t="s">
        <v>1567</v>
      </c>
      <c r="D34" s="79">
        <v>2</v>
      </c>
      <c r="E34" s="79">
        <v>2</v>
      </c>
      <c r="F34" s="79">
        <v>2</v>
      </c>
      <c r="G34" s="79">
        <v>2</v>
      </c>
      <c r="H34" s="79">
        <v>2</v>
      </c>
      <c r="I34" s="79">
        <v>2</v>
      </c>
      <c r="J34" s="79">
        <v>2</v>
      </c>
      <c r="K34" s="79">
        <v>2</v>
      </c>
      <c r="L34" s="79">
        <v>2</v>
      </c>
      <c r="M34" s="79">
        <v>2</v>
      </c>
      <c r="N34" s="79">
        <v>2</v>
      </c>
      <c r="O34" s="79">
        <v>2</v>
      </c>
      <c r="P34" s="79">
        <v>24</v>
      </c>
    </row>
    <row r="35" spans="2:16">
      <c r="B35" t="s">
        <v>1465</v>
      </c>
      <c r="C35" t="s">
        <v>1568</v>
      </c>
      <c r="D35" s="79">
        <v>1</v>
      </c>
      <c r="E35" s="79">
        <v>1</v>
      </c>
      <c r="F35" s="79">
        <v>1</v>
      </c>
      <c r="G35" s="79">
        <v>1</v>
      </c>
      <c r="H35" s="79">
        <v>1</v>
      </c>
      <c r="I35" s="79">
        <v>1</v>
      </c>
      <c r="J35" s="79">
        <v>1</v>
      </c>
      <c r="K35" s="79">
        <v>1</v>
      </c>
      <c r="L35" s="79">
        <v>1</v>
      </c>
      <c r="M35" s="79">
        <v>1</v>
      </c>
      <c r="N35" s="79">
        <v>1</v>
      </c>
      <c r="O35" s="79">
        <v>1</v>
      </c>
      <c r="P35" s="79">
        <v>12</v>
      </c>
    </row>
    <row r="36" spans="2:16">
      <c r="B36" t="s">
        <v>1465</v>
      </c>
      <c r="C36" t="s">
        <v>1570</v>
      </c>
      <c r="D36" s="79">
        <v>8</v>
      </c>
      <c r="E36" s="79">
        <v>8</v>
      </c>
      <c r="F36" s="79">
        <v>8</v>
      </c>
      <c r="G36" s="79">
        <v>8</v>
      </c>
      <c r="H36" s="79">
        <v>8</v>
      </c>
      <c r="I36" s="79">
        <v>8</v>
      </c>
      <c r="J36" s="79">
        <v>8</v>
      </c>
      <c r="K36" s="79">
        <v>8</v>
      </c>
      <c r="L36" s="79">
        <v>8</v>
      </c>
      <c r="M36" s="79">
        <v>8</v>
      </c>
      <c r="N36" s="79">
        <v>8</v>
      </c>
      <c r="O36" s="79">
        <v>8</v>
      </c>
      <c r="P36" s="79">
        <v>96</v>
      </c>
    </row>
    <row r="37" spans="2:16">
      <c r="B37" t="s">
        <v>1487</v>
      </c>
      <c r="C37" t="s">
        <v>1571</v>
      </c>
      <c r="D37" s="79">
        <v>7.5</v>
      </c>
      <c r="E37" s="79">
        <v>7.5</v>
      </c>
      <c r="F37" s="79">
        <v>7.5</v>
      </c>
      <c r="G37" s="79">
        <v>7.5</v>
      </c>
      <c r="H37" s="79">
        <v>7.5</v>
      </c>
      <c r="I37" s="79">
        <v>7.5</v>
      </c>
      <c r="J37" s="79">
        <v>7.5</v>
      </c>
      <c r="K37" s="79">
        <v>7.5</v>
      </c>
      <c r="L37" s="79">
        <v>7.5</v>
      </c>
      <c r="M37" s="79">
        <v>7.5</v>
      </c>
      <c r="N37" s="79">
        <v>7.5</v>
      </c>
      <c r="O37" s="79">
        <v>7.5</v>
      </c>
      <c r="P37" s="79">
        <v>90</v>
      </c>
    </row>
    <row r="38" spans="2:16">
      <c r="B38" t="s">
        <v>1465</v>
      </c>
      <c r="C38" t="s">
        <v>1572</v>
      </c>
      <c r="D38" s="79">
        <v>3.16</v>
      </c>
      <c r="E38" s="79">
        <v>3.16</v>
      </c>
      <c r="F38" s="79">
        <v>3.16</v>
      </c>
      <c r="G38" s="79">
        <v>3.16</v>
      </c>
      <c r="H38" s="79">
        <v>3.16</v>
      </c>
      <c r="I38" s="79">
        <v>3.16</v>
      </c>
      <c r="J38" s="79">
        <v>3.16</v>
      </c>
      <c r="K38" s="79">
        <v>3.16</v>
      </c>
      <c r="L38" s="79">
        <v>3.16</v>
      </c>
      <c r="M38" s="79">
        <v>3.16</v>
      </c>
      <c r="N38" s="79">
        <v>3.16</v>
      </c>
      <c r="O38" s="79">
        <v>3.16</v>
      </c>
      <c r="P38" s="79">
        <v>37.92</v>
      </c>
    </row>
    <row r="39" spans="2:16">
      <c r="B39" t="s">
        <v>1465</v>
      </c>
      <c r="C39" t="s">
        <v>1573</v>
      </c>
      <c r="D39" s="79">
        <v>5</v>
      </c>
      <c r="E39" s="79">
        <v>5</v>
      </c>
      <c r="F39" s="79">
        <v>5</v>
      </c>
      <c r="G39" s="79">
        <v>5</v>
      </c>
      <c r="H39" s="79">
        <v>5</v>
      </c>
      <c r="I39" s="79">
        <v>5</v>
      </c>
      <c r="J39" s="79">
        <v>5</v>
      </c>
      <c r="K39" s="79">
        <v>5</v>
      </c>
      <c r="L39" s="79">
        <v>5</v>
      </c>
      <c r="M39" s="79">
        <v>5</v>
      </c>
      <c r="N39" s="79">
        <v>5</v>
      </c>
      <c r="O39" s="79">
        <v>5</v>
      </c>
      <c r="P39" s="79">
        <v>60</v>
      </c>
    </row>
    <row r="40" spans="2:16">
      <c r="B40" t="s">
        <v>1487</v>
      </c>
      <c r="C40" t="s">
        <v>1574</v>
      </c>
      <c r="D40" s="79">
        <v>1.8</v>
      </c>
      <c r="E40" s="79">
        <v>1.8</v>
      </c>
      <c r="F40" s="79">
        <v>1.8</v>
      </c>
      <c r="G40" s="79">
        <v>1.8</v>
      </c>
      <c r="H40" s="79">
        <v>1.8</v>
      </c>
      <c r="I40" s="79">
        <v>1.8</v>
      </c>
      <c r="J40" s="79">
        <v>1.8</v>
      </c>
      <c r="K40" s="79">
        <v>1.8</v>
      </c>
      <c r="L40" s="79">
        <v>1.8</v>
      </c>
      <c r="M40" s="79">
        <v>1.8</v>
      </c>
      <c r="N40" s="79">
        <v>1.8</v>
      </c>
      <c r="O40" s="79">
        <v>1.8</v>
      </c>
      <c r="P40" s="79">
        <v>21.600000000000005</v>
      </c>
    </row>
    <row r="41" spans="2:16">
      <c r="B41" t="s">
        <v>1465</v>
      </c>
      <c r="C41" t="s">
        <v>1575</v>
      </c>
      <c r="D41" s="79">
        <v>8.5</v>
      </c>
      <c r="E41" s="79">
        <v>8.5</v>
      </c>
      <c r="F41" s="79">
        <v>8.5</v>
      </c>
      <c r="G41" s="79">
        <v>8.5</v>
      </c>
      <c r="H41" s="79">
        <v>8.5</v>
      </c>
      <c r="I41" s="79">
        <v>8.5</v>
      </c>
      <c r="J41" s="79">
        <v>8.5</v>
      </c>
      <c r="K41" s="79">
        <v>8.5</v>
      </c>
      <c r="L41" s="79">
        <v>8.5</v>
      </c>
      <c r="M41" s="79">
        <v>8.5</v>
      </c>
      <c r="N41" s="79">
        <v>8.5</v>
      </c>
      <c r="O41" s="79">
        <v>8.5</v>
      </c>
      <c r="P41" s="79">
        <v>102</v>
      </c>
    </row>
    <row r="42" spans="2:16">
      <c r="B42" t="s">
        <v>1487</v>
      </c>
      <c r="C42" t="s">
        <v>1576</v>
      </c>
      <c r="D42" s="79">
        <v>0.5</v>
      </c>
      <c r="E42" s="79">
        <v>0.5</v>
      </c>
      <c r="F42" s="79">
        <v>0.5</v>
      </c>
      <c r="G42" s="79">
        <v>0.5</v>
      </c>
      <c r="H42" s="79">
        <v>0.5</v>
      </c>
      <c r="I42" s="79">
        <v>0.5</v>
      </c>
      <c r="J42" s="79">
        <v>0.5</v>
      </c>
      <c r="K42" s="79">
        <v>0.5</v>
      </c>
      <c r="L42" s="79">
        <v>0.5</v>
      </c>
      <c r="M42" s="79">
        <v>0.5</v>
      </c>
      <c r="N42" s="79">
        <v>0.5</v>
      </c>
      <c r="O42" s="79">
        <v>0.5</v>
      </c>
      <c r="P42" s="79">
        <v>6</v>
      </c>
    </row>
    <row r="43" spans="2:16">
      <c r="B43" t="s">
        <v>1487</v>
      </c>
      <c r="C43" t="s">
        <v>1577</v>
      </c>
      <c r="D43" s="79">
        <v>0.5</v>
      </c>
      <c r="E43" s="79">
        <v>0.5</v>
      </c>
      <c r="F43" s="79">
        <v>0.5</v>
      </c>
      <c r="G43" s="79">
        <v>0.5</v>
      </c>
      <c r="H43" s="79">
        <v>0.5</v>
      </c>
      <c r="I43" s="79">
        <v>0.5</v>
      </c>
      <c r="J43" s="79">
        <v>0.5</v>
      </c>
      <c r="K43" s="79">
        <v>0.5</v>
      </c>
      <c r="L43" s="79">
        <v>0.5</v>
      </c>
      <c r="M43" s="79">
        <v>0.5</v>
      </c>
      <c r="N43" s="79">
        <v>0.5</v>
      </c>
      <c r="O43" s="79">
        <v>0.5</v>
      </c>
      <c r="P43" s="79">
        <v>6</v>
      </c>
    </row>
    <row r="44" spans="2:16">
      <c r="B44" t="s">
        <v>1487</v>
      </c>
      <c r="C44" t="s">
        <v>1578</v>
      </c>
      <c r="D44" s="79">
        <v>0.5</v>
      </c>
      <c r="E44" s="79">
        <v>0.5</v>
      </c>
      <c r="F44" s="79">
        <v>0.5</v>
      </c>
      <c r="G44" s="79">
        <v>0.5</v>
      </c>
      <c r="H44" s="79">
        <v>0.5</v>
      </c>
      <c r="I44" s="79">
        <v>0.5</v>
      </c>
      <c r="J44" s="79">
        <v>0.5</v>
      </c>
      <c r="K44" s="79">
        <v>0.5</v>
      </c>
      <c r="L44" s="79">
        <v>0.5</v>
      </c>
      <c r="M44" s="79">
        <v>0.5</v>
      </c>
      <c r="N44" s="79">
        <v>0.5</v>
      </c>
      <c r="O44" s="79">
        <v>0.5</v>
      </c>
      <c r="P44" s="79">
        <v>6</v>
      </c>
    </row>
    <row r="45" spans="2:16">
      <c r="B45" t="s">
        <v>1487</v>
      </c>
      <c r="C45" t="s">
        <v>1579</v>
      </c>
      <c r="D45" s="79">
        <v>0.1</v>
      </c>
      <c r="E45" s="79">
        <v>0.1</v>
      </c>
      <c r="F45" s="79">
        <v>0.1</v>
      </c>
      <c r="G45" s="79">
        <v>0.1</v>
      </c>
      <c r="H45" s="79">
        <v>0.1</v>
      </c>
      <c r="I45" s="79">
        <v>0.1</v>
      </c>
      <c r="J45" s="79">
        <v>0.1</v>
      </c>
      <c r="K45" s="79">
        <v>0.1</v>
      </c>
      <c r="L45" s="79">
        <v>0.1</v>
      </c>
      <c r="M45" s="79">
        <v>0.1</v>
      </c>
      <c r="N45" s="79">
        <v>0.1</v>
      </c>
      <c r="O45" s="79">
        <v>0.1</v>
      </c>
      <c r="P45" s="79">
        <v>1.2</v>
      </c>
    </row>
    <row r="46" spans="2:16">
      <c r="B46" t="s">
        <v>1487</v>
      </c>
      <c r="C46" t="s">
        <v>1563</v>
      </c>
      <c r="D46" s="79">
        <v>0.1</v>
      </c>
      <c r="E46" s="79">
        <v>0.1</v>
      </c>
      <c r="F46" s="79">
        <v>0.1</v>
      </c>
      <c r="G46" s="79">
        <v>0.1</v>
      </c>
      <c r="H46" s="79">
        <v>0.1</v>
      </c>
      <c r="I46" s="79">
        <v>0.1</v>
      </c>
      <c r="J46" s="79">
        <v>0.1</v>
      </c>
      <c r="K46" s="79">
        <v>0.1</v>
      </c>
      <c r="L46" s="79">
        <v>0.1</v>
      </c>
      <c r="M46" s="79">
        <v>0.1</v>
      </c>
      <c r="N46" s="79">
        <v>0.1</v>
      </c>
      <c r="O46" s="79">
        <v>0.1</v>
      </c>
      <c r="P46" s="79">
        <v>1.2</v>
      </c>
    </row>
    <row r="47" spans="2:16">
      <c r="B47" t="s">
        <v>1487</v>
      </c>
      <c r="C47" t="s">
        <v>1580</v>
      </c>
      <c r="D47" s="79">
        <v>0.5</v>
      </c>
      <c r="E47" s="79">
        <v>0.5</v>
      </c>
      <c r="F47" s="79">
        <v>0.5</v>
      </c>
      <c r="G47" s="79">
        <v>0.5</v>
      </c>
      <c r="H47" s="79">
        <v>0.5</v>
      </c>
      <c r="I47" s="79">
        <v>0.5</v>
      </c>
      <c r="J47" s="79">
        <v>0.5</v>
      </c>
      <c r="K47" s="79">
        <v>0.5</v>
      </c>
      <c r="L47" s="79">
        <v>0.5</v>
      </c>
      <c r="M47" s="79">
        <v>0.5</v>
      </c>
      <c r="N47" s="79">
        <v>0.5</v>
      </c>
      <c r="O47" s="79">
        <v>0.5</v>
      </c>
      <c r="P47" s="79">
        <v>6</v>
      </c>
    </row>
    <row r="48" spans="2:16">
      <c r="B48" t="s">
        <v>1465</v>
      </c>
      <c r="C48" t="s">
        <v>1581</v>
      </c>
      <c r="D48" s="79">
        <v>2</v>
      </c>
      <c r="E48" s="79">
        <v>2</v>
      </c>
      <c r="F48" s="79">
        <v>2</v>
      </c>
      <c r="G48" s="79">
        <v>2</v>
      </c>
      <c r="H48" s="79">
        <v>2</v>
      </c>
      <c r="I48" s="79">
        <v>2</v>
      </c>
      <c r="J48" s="79">
        <v>2</v>
      </c>
      <c r="K48" s="79">
        <v>2</v>
      </c>
      <c r="L48" s="79">
        <v>2</v>
      </c>
      <c r="M48" s="79">
        <v>2</v>
      </c>
      <c r="N48" s="79">
        <v>2</v>
      </c>
      <c r="O48" s="79">
        <v>2</v>
      </c>
      <c r="P48" s="79">
        <v>24</v>
      </c>
    </row>
    <row r="49" spans="2:17">
      <c r="B49" t="s">
        <v>1465</v>
      </c>
      <c r="C49" t="s">
        <v>1582</v>
      </c>
      <c r="D49" s="79">
        <v>0.3</v>
      </c>
      <c r="E49" s="79">
        <v>0.3</v>
      </c>
      <c r="F49" s="79">
        <v>0.3</v>
      </c>
      <c r="G49" s="79">
        <v>0.3</v>
      </c>
      <c r="H49" s="79">
        <v>0.3</v>
      </c>
      <c r="I49" s="79">
        <v>0.3</v>
      </c>
      <c r="J49" s="79">
        <v>0.3</v>
      </c>
      <c r="K49" s="79">
        <v>0.3</v>
      </c>
      <c r="L49" s="79">
        <v>0.3</v>
      </c>
      <c r="M49" s="79">
        <v>0.3</v>
      </c>
      <c r="N49" s="79">
        <v>0.3</v>
      </c>
      <c r="O49" s="79">
        <v>0.3</v>
      </c>
      <c r="P49" s="79">
        <v>3.5999999999999992</v>
      </c>
    </row>
    <row r="50" spans="2:17">
      <c r="B50" t="s">
        <v>1487</v>
      </c>
      <c r="C50" t="s">
        <v>1583</v>
      </c>
      <c r="D50" s="79">
        <v>0.5</v>
      </c>
      <c r="E50" s="79">
        <v>0.5</v>
      </c>
      <c r="F50" s="79">
        <v>0.5</v>
      </c>
      <c r="G50" s="79">
        <v>0.5</v>
      </c>
      <c r="H50" s="79">
        <v>0.5</v>
      </c>
      <c r="I50" s="79">
        <v>0.5</v>
      </c>
      <c r="J50" s="79">
        <v>0.5</v>
      </c>
      <c r="K50" s="79">
        <v>0.5</v>
      </c>
      <c r="L50" s="79">
        <v>0.5</v>
      </c>
      <c r="M50" s="79">
        <v>0.5</v>
      </c>
      <c r="N50" s="79">
        <v>0.5</v>
      </c>
      <c r="O50" s="79">
        <v>0.5</v>
      </c>
      <c r="P50" s="79">
        <v>6</v>
      </c>
    </row>
    <row r="51" spans="2:17">
      <c r="B51" t="s">
        <v>1487</v>
      </c>
      <c r="C51" t="s">
        <v>1548</v>
      </c>
      <c r="D51" s="79">
        <v>0.2</v>
      </c>
      <c r="E51" s="79">
        <v>0.2</v>
      </c>
      <c r="F51" s="79">
        <v>0.2</v>
      </c>
      <c r="G51" s="79">
        <v>0.2</v>
      </c>
      <c r="H51" s="79">
        <v>0.2</v>
      </c>
      <c r="I51" s="79">
        <v>0.2</v>
      </c>
      <c r="J51" s="79">
        <v>0.2</v>
      </c>
      <c r="K51" s="79">
        <v>0.2</v>
      </c>
      <c r="L51" s="79">
        <v>0.2</v>
      </c>
      <c r="M51" s="79">
        <v>0.2</v>
      </c>
      <c r="N51" s="79">
        <v>0.2</v>
      </c>
      <c r="O51" s="79">
        <v>0.2</v>
      </c>
      <c r="P51" s="79">
        <v>2.4</v>
      </c>
    </row>
    <row r="52" spans="2:17">
      <c r="B52" t="s">
        <v>1487</v>
      </c>
      <c r="C52" t="s">
        <v>1584</v>
      </c>
      <c r="D52" s="79">
        <v>0.1</v>
      </c>
      <c r="E52" s="79">
        <v>0.1</v>
      </c>
      <c r="F52" s="79">
        <v>0.1</v>
      </c>
      <c r="G52" s="79">
        <v>0.1</v>
      </c>
      <c r="H52" s="79">
        <v>0.1</v>
      </c>
      <c r="I52" s="79">
        <v>0.1</v>
      </c>
      <c r="J52" s="79">
        <v>0.1</v>
      </c>
      <c r="K52" s="79">
        <v>0.1</v>
      </c>
      <c r="L52" s="79">
        <v>0.1</v>
      </c>
      <c r="M52" s="79">
        <v>0.1</v>
      </c>
      <c r="N52" s="79">
        <v>0.1</v>
      </c>
      <c r="O52" s="79">
        <v>0.1</v>
      </c>
      <c r="P52" s="79">
        <v>1.2</v>
      </c>
    </row>
    <row r="53" spans="2:17">
      <c r="B53" t="s">
        <v>1487</v>
      </c>
      <c r="C53" t="s">
        <v>1585</v>
      </c>
      <c r="D53" s="79">
        <v>0.85</v>
      </c>
      <c r="E53" s="79">
        <v>0.85</v>
      </c>
      <c r="F53" s="79">
        <v>0.85</v>
      </c>
      <c r="G53" s="79">
        <v>0.85</v>
      </c>
      <c r="H53" s="79">
        <v>0.85</v>
      </c>
      <c r="I53" s="79">
        <v>0.85</v>
      </c>
      <c r="J53" s="79">
        <v>0.85</v>
      </c>
      <c r="K53" s="79">
        <v>0.85</v>
      </c>
      <c r="L53" s="79">
        <v>0.85</v>
      </c>
      <c r="M53" s="79">
        <v>0.85</v>
      </c>
      <c r="N53" s="79">
        <v>0.85</v>
      </c>
      <c r="O53" s="79">
        <v>0.85</v>
      </c>
      <c r="P53" s="79">
        <v>10.199999999999998</v>
      </c>
    </row>
    <row r="54" spans="2:17">
      <c r="B54" t="s">
        <v>1465</v>
      </c>
      <c r="C54" t="s">
        <v>1586</v>
      </c>
      <c r="D54" s="79">
        <v>7.5</v>
      </c>
      <c r="E54" s="79">
        <v>7.5</v>
      </c>
      <c r="F54" s="79">
        <v>7.5</v>
      </c>
      <c r="G54" s="79">
        <v>7.5</v>
      </c>
      <c r="H54" s="79">
        <v>7.5</v>
      </c>
      <c r="I54" s="79">
        <v>7.5</v>
      </c>
      <c r="J54" s="79">
        <v>7.5</v>
      </c>
      <c r="K54" s="79">
        <v>7.5</v>
      </c>
      <c r="L54" s="79">
        <v>7.5</v>
      </c>
      <c r="M54" s="79">
        <v>7.5</v>
      </c>
      <c r="N54" s="79">
        <v>7.5</v>
      </c>
      <c r="O54" s="79">
        <v>7.5</v>
      </c>
      <c r="P54" s="79">
        <v>90</v>
      </c>
    </row>
    <row r="55" spans="2:17">
      <c r="B55" t="s">
        <v>1465</v>
      </c>
      <c r="C55" t="s">
        <v>1587</v>
      </c>
      <c r="D55" s="79">
        <v>0.5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0.5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1</v>
      </c>
    </row>
    <row r="56" spans="2:17">
      <c r="B56" t="s">
        <v>1465</v>
      </c>
      <c r="C56" t="s">
        <v>1466</v>
      </c>
      <c r="D56" s="79">
        <v>3</v>
      </c>
      <c r="E56" s="79">
        <v>3</v>
      </c>
      <c r="F56" s="79">
        <v>3</v>
      </c>
      <c r="G56" s="79">
        <v>3</v>
      </c>
      <c r="H56" s="79">
        <v>3</v>
      </c>
      <c r="I56" s="79">
        <v>3</v>
      </c>
      <c r="J56" s="79">
        <v>3</v>
      </c>
      <c r="K56" s="79">
        <v>3</v>
      </c>
      <c r="L56" s="79">
        <v>3</v>
      </c>
      <c r="M56" s="79">
        <v>3</v>
      </c>
      <c r="N56" s="79">
        <v>3</v>
      </c>
      <c r="O56" s="79">
        <v>3</v>
      </c>
      <c r="P56" s="79">
        <v>36</v>
      </c>
    </row>
    <row r="57" spans="2:17">
      <c r="B57" t="s">
        <v>1487</v>
      </c>
      <c r="C57" t="s">
        <v>1588</v>
      </c>
      <c r="D57" s="79">
        <v>1</v>
      </c>
      <c r="E57" s="79">
        <v>1</v>
      </c>
      <c r="F57" s="79">
        <v>1</v>
      </c>
      <c r="G57" s="79">
        <v>1</v>
      </c>
      <c r="H57" s="79">
        <v>1</v>
      </c>
      <c r="I57" s="79">
        <v>1</v>
      </c>
      <c r="J57" s="79">
        <v>1</v>
      </c>
      <c r="K57" s="79">
        <v>1</v>
      </c>
      <c r="L57" s="79">
        <v>1</v>
      </c>
      <c r="M57" s="79">
        <v>1</v>
      </c>
      <c r="N57" s="79">
        <v>1</v>
      </c>
      <c r="O57" s="79">
        <v>1</v>
      </c>
      <c r="P57" s="79">
        <v>12</v>
      </c>
    </row>
    <row r="58" spans="2:17">
      <c r="B58" t="s">
        <v>1599</v>
      </c>
      <c r="C58" t="s">
        <v>1573</v>
      </c>
      <c r="D58" s="79">
        <v>19.423032608695546</v>
      </c>
      <c r="E58" s="79">
        <v>19.423032608695546</v>
      </c>
      <c r="F58" s="79">
        <v>19.423032608695546</v>
      </c>
      <c r="G58" s="79">
        <v>19.423032608695546</v>
      </c>
      <c r="H58" s="79">
        <v>19.423032608695546</v>
      </c>
      <c r="I58" s="79">
        <v>19.423032608695546</v>
      </c>
      <c r="J58" s="79">
        <v>19.423032608695546</v>
      </c>
      <c r="K58" s="79">
        <v>19.423032608695546</v>
      </c>
      <c r="L58" s="79">
        <v>19.423032608695546</v>
      </c>
      <c r="M58" s="79">
        <v>19.423032608695546</v>
      </c>
      <c r="N58" s="79">
        <v>19.423032608695546</v>
      </c>
      <c r="O58" s="79">
        <v>19.423032608695546</v>
      </c>
      <c r="P58" s="79">
        <v>233.07639130434652</v>
      </c>
    </row>
    <row r="59" spans="2:17">
      <c r="B59" t="s">
        <v>1465</v>
      </c>
      <c r="C59" t="s">
        <v>1590</v>
      </c>
      <c r="D59" s="79">
        <v>2</v>
      </c>
      <c r="E59" s="79">
        <v>2</v>
      </c>
      <c r="F59" s="79">
        <v>2</v>
      </c>
      <c r="G59" s="79">
        <v>2</v>
      </c>
      <c r="H59" s="79">
        <v>2</v>
      </c>
      <c r="I59" s="79">
        <v>2</v>
      </c>
      <c r="J59" s="79">
        <v>2</v>
      </c>
      <c r="K59" s="79">
        <v>2</v>
      </c>
      <c r="L59" s="79">
        <v>2</v>
      </c>
      <c r="M59" s="79">
        <v>2</v>
      </c>
      <c r="N59" s="79">
        <v>2</v>
      </c>
      <c r="O59" s="79">
        <v>2</v>
      </c>
      <c r="P59" s="79">
        <v>24</v>
      </c>
    </row>
    <row r="60" spans="2:17">
      <c r="B60" t="s">
        <v>1465</v>
      </c>
      <c r="C60" t="s">
        <v>1591</v>
      </c>
      <c r="D60" s="79">
        <v>5.8</v>
      </c>
      <c r="E60" s="79">
        <v>5.8</v>
      </c>
      <c r="F60" s="79">
        <v>5.8</v>
      </c>
      <c r="G60" s="79">
        <v>5.8</v>
      </c>
      <c r="H60" s="79">
        <v>5.8</v>
      </c>
      <c r="I60" s="79">
        <v>5.8</v>
      </c>
      <c r="J60" s="79">
        <v>5.8</v>
      </c>
      <c r="K60" s="79">
        <v>5.8</v>
      </c>
      <c r="L60" s="79">
        <v>5.8</v>
      </c>
      <c r="M60" s="79">
        <v>5.8</v>
      </c>
      <c r="N60" s="79">
        <v>5.8</v>
      </c>
      <c r="O60" s="79">
        <v>5.8</v>
      </c>
      <c r="P60" s="79">
        <v>69.59999999999998</v>
      </c>
    </row>
    <row r="62" spans="2:17">
      <c r="B62" t="s">
        <v>1537</v>
      </c>
      <c r="C62" t="s">
        <v>1538</v>
      </c>
      <c r="D62" s="1953">
        <v>45658</v>
      </c>
      <c r="E62" s="1953">
        <v>45689</v>
      </c>
      <c r="F62" s="1953">
        <v>45717</v>
      </c>
      <c r="G62" s="1953">
        <v>45748</v>
      </c>
      <c r="H62" s="1953">
        <v>45778</v>
      </c>
      <c r="I62" s="1953">
        <v>45809</v>
      </c>
      <c r="J62" s="1953">
        <v>45839</v>
      </c>
      <c r="K62" s="1953">
        <v>45870</v>
      </c>
      <c r="L62" s="1953">
        <v>45901</v>
      </c>
      <c r="M62" s="1953">
        <v>45931</v>
      </c>
      <c r="N62" s="1953">
        <v>45962</v>
      </c>
      <c r="O62" s="1953">
        <v>45992</v>
      </c>
      <c r="P62" t="s">
        <v>1592</v>
      </c>
      <c r="Q62" t="s">
        <v>1593</v>
      </c>
    </row>
    <row r="63" spans="2:17">
      <c r="B63" t="s">
        <v>1537</v>
      </c>
      <c r="C63" t="s">
        <v>1538</v>
      </c>
      <c r="D63" s="79">
        <v>695.28315572230485</v>
      </c>
      <c r="E63" s="79">
        <v>507.61467746143535</v>
      </c>
      <c r="F63" s="79">
        <v>519.11467746143535</v>
      </c>
      <c r="G63" s="79">
        <v>514.39511224404407</v>
      </c>
      <c r="H63" s="79">
        <v>547.45873562185056</v>
      </c>
      <c r="I63" s="79">
        <v>547.1072861570874</v>
      </c>
      <c r="J63" s="79">
        <v>590.31705465183097</v>
      </c>
      <c r="K63" s="79">
        <v>542.07076441795709</v>
      </c>
      <c r="L63" s="79">
        <v>536.52728615708747</v>
      </c>
      <c r="M63" s="79">
        <v>550.87511224404409</v>
      </c>
      <c r="N63" s="79">
        <v>564.47651823054616</v>
      </c>
      <c r="O63" s="79">
        <v>593.83879378226572</v>
      </c>
      <c r="P63" s="79">
        <v>6709.0791741518888</v>
      </c>
      <c r="Q63">
        <v>1</v>
      </c>
    </row>
    <row r="64" spans="2:17">
      <c r="B64" t="s">
        <v>1336</v>
      </c>
      <c r="C64" t="s">
        <v>1539</v>
      </c>
      <c r="D64" s="79">
        <v>439.27738905913515</v>
      </c>
      <c r="E64" s="79">
        <v>320.70912164081494</v>
      </c>
      <c r="F64" s="79">
        <v>327.97478014642343</v>
      </c>
      <c r="G64" s="79">
        <v>324.99297587124835</v>
      </c>
      <c r="H64" s="79">
        <v>345.88245382091748</v>
      </c>
      <c r="I64" s="79">
        <v>345.66040931718283</v>
      </c>
      <c r="J64" s="79">
        <v>372.96018514233117</v>
      </c>
      <c r="K64" s="79">
        <v>342.47835305521812</v>
      </c>
      <c r="L64" s="79">
        <v>338.9760034920231</v>
      </c>
      <c r="M64" s="79">
        <v>348.04090824382195</v>
      </c>
      <c r="N64" s="79">
        <v>356.63422746939267</v>
      </c>
      <c r="O64" s="79">
        <v>375.1852072177727</v>
      </c>
      <c r="P64" s="79">
        <v>4238.7720144762816</v>
      </c>
      <c r="Q64">
        <v>0.63179639179203984</v>
      </c>
    </row>
    <row r="65" spans="2:17">
      <c r="B65" t="s">
        <v>1540</v>
      </c>
      <c r="C65" t="s">
        <v>1541</v>
      </c>
      <c r="D65" s="79">
        <v>166.41691158820842</v>
      </c>
      <c r="E65" s="79">
        <v>121.49822155869413</v>
      </c>
      <c r="F65" s="79">
        <v>124.25076125063622</v>
      </c>
      <c r="G65" s="79">
        <v>123.12112728632502</v>
      </c>
      <c r="H65" s="79">
        <v>131.03494778257169</v>
      </c>
      <c r="I65" s="79">
        <v>130.95082790418277</v>
      </c>
      <c r="J65" s="79">
        <v>141.29314119647935</v>
      </c>
      <c r="K65" s="79">
        <v>129.74532999146231</v>
      </c>
      <c r="L65" s="79">
        <v>128.41849138759608</v>
      </c>
      <c r="M65" s="79">
        <v>131.85266189172043</v>
      </c>
      <c r="N65" s="79">
        <v>135.10817579120442</v>
      </c>
      <c r="O65" s="79">
        <v>142.13607395658258</v>
      </c>
      <c r="P65" s="79">
        <v>1605.8266715856635</v>
      </c>
      <c r="Q65">
        <v>0.23935127756018171</v>
      </c>
    </row>
    <row r="66" spans="2:17">
      <c r="B66" t="s">
        <v>1338</v>
      </c>
      <c r="C66" t="s">
        <v>1542</v>
      </c>
      <c r="D66" s="79">
        <v>41.753910021268894</v>
      </c>
      <c r="E66" s="79">
        <v>30.483835821078653</v>
      </c>
      <c r="F66" s="79">
        <v>31.174446489973342</v>
      </c>
      <c r="G66" s="79">
        <v>30.891021960262499</v>
      </c>
      <c r="H66" s="79">
        <v>32.876595095656334</v>
      </c>
      <c r="I66" s="79">
        <v>32.855489465226526</v>
      </c>
      <c r="J66" s="79">
        <v>35.450370084612572</v>
      </c>
      <c r="K66" s="79">
        <v>32.553030713299272</v>
      </c>
      <c r="L66" s="79">
        <v>32.220127649843413</v>
      </c>
      <c r="M66" s="79">
        <v>33.081759108199741</v>
      </c>
      <c r="N66" s="79">
        <v>33.898565724395084</v>
      </c>
      <c r="O66" s="79">
        <v>35.661861442572764</v>
      </c>
      <c r="P66" s="79">
        <v>402.90101357638912</v>
      </c>
      <c r="Q66">
        <v>6.0053101643016582E-2</v>
      </c>
    </row>
    <row r="67" spans="2:17">
      <c r="B67" t="s">
        <v>1052</v>
      </c>
      <c r="C67" t="s">
        <v>1543</v>
      </c>
      <c r="D67" s="79">
        <v>47.834945053692365</v>
      </c>
      <c r="E67" s="79">
        <v>34.923498440847624</v>
      </c>
      <c r="F67" s="79">
        <v>35.714689574402385</v>
      </c>
      <c r="G67" s="79">
        <v>35.389987126208176</v>
      </c>
      <c r="H67" s="79">
        <v>37.664738922705084</v>
      </c>
      <c r="I67" s="79">
        <v>37.640559470495241</v>
      </c>
      <c r="J67" s="79">
        <v>40.613358228407847</v>
      </c>
      <c r="K67" s="79">
        <v>37.294050657977358</v>
      </c>
      <c r="L67" s="79">
        <v>36.912663627624866</v>
      </c>
      <c r="M67" s="79">
        <v>37.899783000301881</v>
      </c>
      <c r="N67" s="79">
        <v>38.835549245553985</v>
      </c>
      <c r="O67" s="79">
        <v>40.855651165337662</v>
      </c>
      <c r="P67" s="79">
        <v>461.57947451355449</v>
      </c>
      <c r="Q67">
        <v>6.8799229004761875E-2</v>
      </c>
    </row>
    <row r="69" spans="2:17">
      <c r="B69" t="s">
        <v>1537</v>
      </c>
      <c r="C69" t="s">
        <v>1538</v>
      </c>
      <c r="D69" s="1953">
        <v>45658</v>
      </c>
      <c r="E69" s="1953">
        <v>45689</v>
      </c>
      <c r="F69" s="1953">
        <v>45717</v>
      </c>
      <c r="G69" s="1953">
        <v>45748</v>
      </c>
      <c r="H69" s="1953">
        <v>45778</v>
      </c>
      <c r="I69" s="1953">
        <v>45809</v>
      </c>
      <c r="J69" s="1953">
        <v>45839</v>
      </c>
      <c r="K69" s="1953">
        <v>45870</v>
      </c>
      <c r="L69" s="1953">
        <v>45901</v>
      </c>
      <c r="M69" s="1953">
        <v>45931</v>
      </c>
      <c r="N69" s="1953">
        <v>45962</v>
      </c>
      <c r="O69" s="1953">
        <v>45992</v>
      </c>
      <c r="P69" t="s">
        <v>1592</v>
      </c>
      <c r="Q69" t="s">
        <v>1593</v>
      </c>
    </row>
    <row r="70" spans="2:17">
      <c r="B70" t="s">
        <v>1537</v>
      </c>
      <c r="C70" t="s">
        <v>1538</v>
      </c>
      <c r="D70" s="79">
        <v>695.28315572230485</v>
      </c>
      <c r="E70" s="79">
        <v>507.61467746143535</v>
      </c>
      <c r="F70" s="79">
        <v>519.11467746143535</v>
      </c>
      <c r="G70" s="79">
        <v>514.39511224404407</v>
      </c>
      <c r="H70" s="79">
        <v>547.45873562185056</v>
      </c>
      <c r="I70" s="79">
        <v>547.1072861570874</v>
      </c>
      <c r="J70" s="79">
        <v>590.31705465183097</v>
      </c>
      <c r="K70" s="79">
        <v>542.07076441795709</v>
      </c>
      <c r="L70" s="79">
        <v>536.52728615708747</v>
      </c>
      <c r="M70" s="79">
        <v>550.87511224404398</v>
      </c>
      <c r="N70" s="79">
        <v>564.47651823054616</v>
      </c>
      <c r="O70" s="79">
        <v>593.83879378226572</v>
      </c>
      <c r="P70" s="79">
        <v>6709.0791741518879</v>
      </c>
      <c r="Q70">
        <v>1.0000000000000002</v>
      </c>
    </row>
    <row r="71" spans="2:17">
      <c r="B71" t="s">
        <v>1454</v>
      </c>
      <c r="C71" t="s">
        <v>1539</v>
      </c>
      <c r="D71" s="79">
        <v>531.15881876578328</v>
      </c>
      <c r="E71" s="79">
        <v>344.65881876578328</v>
      </c>
      <c r="F71" s="79">
        <v>351.15881876578328</v>
      </c>
      <c r="G71" s="79">
        <v>364.80881876578331</v>
      </c>
      <c r="H71" s="79">
        <v>399.50287692619861</v>
      </c>
      <c r="I71" s="79">
        <v>379.36881876578326</v>
      </c>
      <c r="J71" s="79">
        <v>438.38293508661371</v>
      </c>
      <c r="K71" s="79">
        <v>383.78881876578333</v>
      </c>
      <c r="L71" s="79">
        <v>383.78881876578333</v>
      </c>
      <c r="M71" s="79">
        <v>383.78881876578333</v>
      </c>
      <c r="N71" s="79">
        <v>411.08587692619847</v>
      </c>
      <c r="O71" s="79">
        <v>438.38293508661371</v>
      </c>
      <c r="P71" s="79">
        <v>4809.87517415189</v>
      </c>
      <c r="Q71">
        <v>0.71692031787058452</v>
      </c>
    </row>
    <row r="72" spans="2:17">
      <c r="B72" t="s">
        <v>1594</v>
      </c>
      <c r="C72" t="s">
        <v>1541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>
        <v>0</v>
      </c>
    </row>
    <row r="73" spans="2:17">
      <c r="B73" t="s">
        <v>1569</v>
      </c>
      <c r="C73" t="s">
        <v>1542</v>
      </c>
      <c r="D73" s="79">
        <v>52.110000000000007</v>
      </c>
      <c r="E73" s="79">
        <v>51.610000000000007</v>
      </c>
      <c r="F73" s="79">
        <v>51.610000000000007</v>
      </c>
      <c r="G73" s="79">
        <v>51.610000000000007</v>
      </c>
      <c r="H73" s="79">
        <v>51.610000000000007</v>
      </c>
      <c r="I73" s="79">
        <v>51.610000000000007</v>
      </c>
      <c r="J73" s="79">
        <v>52.110000000000007</v>
      </c>
      <c r="K73" s="79">
        <v>51.610000000000007</v>
      </c>
      <c r="L73" s="79">
        <v>51.610000000000007</v>
      </c>
      <c r="M73" s="79">
        <v>51.610000000000007</v>
      </c>
      <c r="N73" s="79">
        <v>51.610000000000007</v>
      </c>
      <c r="O73" s="79">
        <v>51.610000000000007</v>
      </c>
      <c r="P73" s="79">
        <v>620.32000000000005</v>
      </c>
      <c r="Q73">
        <v>9.2459782318549899E-2</v>
      </c>
    </row>
    <row r="74" spans="2:17">
      <c r="B74" t="s">
        <v>1549</v>
      </c>
      <c r="C74" t="s">
        <v>1543</v>
      </c>
      <c r="D74" s="79">
        <v>19.891304347826086</v>
      </c>
      <c r="E74" s="79">
        <v>19.222826086956523</v>
      </c>
      <c r="F74" s="79">
        <v>24.222826086956523</v>
      </c>
      <c r="G74" s="79">
        <v>5.8532608695652169</v>
      </c>
      <c r="H74" s="79">
        <v>4.2228260869565215</v>
      </c>
      <c r="I74" s="79">
        <v>24.005434782608699</v>
      </c>
      <c r="J74" s="79">
        <v>7.7010869565217401</v>
      </c>
      <c r="K74" s="79">
        <v>14.548913043478262</v>
      </c>
      <c r="L74" s="79">
        <v>9.0054347826086953</v>
      </c>
      <c r="M74" s="79">
        <v>23.353260869565219</v>
      </c>
      <c r="N74" s="79">
        <v>9.6576086956521721</v>
      </c>
      <c r="O74" s="79">
        <v>11.722826086956522</v>
      </c>
      <c r="P74" s="79">
        <v>173.40760869565216</v>
      </c>
      <c r="Q74">
        <v>2.5846707751451311E-2</v>
      </c>
    </row>
    <row r="75" spans="2:17">
      <c r="B75" t="s">
        <v>1463</v>
      </c>
      <c r="C75" t="s">
        <v>1595</v>
      </c>
      <c r="D75" s="79">
        <v>52.9</v>
      </c>
      <c r="E75" s="79">
        <v>52.9</v>
      </c>
      <c r="F75" s="79">
        <v>52.9</v>
      </c>
      <c r="G75" s="79">
        <v>52.9</v>
      </c>
      <c r="H75" s="79">
        <v>52.9</v>
      </c>
      <c r="I75" s="79">
        <v>52.9</v>
      </c>
      <c r="J75" s="79">
        <v>52.9</v>
      </c>
      <c r="K75" s="79">
        <v>52.9</v>
      </c>
      <c r="L75" s="79">
        <v>52.9</v>
      </c>
      <c r="M75" s="79">
        <v>52.9</v>
      </c>
      <c r="N75" s="79">
        <v>52.9</v>
      </c>
      <c r="O75" s="79">
        <v>52.9</v>
      </c>
      <c r="P75" s="79">
        <v>634.79999999999984</v>
      </c>
      <c r="Q75">
        <v>9.4618051676256532E-2</v>
      </c>
    </row>
    <row r="76" spans="2:17">
      <c r="B76" t="s">
        <v>1560</v>
      </c>
      <c r="C76" t="s">
        <v>1596</v>
      </c>
      <c r="D76" s="79">
        <v>12</v>
      </c>
      <c r="E76" s="79">
        <v>12</v>
      </c>
      <c r="F76" s="79">
        <v>12</v>
      </c>
      <c r="G76" s="79">
        <v>12</v>
      </c>
      <c r="H76" s="79">
        <v>12</v>
      </c>
      <c r="I76" s="79">
        <v>12</v>
      </c>
      <c r="J76" s="79">
        <v>12</v>
      </c>
      <c r="K76" s="79">
        <v>12</v>
      </c>
      <c r="L76" s="79">
        <v>12</v>
      </c>
      <c r="M76" s="79">
        <v>12</v>
      </c>
      <c r="N76" s="79">
        <v>12</v>
      </c>
      <c r="O76" s="79">
        <v>12</v>
      </c>
      <c r="P76" s="79">
        <v>144</v>
      </c>
      <c r="Q76">
        <v>2.1463452176088443E-2</v>
      </c>
    </row>
    <row r="77" spans="2:17">
      <c r="B77" t="s">
        <v>1573</v>
      </c>
      <c r="C77" t="s">
        <v>1597</v>
      </c>
      <c r="D77" s="79">
        <v>19.423032608695546</v>
      </c>
      <c r="E77" s="79">
        <v>19.423032608695546</v>
      </c>
      <c r="F77" s="79">
        <v>19.423032608695546</v>
      </c>
      <c r="G77" s="79">
        <v>19.423032608695546</v>
      </c>
      <c r="H77" s="79">
        <v>19.423032608695546</v>
      </c>
      <c r="I77" s="79">
        <v>19.423032608695546</v>
      </c>
      <c r="J77" s="79">
        <v>19.423032608695546</v>
      </c>
      <c r="K77" s="79">
        <v>19.423032608695546</v>
      </c>
      <c r="L77" s="79">
        <v>19.423032608695546</v>
      </c>
      <c r="M77" s="79">
        <v>19.423032608695546</v>
      </c>
      <c r="N77" s="79">
        <v>19.423032608695546</v>
      </c>
      <c r="O77" s="79">
        <v>19.423032608695546</v>
      </c>
      <c r="P77" s="79">
        <v>233.07639130434652</v>
      </c>
      <c r="Q77">
        <v>3.474044429261193E-2</v>
      </c>
    </row>
    <row r="78" spans="2:17">
      <c r="B78" t="s">
        <v>1589</v>
      </c>
      <c r="C78" t="s">
        <v>1598</v>
      </c>
      <c r="D78" s="79">
        <v>7.8</v>
      </c>
      <c r="E78" s="79">
        <v>7.8</v>
      </c>
      <c r="F78" s="79">
        <v>7.8</v>
      </c>
      <c r="G78" s="79">
        <v>7.8</v>
      </c>
      <c r="H78" s="79">
        <v>7.8</v>
      </c>
      <c r="I78" s="79">
        <v>7.8</v>
      </c>
      <c r="J78" s="79">
        <v>7.8</v>
      </c>
      <c r="K78" s="79">
        <v>7.8</v>
      </c>
      <c r="L78" s="79">
        <v>7.8</v>
      </c>
      <c r="M78" s="79">
        <v>7.8</v>
      </c>
      <c r="N78" s="79">
        <v>7.8</v>
      </c>
      <c r="O78" s="79">
        <v>7.8</v>
      </c>
      <c r="P78" s="79">
        <v>93.59999999999998</v>
      </c>
      <c r="Q78">
        <v>1.3951243914457486E-2</v>
      </c>
    </row>
    <row r="83" spans="1:36">
      <c r="B83" t="s">
        <v>1537</v>
      </c>
      <c r="C83" t="s">
        <v>1592</v>
      </c>
    </row>
    <row r="84" spans="1:36">
      <c r="B84" t="s">
        <v>1537</v>
      </c>
      <c r="C84">
        <v>6709.0791741518879</v>
      </c>
    </row>
    <row r="85" spans="1:36">
      <c r="B85" t="s">
        <v>1454</v>
      </c>
      <c r="C85">
        <v>4809.87517415189</v>
      </c>
    </row>
    <row r="86" spans="1:36">
      <c r="B86" t="s">
        <v>1569</v>
      </c>
      <c r="C86">
        <v>620.32000000000005</v>
      </c>
    </row>
    <row r="87" spans="1:36">
      <c r="B87" t="s">
        <v>1549</v>
      </c>
      <c r="C87">
        <v>173.40760869565216</v>
      </c>
    </row>
    <row r="88" spans="1:36">
      <c r="B88" t="s">
        <v>1463</v>
      </c>
      <c r="C88">
        <v>634.79999999999984</v>
      </c>
    </row>
    <row r="89" spans="1:36">
      <c r="B89" t="s">
        <v>1560</v>
      </c>
      <c r="C89">
        <v>144</v>
      </c>
    </row>
    <row r="90" spans="1:36">
      <c r="B90" t="s">
        <v>1573</v>
      </c>
      <c r="C90">
        <v>233.07639130434652</v>
      </c>
    </row>
    <row r="91" spans="1:36">
      <c r="B91" t="s">
        <v>1589</v>
      </c>
      <c r="C91">
        <v>93.59999999999998</v>
      </c>
    </row>
    <row r="94" spans="1:36">
      <c r="W94" t="s">
        <v>1815</v>
      </c>
      <c r="X94" s="2319">
        <v>0.98490094358014635</v>
      </c>
      <c r="AC94" t="s">
        <v>1903</v>
      </c>
    </row>
    <row r="95" spans="1:36">
      <c r="A95" s="1950" t="s">
        <v>1481</v>
      </c>
      <c r="B95" s="1950" t="s">
        <v>1606</v>
      </c>
      <c r="AC95" s="2471" t="s">
        <v>1483</v>
      </c>
      <c r="AD95" s="2471" t="s">
        <v>1484</v>
      </c>
      <c r="AE95" s="2471" t="s">
        <v>1481</v>
      </c>
      <c r="AF95" s="2471" t="s">
        <v>1402</v>
      </c>
      <c r="AH95" s="2471" t="s">
        <v>1483</v>
      </c>
      <c r="AI95" s="2471" t="s">
        <v>1484</v>
      </c>
      <c r="AJ95" s="2471" t="s">
        <v>1481</v>
      </c>
    </row>
    <row r="96" spans="1:36">
      <c r="A96" s="1950" t="s">
        <v>1607</v>
      </c>
      <c r="B96" t="s">
        <v>1475</v>
      </c>
      <c r="C96" t="s">
        <v>1476</v>
      </c>
      <c r="D96" t="s">
        <v>1477</v>
      </c>
      <c r="E96" t="s">
        <v>1478</v>
      </c>
      <c r="F96" t="s">
        <v>1479</v>
      </c>
      <c r="G96" t="s">
        <v>1480</v>
      </c>
      <c r="H96" t="s">
        <v>1532</v>
      </c>
      <c r="I96" t="s">
        <v>1811</v>
      </c>
      <c r="J96" t="s">
        <v>1812</v>
      </c>
      <c r="K96" t="s">
        <v>1864</v>
      </c>
      <c r="L96" t="s">
        <v>1902</v>
      </c>
      <c r="M96" t="s">
        <v>1929</v>
      </c>
      <c r="N96" t="s">
        <v>1474</v>
      </c>
      <c r="P96" t="s">
        <v>1605</v>
      </c>
      <c r="Q96" t="s">
        <v>1609</v>
      </c>
      <c r="R96" t="s">
        <v>1608</v>
      </c>
      <c r="S96" t="s">
        <v>1610</v>
      </c>
      <c r="V96" t="s">
        <v>1813</v>
      </c>
      <c r="W96" t="s">
        <v>1814</v>
      </c>
      <c r="X96" t="s">
        <v>1610</v>
      </c>
      <c r="Y96" t="s">
        <v>1816</v>
      </c>
      <c r="Z96" t="s">
        <v>1818</v>
      </c>
      <c r="AC96" s="2472" t="s">
        <v>1462</v>
      </c>
      <c r="AD96" s="2473"/>
      <c r="AE96" s="2474">
        <f>+_xlfn.XLOOKUP(AC96,'Tabla Análisis (2)'!A:A,'Tabla Análisis (2)'!O:O,0,0,1)</f>
        <v>0</v>
      </c>
      <c r="AF96" s="2474">
        <f>+AE96/1000</f>
        <v>0</v>
      </c>
      <c r="AH96" s="2472" t="s">
        <v>1462</v>
      </c>
      <c r="AI96" s="2473"/>
      <c r="AJ96" s="2474">
        <v>499868.52009999997</v>
      </c>
    </row>
    <row r="97" spans="1:36">
      <c r="A97" s="653" t="s">
        <v>1462</v>
      </c>
      <c r="B97" s="79">
        <v>531.15879999999993</v>
      </c>
      <c r="C97" s="79">
        <v>344.65879999999999</v>
      </c>
      <c r="D97" s="79">
        <v>351.15879999999999</v>
      </c>
      <c r="E97" s="79">
        <v>364.80879999999996</v>
      </c>
      <c r="F97" s="79">
        <v>399.50280000000009</v>
      </c>
      <c r="G97" s="79">
        <v>379.36880000000002</v>
      </c>
      <c r="H97" s="79">
        <v>438.38290000000006</v>
      </c>
      <c r="I97" s="79">
        <v>383.78879999999998</v>
      </c>
      <c r="J97" s="79">
        <v>383.78879999999998</v>
      </c>
      <c r="K97" s="79">
        <v>383.78879999999998</v>
      </c>
      <c r="L97" s="79">
        <v>411.08580000000006</v>
      </c>
      <c r="M97" s="79">
        <v>438.38290000000006</v>
      </c>
      <c r="N97" s="79">
        <v>4809.8747999999996</v>
      </c>
      <c r="P97" t="s">
        <v>1465</v>
      </c>
      <c r="Q97" s="79">
        <v>861.52729999999997</v>
      </c>
      <c r="R97" s="79">
        <v>805.52874220000001</v>
      </c>
      <c r="S97" s="79">
        <f>+R97-Q97</f>
        <v>-55.998557799999958</v>
      </c>
      <c r="U97" t="s">
        <v>1462</v>
      </c>
      <c r="V97" s="2320">
        <v>3894498.0132999998</v>
      </c>
      <c r="Y97" s="2321">
        <f>+V97*$X$94</f>
        <v>3835694.7680701753</v>
      </c>
      <c r="Z97" s="79">
        <f>+Y97/1000</f>
        <v>3835.6947680701751</v>
      </c>
      <c r="AC97" s="2472" t="s">
        <v>1465</v>
      </c>
      <c r="AD97" s="2473"/>
      <c r="AE97" s="2474">
        <f>+_xlfn.XLOOKUP(AC97,'Tabla Análisis (2)'!A:A,'Tabla Análisis (2)'!O:O,0,0,1)</f>
        <v>805528.7422000001</v>
      </c>
      <c r="AF97" s="2475">
        <f t="shared" ref="AF97:AF101" si="0">+AE97/1000</f>
        <v>805.52874220000012</v>
      </c>
      <c r="AH97" s="2472" t="s">
        <v>1463</v>
      </c>
      <c r="AI97" s="2473"/>
      <c r="AJ97" s="2475">
        <v>49247.880100000002</v>
      </c>
    </row>
    <row r="98" spans="1:36">
      <c r="A98" s="653" t="s">
        <v>1465</v>
      </c>
      <c r="B98" s="79">
        <v>77.651299999999992</v>
      </c>
      <c r="C98" s="79">
        <v>76.482799999999997</v>
      </c>
      <c r="D98" s="79">
        <v>81.482799999999997</v>
      </c>
      <c r="E98" s="79">
        <v>63.113199999999992</v>
      </c>
      <c r="F98" s="79">
        <v>61.482799999999997</v>
      </c>
      <c r="G98" s="79">
        <v>81.265399999999985</v>
      </c>
      <c r="H98" s="79">
        <v>65.461100000000002</v>
      </c>
      <c r="I98" s="79">
        <v>71.808899999999994</v>
      </c>
      <c r="J98" s="79">
        <v>66.2654</v>
      </c>
      <c r="K98" s="79">
        <v>80.613199999999992</v>
      </c>
      <c r="L98" s="79">
        <v>66.917599999999993</v>
      </c>
      <c r="M98" s="79">
        <v>68.982799999999997</v>
      </c>
      <c r="N98" s="79">
        <v>861.52729999999997</v>
      </c>
      <c r="P98" t="s">
        <v>1599</v>
      </c>
      <c r="Q98" s="79">
        <v>233.07599999999999</v>
      </c>
      <c r="R98" s="79">
        <v>242.21798319999999</v>
      </c>
      <c r="S98" s="79">
        <f>+R98-Q98</f>
        <v>9.1419831999999985</v>
      </c>
      <c r="U98" t="s">
        <v>1465</v>
      </c>
      <c r="V98" s="2320">
        <v>649069.66260000004</v>
      </c>
      <c r="Y98" s="2321">
        <f t="shared" ref="Y98:Y104" si="1">+V98*$X$94</f>
        <v>639269.32314398722</v>
      </c>
      <c r="Z98" s="79">
        <f t="shared" ref="Z98:Z101" si="2">+Y98/1000</f>
        <v>639.26932314398721</v>
      </c>
      <c r="AC98" s="2472" t="s">
        <v>1463</v>
      </c>
      <c r="AD98" s="2473"/>
      <c r="AE98" s="2474">
        <f>+_xlfn.XLOOKUP(AC98,'Tabla Análisis (2)'!A:A,'Tabla Análisis (2)'!O:O,0,0,1)</f>
        <v>0</v>
      </c>
      <c r="AF98" s="2475">
        <f t="shared" si="0"/>
        <v>0</v>
      </c>
      <c r="AH98" s="2472" t="s">
        <v>1465</v>
      </c>
      <c r="AI98" s="2473"/>
      <c r="AJ98" s="2475">
        <v>41786.268900000003</v>
      </c>
    </row>
    <row r="99" spans="1:36">
      <c r="A99" s="653" t="s">
        <v>1463</v>
      </c>
      <c r="B99" s="79">
        <v>52.9</v>
      </c>
      <c r="C99" s="79">
        <v>52.9</v>
      </c>
      <c r="D99" s="79">
        <v>52.9</v>
      </c>
      <c r="E99" s="79">
        <v>52.9</v>
      </c>
      <c r="F99" s="79">
        <v>52.9</v>
      </c>
      <c r="G99" s="79">
        <v>52.9</v>
      </c>
      <c r="H99" s="79">
        <v>52.9</v>
      </c>
      <c r="I99" s="79">
        <v>52.9</v>
      </c>
      <c r="J99" s="79">
        <v>52.9</v>
      </c>
      <c r="K99" s="79">
        <v>52.9</v>
      </c>
      <c r="L99" s="79">
        <v>52.9</v>
      </c>
      <c r="M99" s="79">
        <v>52.9</v>
      </c>
      <c r="N99" s="79">
        <v>634.79999999999984</v>
      </c>
      <c r="P99" t="s">
        <v>1487</v>
      </c>
      <c r="Q99" s="79">
        <v>169.80000000000004</v>
      </c>
      <c r="R99" s="79">
        <v>260.62987989999999</v>
      </c>
      <c r="S99" s="79">
        <f>+R99-Q99</f>
        <v>90.829879899999952</v>
      </c>
      <c r="U99" t="s">
        <v>1463</v>
      </c>
      <c r="V99" s="2320">
        <v>548352.26370000001</v>
      </c>
      <c r="Y99" s="2321">
        <f t="shared" si="1"/>
        <v>540072.66193243919</v>
      </c>
      <c r="Z99" s="79">
        <f t="shared" si="2"/>
        <v>540.07266193243925</v>
      </c>
      <c r="AC99" s="2472" t="s">
        <v>1487</v>
      </c>
      <c r="AD99" s="2473"/>
      <c r="AE99" s="2474">
        <f>+_xlfn.XLOOKUP(AC99,'Tabla Análisis (2)'!A:A,'Tabla Análisis (2)'!O:O,0,0,1)</f>
        <v>260629.8799</v>
      </c>
      <c r="AF99" s="2475">
        <f t="shared" si="0"/>
        <v>260.62987989999999</v>
      </c>
      <c r="AH99" s="2472" t="s">
        <v>1487</v>
      </c>
      <c r="AI99" s="2473"/>
      <c r="AJ99" s="2475">
        <v>18510.821499999998</v>
      </c>
    </row>
    <row r="100" spans="1:36">
      <c r="A100" s="653" t="s">
        <v>1599</v>
      </c>
      <c r="B100" s="79">
        <v>19.422999999999998</v>
      </c>
      <c r="C100" s="79">
        <v>19.422999999999998</v>
      </c>
      <c r="D100" s="79">
        <v>19.422999999999998</v>
      </c>
      <c r="E100" s="79">
        <v>19.422999999999998</v>
      </c>
      <c r="F100" s="79">
        <v>19.422999999999998</v>
      </c>
      <c r="G100" s="79">
        <v>19.422999999999998</v>
      </c>
      <c r="H100" s="79">
        <v>19.422999999999998</v>
      </c>
      <c r="I100" s="79">
        <v>19.422999999999998</v>
      </c>
      <c r="J100" s="79">
        <v>19.422999999999998</v>
      </c>
      <c r="K100" s="79">
        <v>19.422999999999998</v>
      </c>
      <c r="L100" s="79">
        <v>19.422999999999998</v>
      </c>
      <c r="M100" s="79">
        <v>19.422999999999998</v>
      </c>
      <c r="N100" s="79">
        <v>233.07599999999999</v>
      </c>
      <c r="P100" t="s">
        <v>1463</v>
      </c>
      <c r="Q100" s="79">
        <v>634.79999999999984</v>
      </c>
      <c r="R100" s="79">
        <v>893.88561499999992</v>
      </c>
      <c r="S100" s="79">
        <f>+R100-Q100</f>
        <v>259.08561500000008</v>
      </c>
      <c r="U100" t="s">
        <v>1599</v>
      </c>
      <c r="V100" s="2320">
        <v>205047.23579999999</v>
      </c>
      <c r="Y100" s="2321">
        <f t="shared" si="1"/>
        <v>201951.21601792076</v>
      </c>
      <c r="Z100" s="79">
        <f t="shared" si="2"/>
        <v>201.95121601792076</v>
      </c>
      <c r="AC100" s="2472" t="s">
        <v>229</v>
      </c>
      <c r="AD100" s="2473"/>
      <c r="AE100" s="2474">
        <f>+_xlfn.XLOOKUP(AC100,'Tabla Análisis (2)'!A:A,'Tabla Análisis (2)'!O:O,0,0,1)</f>
        <v>111587.9832</v>
      </c>
      <c r="AF100" s="2475">
        <f t="shared" si="0"/>
        <v>111.5879832</v>
      </c>
      <c r="AH100" s="2472" t="s">
        <v>490</v>
      </c>
      <c r="AI100" s="2473"/>
      <c r="AJ100" s="2475">
        <v>13325</v>
      </c>
    </row>
    <row r="101" spans="1:36" ht="16" thickBot="1">
      <c r="A101" s="653" t="s">
        <v>1487</v>
      </c>
      <c r="B101" s="79">
        <v>14.149999999999999</v>
      </c>
      <c r="C101" s="79">
        <v>14.149999999999999</v>
      </c>
      <c r="D101" s="79">
        <v>14.149999999999999</v>
      </c>
      <c r="E101" s="79">
        <v>14.149999999999999</v>
      </c>
      <c r="F101" s="79">
        <v>14.149999999999999</v>
      </c>
      <c r="G101" s="79">
        <v>14.149999999999999</v>
      </c>
      <c r="H101" s="79">
        <v>14.149999999999999</v>
      </c>
      <c r="I101" s="79">
        <v>14.149999999999999</v>
      </c>
      <c r="J101" s="79">
        <v>14.149999999999999</v>
      </c>
      <c r="K101" s="79">
        <v>14.149999999999999</v>
      </c>
      <c r="L101" s="79">
        <v>14.149999999999999</v>
      </c>
      <c r="M101" s="79">
        <v>14.149999999999999</v>
      </c>
      <c r="N101" s="79">
        <v>169.80000000000004</v>
      </c>
      <c r="P101" t="s">
        <v>1462</v>
      </c>
      <c r="Q101" s="79">
        <v>4809.8747999999996</v>
      </c>
      <c r="R101" s="79">
        <v>5232.4622620999999</v>
      </c>
      <c r="S101" s="79">
        <f>+R101-Q101</f>
        <v>422.58746210000027</v>
      </c>
      <c r="U101" t="s">
        <v>1487</v>
      </c>
      <c r="V101" s="2320">
        <v>218241.9817</v>
      </c>
      <c r="Y101" s="2321">
        <f t="shared" si="1"/>
        <v>214946.73370513105</v>
      </c>
      <c r="Z101" s="79">
        <f t="shared" si="2"/>
        <v>214.94673370513104</v>
      </c>
      <c r="AC101" s="2472" t="s">
        <v>490</v>
      </c>
      <c r="AD101" s="2473"/>
      <c r="AE101" s="2474">
        <f>+_xlfn.XLOOKUP(AC101,'Tabla Análisis (2)'!A:A,'Tabla Análisis (2)'!O:O,0,0,1)</f>
        <v>130630</v>
      </c>
      <c r="AF101" s="2475">
        <f t="shared" si="0"/>
        <v>130.63</v>
      </c>
      <c r="AH101" s="2472" t="s">
        <v>229</v>
      </c>
      <c r="AI101" s="2473"/>
      <c r="AJ101" s="2475">
        <v>0</v>
      </c>
    </row>
    <row r="102" spans="1:36" ht="16" thickTop="1">
      <c r="A102" s="653" t="s">
        <v>1474</v>
      </c>
      <c r="B102" s="79">
        <v>695.28309999999988</v>
      </c>
      <c r="C102" s="79">
        <v>507.61459999999994</v>
      </c>
      <c r="D102" s="79">
        <v>519.11459999999988</v>
      </c>
      <c r="E102" s="79">
        <v>514.39499999999987</v>
      </c>
      <c r="F102" s="79">
        <v>547.45860000000005</v>
      </c>
      <c r="G102" s="79">
        <v>547.10719999999992</v>
      </c>
      <c r="H102" s="79">
        <v>590.31700000000001</v>
      </c>
      <c r="I102" s="79">
        <v>542.07069999999999</v>
      </c>
      <c r="J102" s="79">
        <v>536.52719999999999</v>
      </c>
      <c r="K102" s="79">
        <v>550.87499999999989</v>
      </c>
      <c r="L102" s="79">
        <v>564.47640000000001</v>
      </c>
      <c r="M102" s="79">
        <v>593.83870000000002</v>
      </c>
      <c r="N102" s="79">
        <v>6709.0780999999997</v>
      </c>
      <c r="P102" t="s">
        <v>734</v>
      </c>
      <c r="Q102" s="79">
        <f>SUM(Q97:Q101)</f>
        <v>6709.0780999999988</v>
      </c>
      <c r="R102" s="79">
        <f>SUM(R97:R101)</f>
        <v>7434.7244823999999</v>
      </c>
      <c r="S102" s="79">
        <f t="shared" ref="S102" si="3">+R102-Q102</f>
        <v>725.64638240000113</v>
      </c>
      <c r="T102" s="2319"/>
      <c r="V102" s="2322">
        <f>SUM(V97:V101)</f>
        <v>5515209.1571000004</v>
      </c>
      <c r="W102" s="2405">
        <f>+'Tabla datos unidades_Sept'!L18</f>
        <v>5426599.1495708153</v>
      </c>
      <c r="X102" s="79">
        <f>+W102-V102</f>
        <v>-88610.007529185154</v>
      </c>
      <c r="Y102" s="2322">
        <f>SUM(Y97:Y101)</f>
        <v>5431934.7028696537</v>
      </c>
      <c r="Z102" s="2322">
        <f>SUM(Z97:Z101)</f>
        <v>5431.9347028696538</v>
      </c>
      <c r="AC102" s="2476" t="s">
        <v>1474</v>
      </c>
      <c r="AD102" s="2476"/>
      <c r="AE102" s="2477">
        <f>SUM(AE96:AE101)</f>
        <v>1308376.6052999999</v>
      </c>
      <c r="AF102" s="2477">
        <f>SUM(AF96:AF101)</f>
        <v>1308.3766053000004</v>
      </c>
      <c r="AH102" s="2476" t="s">
        <v>1474</v>
      </c>
      <c r="AI102" s="2476"/>
      <c r="AJ102" s="2477">
        <v>622738.4905999999</v>
      </c>
    </row>
    <row r="103" spans="1:36">
      <c r="S103" s="2319">
        <f>+S102/Q102</f>
        <v>0.10815888138192954</v>
      </c>
      <c r="V103" s="79">
        <v>368950</v>
      </c>
      <c r="Y103" s="2321">
        <f t="shared" si="1"/>
        <v>363379.203133895</v>
      </c>
      <c r="Z103" s="79">
        <f>+Y103/1000</f>
        <v>363.37920313389498</v>
      </c>
      <c r="AA103" t="s">
        <v>1819</v>
      </c>
    </row>
    <row r="104" spans="1:36">
      <c r="V104">
        <v>274256</v>
      </c>
      <c r="Y104" s="2321">
        <f t="shared" si="1"/>
        <v>270114.9931825166</v>
      </c>
      <c r="Z104" s="79">
        <f>+Y104/1000</f>
        <v>270.11499318251657</v>
      </c>
      <c r="AA104" t="s">
        <v>1594</v>
      </c>
    </row>
    <row r="105" spans="1:36">
      <c r="P105" t="s">
        <v>1609</v>
      </c>
      <c r="Q105" s="79">
        <f>+Q102</f>
        <v>6709.0780999999988</v>
      </c>
      <c r="Y105" s="79">
        <f>+SUM(Y102:Y104)</f>
        <v>6065428.8991860654</v>
      </c>
      <c r="Z105" s="79">
        <f>+Y105/1000</f>
        <v>6065.4288991860658</v>
      </c>
    </row>
    <row r="106" spans="1:36">
      <c r="P106" t="s">
        <v>1465</v>
      </c>
      <c r="Q106" s="79">
        <v>-55.998557799999958</v>
      </c>
    </row>
    <row r="107" spans="1:36">
      <c r="P107" t="s">
        <v>1599</v>
      </c>
      <c r="Q107" s="79">
        <v>9.1419831999999985</v>
      </c>
      <c r="V107">
        <v>210307</v>
      </c>
      <c r="Y107" s="2321">
        <f t="shared" ref="Y107:Y109" si="4">+V107*$X$94</f>
        <v>207131.56274150984</v>
      </c>
      <c r="Z107" s="79">
        <f t="shared" ref="Z107:Z109" si="5">+Y107/1000</f>
        <v>207.13156274150984</v>
      </c>
    </row>
    <row r="108" spans="1:36">
      <c r="P108" t="s">
        <v>1487</v>
      </c>
      <c r="Q108" s="79">
        <v>90.829879899999952</v>
      </c>
      <c r="V108">
        <v>54382</v>
      </c>
      <c r="Y108" s="2321">
        <f t="shared" si="4"/>
        <v>53560.883113775519</v>
      </c>
      <c r="Z108" s="79">
        <f t="shared" si="5"/>
        <v>53.560883113775517</v>
      </c>
    </row>
    <row r="109" spans="1:36">
      <c r="P109" t="s">
        <v>1463</v>
      </c>
      <c r="Q109" s="79">
        <v>259.08561500000008</v>
      </c>
      <c r="V109">
        <v>104261</v>
      </c>
      <c r="Y109" s="2321">
        <f t="shared" si="4"/>
        <v>102686.75727860964</v>
      </c>
      <c r="Z109" s="79">
        <f t="shared" si="5"/>
        <v>102.68675727860965</v>
      </c>
    </row>
    <row r="110" spans="1:36">
      <c r="P110" t="s">
        <v>1462</v>
      </c>
      <c r="Q110" s="79">
        <v>422.58746210000027</v>
      </c>
    </row>
    <row r="111" spans="1:36">
      <c r="P111" t="s">
        <v>1821</v>
      </c>
      <c r="Q111" s="79">
        <f>SUM(Q105:Q110)</f>
        <v>7434.7244823999999</v>
      </c>
      <c r="Z111" s="79"/>
    </row>
    <row r="112" spans="1:36">
      <c r="P112" t="s">
        <v>1817</v>
      </c>
      <c r="Q112" s="79">
        <v>209</v>
      </c>
      <c r="V112" s="2335">
        <v>36821</v>
      </c>
      <c r="W112" s="2335"/>
      <c r="X112" s="2335"/>
      <c r="Y112" s="2335">
        <f t="shared" ref="Y112" si="6">+V112*$X$94</f>
        <v>36265.037643564567</v>
      </c>
      <c r="Z112" s="2335">
        <f t="shared" ref="Z112:Z116" si="7">+Y112/1000</f>
        <v>36.265037643564568</v>
      </c>
    </row>
    <row r="113" spans="3:26">
      <c r="C113" s="97"/>
      <c r="P113" t="s">
        <v>1866</v>
      </c>
      <c r="Q113" s="79">
        <v>144</v>
      </c>
      <c r="V113" s="2335"/>
      <c r="W113" s="2335"/>
      <c r="X113" s="2335"/>
      <c r="Y113" s="2335"/>
      <c r="Z113" s="2335"/>
    </row>
    <row r="114" spans="3:26">
      <c r="C114" s="97"/>
      <c r="P114" t="s">
        <v>1820</v>
      </c>
      <c r="Q114" s="79">
        <f>+SUM(Q111:Q113)</f>
        <v>7787.7244823999999</v>
      </c>
      <c r="V114" s="2335">
        <v>153058</v>
      </c>
      <c r="W114" s="2335"/>
      <c r="X114" s="2335"/>
      <c r="Y114" s="2335">
        <f t="shared" ref="Y114" si="8">+V114*$X$94</f>
        <v>150746.96862249004</v>
      </c>
      <c r="Z114" s="2335">
        <f t="shared" si="7"/>
        <v>150.74696862249004</v>
      </c>
    </row>
    <row r="115" spans="3:26">
      <c r="C115" s="97"/>
      <c r="Q115" s="79"/>
      <c r="V115" s="2335">
        <v>117436</v>
      </c>
      <c r="W115" s="2335"/>
      <c r="X115" s="2335"/>
      <c r="Y115" s="2335">
        <f t="shared" ref="Y115" si="9">+V115*$X$94</f>
        <v>115662.82721027806</v>
      </c>
      <c r="Z115" s="2335">
        <f t="shared" si="7"/>
        <v>115.66282721027807</v>
      </c>
    </row>
    <row r="116" spans="3:26">
      <c r="C116" s="97"/>
      <c r="V116" s="2335">
        <v>3761.7532999999994</v>
      </c>
      <c r="W116" s="2335"/>
      <c r="X116" s="2335"/>
      <c r="Y116" s="2335">
        <f t="shared" ref="Y116" si="10">+V116*$X$94</f>
        <v>3704.9543746857289</v>
      </c>
      <c r="Z116" s="2335">
        <f t="shared" si="7"/>
        <v>3.704954374685729</v>
      </c>
    </row>
    <row r="117" spans="3:26">
      <c r="C117" s="97"/>
    </row>
    <row r="118" spans="3:26">
      <c r="C118" s="97"/>
    </row>
    <row r="119" spans="3:26">
      <c r="C119" s="97"/>
    </row>
    <row r="120" spans="3:26">
      <c r="C120" s="97"/>
    </row>
    <row r="121" spans="3:26">
      <c r="C121" s="97"/>
    </row>
    <row r="122" spans="3:26">
      <c r="C122" s="97"/>
    </row>
    <row r="123" spans="3:26">
      <c r="C123" s="97"/>
    </row>
    <row r="124" spans="3:26">
      <c r="C124" s="97"/>
    </row>
    <row r="125" spans="3:26">
      <c r="C125" s="97"/>
    </row>
    <row r="126" spans="3:26">
      <c r="C126" s="97"/>
    </row>
    <row r="127" spans="3:26">
      <c r="C127" s="97"/>
    </row>
    <row r="128" spans="3:26">
      <c r="C128" s="97"/>
    </row>
    <row r="129" spans="3:3">
      <c r="C129" s="97"/>
    </row>
    <row r="130" spans="3:3">
      <c r="C130" s="97"/>
    </row>
    <row r="131" spans="3:3">
      <c r="C131" s="97"/>
    </row>
    <row r="132" spans="3:3">
      <c r="C132" s="97"/>
    </row>
    <row r="133" spans="3:3">
      <c r="C133" s="97"/>
    </row>
    <row r="134" spans="3:3">
      <c r="C134" s="97"/>
    </row>
    <row r="135" spans="3:3">
      <c r="C135" s="97"/>
    </row>
    <row r="136" spans="3:3">
      <c r="C136" s="97"/>
    </row>
    <row r="137" spans="3:3">
      <c r="C137" s="97"/>
    </row>
    <row r="138" spans="3:3">
      <c r="C138" s="97"/>
    </row>
    <row r="139" spans="3:3">
      <c r="C139" s="97"/>
    </row>
    <row r="140" spans="3:3">
      <c r="C140" s="97"/>
    </row>
    <row r="141" spans="3:3">
      <c r="C141" s="97"/>
    </row>
    <row r="142" spans="3:3">
      <c r="C142" s="97"/>
    </row>
    <row r="143" spans="3:3">
      <c r="C143" s="97"/>
    </row>
    <row r="144" spans="3:3">
      <c r="C144" s="97"/>
    </row>
    <row r="145" spans="3:3">
      <c r="C145" s="97"/>
    </row>
    <row r="146" spans="3:3">
      <c r="C146" s="97"/>
    </row>
    <row r="147" spans="3:3">
      <c r="C147" s="97"/>
    </row>
    <row r="148" spans="3:3">
      <c r="C148" s="97"/>
    </row>
    <row r="149" spans="3:3">
      <c r="C149" s="97"/>
    </row>
    <row r="150" spans="3:3">
      <c r="C150" s="97"/>
    </row>
    <row r="151" spans="3:3">
      <c r="C151" s="97"/>
    </row>
    <row r="152" spans="3:3">
      <c r="C152" s="97"/>
    </row>
    <row r="153" spans="3:3">
      <c r="C153" s="97"/>
    </row>
    <row r="154" spans="3:3">
      <c r="C154" s="97"/>
    </row>
    <row r="155" spans="3:3">
      <c r="C155" s="97"/>
    </row>
    <row r="156" spans="3:3">
      <c r="C156" s="97"/>
    </row>
    <row r="157" spans="3:3">
      <c r="C157" s="97"/>
    </row>
    <row r="158" spans="3:3">
      <c r="C158" s="97"/>
    </row>
    <row r="159" spans="3:3">
      <c r="C159" s="97"/>
    </row>
    <row r="160" spans="3:3">
      <c r="C160" s="97"/>
    </row>
    <row r="161" spans="3:3">
      <c r="C161" s="97"/>
    </row>
    <row r="162" spans="3:3">
      <c r="C162" s="97"/>
    </row>
    <row r="163" spans="3:3">
      <c r="C163" s="97"/>
    </row>
    <row r="164" spans="3:3">
      <c r="C164" s="97"/>
    </row>
    <row r="165" spans="3:3">
      <c r="C165" s="97"/>
    </row>
    <row r="166" spans="3:3">
      <c r="C166" s="97"/>
    </row>
    <row r="167" spans="3:3">
      <c r="C167" s="97"/>
    </row>
    <row r="168" spans="3:3">
      <c r="C168" s="97"/>
    </row>
    <row r="169" spans="3:3">
      <c r="C169" s="97"/>
    </row>
    <row r="170" spans="3:3">
      <c r="C170" s="97"/>
    </row>
    <row r="171" spans="3:3">
      <c r="C171" s="97"/>
    </row>
    <row r="172" spans="3:3">
      <c r="C172" s="97"/>
    </row>
    <row r="173" spans="3:3">
      <c r="C173" s="97"/>
    </row>
    <row r="174" spans="3:3">
      <c r="C174" s="97"/>
    </row>
    <row r="175" spans="3:3">
      <c r="C175" s="97"/>
    </row>
    <row r="176" spans="3:3">
      <c r="C176" s="97"/>
    </row>
    <row r="177" spans="3:3">
      <c r="C177" s="97"/>
    </row>
    <row r="178" spans="3:3">
      <c r="C178" s="97"/>
    </row>
    <row r="179" spans="3:3">
      <c r="C179" s="97"/>
    </row>
    <row r="180" spans="3:3">
      <c r="C180" s="97"/>
    </row>
    <row r="181" spans="3:3">
      <c r="C181" s="97"/>
    </row>
    <row r="182" spans="3:3">
      <c r="C182" s="97"/>
    </row>
    <row r="183" spans="3:3">
      <c r="C183" s="97"/>
    </row>
    <row r="184" spans="3:3">
      <c r="C184" s="97"/>
    </row>
    <row r="185" spans="3:3">
      <c r="C185" s="97"/>
    </row>
    <row r="186" spans="3:3">
      <c r="C186" s="97"/>
    </row>
    <row r="187" spans="3:3">
      <c r="C187" s="97"/>
    </row>
    <row r="188" spans="3:3">
      <c r="C188" s="97"/>
    </row>
    <row r="189" spans="3:3">
      <c r="C189" s="97"/>
    </row>
    <row r="190" spans="3:3">
      <c r="C190" s="97"/>
    </row>
    <row r="191" spans="3:3">
      <c r="C191" s="97"/>
    </row>
    <row r="192" spans="3:3">
      <c r="C192" s="97"/>
    </row>
    <row r="193" spans="3:3">
      <c r="C193" s="97"/>
    </row>
    <row r="194" spans="3:3">
      <c r="C194" s="97"/>
    </row>
    <row r="195" spans="3:3">
      <c r="C195" s="97"/>
    </row>
    <row r="196" spans="3:3">
      <c r="C196" s="97"/>
    </row>
    <row r="197" spans="3:3">
      <c r="C197" s="97"/>
    </row>
    <row r="198" spans="3:3">
      <c r="C198" s="97"/>
    </row>
    <row r="199" spans="3:3">
      <c r="C199" s="97"/>
    </row>
    <row r="200" spans="3:3">
      <c r="C200" s="97"/>
    </row>
    <row r="201" spans="3:3">
      <c r="C201" s="97"/>
    </row>
    <row r="202" spans="3:3">
      <c r="C202" s="97"/>
    </row>
    <row r="203" spans="3:3">
      <c r="C203" s="97"/>
    </row>
    <row r="204" spans="3:3">
      <c r="C204" s="97"/>
    </row>
    <row r="205" spans="3:3">
      <c r="C205" s="97"/>
    </row>
    <row r="206" spans="3:3">
      <c r="C206" s="97"/>
    </row>
    <row r="207" spans="3:3">
      <c r="C207" s="97"/>
    </row>
    <row r="208" spans="3:3">
      <c r="C208" s="97"/>
    </row>
    <row r="209" spans="3:3">
      <c r="C209" s="97"/>
    </row>
    <row r="210" spans="3:3">
      <c r="C210" s="97"/>
    </row>
    <row r="211" spans="3:3">
      <c r="C211" s="97"/>
    </row>
    <row r="212" spans="3:3">
      <c r="C212" s="97"/>
    </row>
    <row r="213" spans="3:3">
      <c r="C213" s="97"/>
    </row>
    <row r="214" spans="3:3">
      <c r="C214" s="97"/>
    </row>
    <row r="215" spans="3:3">
      <c r="C215" s="97"/>
    </row>
    <row r="216" spans="3:3">
      <c r="C216" s="97"/>
    </row>
    <row r="217" spans="3:3">
      <c r="C217" s="97"/>
    </row>
    <row r="218" spans="3:3">
      <c r="C218" s="97"/>
    </row>
    <row r="219" spans="3:3">
      <c r="C219" s="97"/>
    </row>
    <row r="220" spans="3:3">
      <c r="C220" s="97"/>
    </row>
    <row r="221" spans="3:3">
      <c r="C221" s="97"/>
    </row>
    <row r="222" spans="3:3">
      <c r="C222" s="97"/>
    </row>
    <row r="223" spans="3:3">
      <c r="C223" s="97"/>
    </row>
    <row r="224" spans="3:3">
      <c r="C224" s="97"/>
    </row>
    <row r="225" spans="3:3">
      <c r="C225" s="97"/>
    </row>
    <row r="226" spans="3:3">
      <c r="C226" s="97"/>
    </row>
    <row r="227" spans="3:3">
      <c r="C227" s="97"/>
    </row>
    <row r="228" spans="3:3">
      <c r="C228" s="97"/>
    </row>
    <row r="229" spans="3:3">
      <c r="C229" s="97"/>
    </row>
    <row r="230" spans="3:3">
      <c r="C230" s="97"/>
    </row>
    <row r="231" spans="3:3">
      <c r="C231" s="97"/>
    </row>
    <row r="232" spans="3:3">
      <c r="C232" s="97"/>
    </row>
    <row r="233" spans="3:3">
      <c r="C233" s="97"/>
    </row>
    <row r="234" spans="3:3">
      <c r="C234" s="97"/>
    </row>
    <row r="235" spans="3:3">
      <c r="C235" s="97"/>
    </row>
    <row r="236" spans="3:3">
      <c r="C236" s="97"/>
    </row>
    <row r="237" spans="3:3">
      <c r="C237" s="97"/>
    </row>
    <row r="238" spans="3:3">
      <c r="C238" s="97"/>
    </row>
    <row r="239" spans="3:3">
      <c r="C239" s="97"/>
    </row>
    <row r="240" spans="3:3">
      <c r="C240" s="97"/>
    </row>
    <row r="241" spans="3:3">
      <c r="C241" s="97"/>
    </row>
    <row r="242" spans="3:3">
      <c r="C242" s="97"/>
    </row>
    <row r="243" spans="3:3">
      <c r="C243" s="97"/>
    </row>
    <row r="244" spans="3:3">
      <c r="C244" s="97"/>
    </row>
    <row r="245" spans="3:3">
      <c r="C245" s="97"/>
    </row>
    <row r="246" spans="3:3">
      <c r="C246" s="97"/>
    </row>
    <row r="247" spans="3:3">
      <c r="C247" s="97"/>
    </row>
    <row r="248" spans="3:3">
      <c r="C248" s="97"/>
    </row>
    <row r="249" spans="3:3">
      <c r="C249" s="97"/>
    </row>
    <row r="250" spans="3:3">
      <c r="C250" s="97"/>
    </row>
    <row r="251" spans="3:3">
      <c r="C251" s="97"/>
    </row>
    <row r="252" spans="3:3">
      <c r="C252" s="97"/>
    </row>
    <row r="253" spans="3:3">
      <c r="C253" s="97"/>
    </row>
    <row r="254" spans="3:3">
      <c r="C254" s="97"/>
    </row>
    <row r="255" spans="3:3">
      <c r="C255" s="97"/>
    </row>
    <row r="256" spans="3:3">
      <c r="C256" s="97"/>
    </row>
    <row r="257" spans="3:3">
      <c r="C257" s="97"/>
    </row>
    <row r="258" spans="3:3">
      <c r="C258" s="97"/>
    </row>
    <row r="259" spans="3:3">
      <c r="C259" s="97"/>
    </row>
    <row r="260" spans="3:3">
      <c r="C260" s="97"/>
    </row>
    <row r="261" spans="3:3">
      <c r="C261" s="97"/>
    </row>
    <row r="262" spans="3:3">
      <c r="C262" s="97"/>
    </row>
    <row r="263" spans="3:3">
      <c r="C263" s="97"/>
    </row>
    <row r="264" spans="3:3">
      <c r="C264" s="97"/>
    </row>
    <row r="265" spans="3:3">
      <c r="C265" s="97"/>
    </row>
    <row r="266" spans="3:3">
      <c r="C266" s="97"/>
    </row>
    <row r="267" spans="3:3">
      <c r="C267" s="97"/>
    </row>
    <row r="268" spans="3:3">
      <c r="C268" s="97"/>
    </row>
    <row r="269" spans="3:3">
      <c r="C269" s="97"/>
    </row>
    <row r="270" spans="3:3">
      <c r="C270" s="97"/>
    </row>
    <row r="271" spans="3:3">
      <c r="C271" s="97"/>
    </row>
    <row r="272" spans="3:3">
      <c r="C272" s="97"/>
    </row>
    <row r="273" spans="3:3">
      <c r="C273" s="97"/>
    </row>
    <row r="274" spans="3:3">
      <c r="C274" s="97"/>
    </row>
    <row r="275" spans="3:3">
      <c r="C275" s="97"/>
    </row>
    <row r="276" spans="3:3">
      <c r="C276" s="97"/>
    </row>
    <row r="277" spans="3:3">
      <c r="C277" s="97"/>
    </row>
    <row r="278" spans="3:3">
      <c r="C278" s="97"/>
    </row>
    <row r="279" spans="3:3">
      <c r="C279" s="97"/>
    </row>
    <row r="280" spans="3:3">
      <c r="C280" s="97"/>
    </row>
    <row r="281" spans="3:3">
      <c r="C281" s="97"/>
    </row>
    <row r="282" spans="3:3">
      <c r="C282" s="97"/>
    </row>
    <row r="283" spans="3:3">
      <c r="C283" s="97"/>
    </row>
    <row r="284" spans="3:3">
      <c r="C284" s="97"/>
    </row>
    <row r="285" spans="3:3">
      <c r="C285" s="97"/>
    </row>
    <row r="286" spans="3:3">
      <c r="C286" s="97"/>
    </row>
    <row r="287" spans="3:3">
      <c r="C287" s="97"/>
    </row>
    <row r="288" spans="3:3">
      <c r="C288" s="97"/>
    </row>
    <row r="289" spans="3:3">
      <c r="C289" s="97"/>
    </row>
    <row r="290" spans="3:3">
      <c r="C290" s="97"/>
    </row>
    <row r="291" spans="3:3">
      <c r="C291" s="97"/>
    </row>
    <row r="292" spans="3:3">
      <c r="C292" s="97"/>
    </row>
    <row r="293" spans="3:3">
      <c r="C293" s="97"/>
    </row>
    <row r="294" spans="3:3">
      <c r="C294" s="97"/>
    </row>
    <row r="295" spans="3:3">
      <c r="C295" s="97"/>
    </row>
    <row r="296" spans="3:3">
      <c r="C296" s="97"/>
    </row>
    <row r="297" spans="3:3">
      <c r="C297" s="97"/>
    </row>
    <row r="298" spans="3:3">
      <c r="C298" s="97"/>
    </row>
    <row r="299" spans="3:3">
      <c r="C299" s="97"/>
    </row>
    <row r="300" spans="3:3">
      <c r="C300" s="97"/>
    </row>
    <row r="301" spans="3:3">
      <c r="C301" s="97"/>
    </row>
    <row r="302" spans="3:3">
      <c r="C302" s="97"/>
    </row>
    <row r="303" spans="3:3">
      <c r="C303" s="97"/>
    </row>
    <row r="304" spans="3:3">
      <c r="C304" s="97"/>
    </row>
    <row r="305" spans="3:3">
      <c r="C305" s="97"/>
    </row>
    <row r="306" spans="3:3">
      <c r="C306" s="97"/>
    </row>
    <row r="307" spans="3:3">
      <c r="C307" s="97"/>
    </row>
    <row r="308" spans="3:3">
      <c r="C308" s="97"/>
    </row>
    <row r="309" spans="3:3">
      <c r="C309" s="97"/>
    </row>
    <row r="310" spans="3:3">
      <c r="C310" s="97"/>
    </row>
    <row r="311" spans="3:3">
      <c r="C311" s="97"/>
    </row>
    <row r="312" spans="3:3">
      <c r="C312" s="97"/>
    </row>
    <row r="313" spans="3:3">
      <c r="C313" s="97"/>
    </row>
    <row r="314" spans="3:3">
      <c r="C314" s="97"/>
    </row>
    <row r="315" spans="3:3">
      <c r="C315" s="97"/>
    </row>
    <row r="316" spans="3:3">
      <c r="C316" s="97"/>
    </row>
    <row r="317" spans="3:3">
      <c r="C317" s="97"/>
    </row>
    <row r="318" spans="3:3">
      <c r="C318" s="97"/>
    </row>
    <row r="319" spans="3:3">
      <c r="C319" s="97"/>
    </row>
    <row r="320" spans="3:3">
      <c r="C320" s="97"/>
    </row>
    <row r="321" spans="3:3">
      <c r="C321" s="97"/>
    </row>
    <row r="322" spans="3:3">
      <c r="C322" s="97"/>
    </row>
    <row r="323" spans="3:3">
      <c r="C323" s="97"/>
    </row>
    <row r="324" spans="3:3">
      <c r="C324" s="97"/>
    </row>
    <row r="325" spans="3:3">
      <c r="C325" s="97"/>
    </row>
    <row r="326" spans="3:3">
      <c r="C326" s="97"/>
    </row>
    <row r="327" spans="3:3">
      <c r="C327" s="97"/>
    </row>
    <row r="328" spans="3:3">
      <c r="C328" s="97"/>
    </row>
    <row r="329" spans="3:3">
      <c r="C329" s="97"/>
    </row>
    <row r="330" spans="3:3">
      <c r="C330" s="97"/>
    </row>
    <row r="331" spans="3:3">
      <c r="C331" s="97"/>
    </row>
    <row r="332" spans="3:3">
      <c r="C332" s="97"/>
    </row>
    <row r="333" spans="3:3">
      <c r="C333" s="97"/>
    </row>
    <row r="334" spans="3:3">
      <c r="C334" s="97"/>
    </row>
    <row r="335" spans="3:3">
      <c r="C335" s="97"/>
    </row>
    <row r="336" spans="3:3">
      <c r="C336" s="97"/>
    </row>
    <row r="337" spans="3:3">
      <c r="C337" s="97"/>
    </row>
    <row r="338" spans="3:3">
      <c r="C338" s="97"/>
    </row>
    <row r="339" spans="3:3">
      <c r="C339" s="97"/>
    </row>
    <row r="340" spans="3:3">
      <c r="C340" s="97"/>
    </row>
    <row r="341" spans="3:3">
      <c r="C341" s="97"/>
    </row>
    <row r="342" spans="3:3">
      <c r="C342" s="97"/>
    </row>
    <row r="343" spans="3:3">
      <c r="C343" s="97"/>
    </row>
    <row r="344" spans="3:3">
      <c r="C344" s="97"/>
    </row>
    <row r="345" spans="3:3">
      <c r="C345" s="97"/>
    </row>
    <row r="346" spans="3:3">
      <c r="C346" s="97"/>
    </row>
    <row r="347" spans="3:3">
      <c r="C347" s="97"/>
    </row>
    <row r="348" spans="3:3">
      <c r="C348" s="97"/>
    </row>
    <row r="349" spans="3:3">
      <c r="C349" s="97"/>
    </row>
    <row r="350" spans="3:3">
      <c r="C350" s="97"/>
    </row>
    <row r="351" spans="3:3">
      <c r="C351" s="97"/>
    </row>
    <row r="352" spans="3:3">
      <c r="C352" s="97"/>
    </row>
    <row r="353" spans="3:3">
      <c r="C353" s="97"/>
    </row>
    <row r="354" spans="3:3">
      <c r="C354" s="97"/>
    </row>
    <row r="355" spans="3:3">
      <c r="C355" s="97"/>
    </row>
    <row r="356" spans="3:3">
      <c r="C356" s="97"/>
    </row>
    <row r="357" spans="3:3">
      <c r="C357" s="97"/>
    </row>
    <row r="358" spans="3:3">
      <c r="C358" s="97"/>
    </row>
    <row r="359" spans="3:3">
      <c r="C359" s="97"/>
    </row>
    <row r="360" spans="3:3">
      <c r="C360" s="97"/>
    </row>
    <row r="361" spans="3:3">
      <c r="C361" s="97"/>
    </row>
    <row r="362" spans="3:3">
      <c r="C362" s="97"/>
    </row>
    <row r="363" spans="3:3">
      <c r="C363" s="97"/>
    </row>
    <row r="364" spans="3:3">
      <c r="C364" s="97"/>
    </row>
    <row r="365" spans="3:3">
      <c r="C365" s="97"/>
    </row>
    <row r="366" spans="3:3">
      <c r="C366" s="97"/>
    </row>
    <row r="367" spans="3:3">
      <c r="C367" s="97"/>
    </row>
    <row r="368" spans="3:3">
      <c r="C368" s="97"/>
    </row>
    <row r="369" spans="3:3">
      <c r="C369" s="97"/>
    </row>
    <row r="370" spans="3:3">
      <c r="C370" s="97"/>
    </row>
    <row r="371" spans="3:3">
      <c r="C371" s="97"/>
    </row>
    <row r="372" spans="3:3">
      <c r="C372" s="97"/>
    </row>
    <row r="373" spans="3:3">
      <c r="C373" s="97"/>
    </row>
    <row r="374" spans="3:3">
      <c r="C374" s="97"/>
    </row>
    <row r="375" spans="3:3">
      <c r="C375" s="97"/>
    </row>
    <row r="376" spans="3:3">
      <c r="C376" s="97"/>
    </row>
    <row r="377" spans="3:3">
      <c r="C377" s="97"/>
    </row>
    <row r="378" spans="3:3">
      <c r="C378" s="97"/>
    </row>
    <row r="379" spans="3:3">
      <c r="C379" s="97"/>
    </row>
    <row r="380" spans="3:3">
      <c r="C380" s="97"/>
    </row>
    <row r="381" spans="3:3">
      <c r="C381" s="97"/>
    </row>
    <row r="382" spans="3:3">
      <c r="C382" s="97"/>
    </row>
    <row r="383" spans="3:3">
      <c r="C383" s="97"/>
    </row>
    <row r="384" spans="3:3">
      <c r="C384" s="97"/>
    </row>
    <row r="385" spans="3:3">
      <c r="C385" s="97"/>
    </row>
    <row r="386" spans="3:3">
      <c r="C386" s="97"/>
    </row>
    <row r="387" spans="3:3">
      <c r="C387" s="97"/>
    </row>
    <row r="388" spans="3:3">
      <c r="C388" s="97"/>
    </row>
    <row r="389" spans="3:3">
      <c r="C389" s="97"/>
    </row>
    <row r="390" spans="3:3">
      <c r="C390" s="97"/>
    </row>
    <row r="391" spans="3:3">
      <c r="C391" s="97"/>
    </row>
    <row r="392" spans="3:3">
      <c r="C392" s="97"/>
    </row>
    <row r="393" spans="3:3">
      <c r="C393" s="97"/>
    </row>
    <row r="394" spans="3:3">
      <c r="C394" s="97"/>
    </row>
    <row r="395" spans="3:3">
      <c r="C395" s="97"/>
    </row>
    <row r="396" spans="3:3">
      <c r="C396" s="97"/>
    </row>
    <row r="397" spans="3:3">
      <c r="C397" s="97"/>
    </row>
    <row r="398" spans="3:3">
      <c r="C398" s="97"/>
    </row>
    <row r="399" spans="3:3">
      <c r="C399" s="97"/>
    </row>
    <row r="400" spans="3:3">
      <c r="C400" s="97"/>
    </row>
    <row r="401" spans="3:3">
      <c r="C401" s="97"/>
    </row>
    <row r="402" spans="3:3">
      <c r="C402" s="97"/>
    </row>
    <row r="403" spans="3:3">
      <c r="C403" s="97"/>
    </row>
    <row r="404" spans="3:3">
      <c r="C404" s="97"/>
    </row>
    <row r="405" spans="3:3">
      <c r="C405" s="97"/>
    </row>
    <row r="406" spans="3:3">
      <c r="C406" s="97"/>
    </row>
    <row r="407" spans="3:3">
      <c r="C407" s="97"/>
    </row>
    <row r="408" spans="3:3">
      <c r="C408" s="97"/>
    </row>
    <row r="409" spans="3:3">
      <c r="C409" s="97"/>
    </row>
    <row r="410" spans="3:3">
      <c r="C410" s="97"/>
    </row>
    <row r="411" spans="3:3">
      <c r="C411" s="97"/>
    </row>
    <row r="412" spans="3:3">
      <c r="C412" s="97"/>
    </row>
    <row r="413" spans="3:3">
      <c r="C413" s="97"/>
    </row>
    <row r="414" spans="3:3">
      <c r="C414" s="97"/>
    </row>
    <row r="415" spans="3:3">
      <c r="C415" s="97"/>
    </row>
    <row r="416" spans="3:3">
      <c r="C416" s="97"/>
    </row>
    <row r="417" spans="3:3">
      <c r="C417" s="97"/>
    </row>
    <row r="418" spans="3:3">
      <c r="C418" s="97"/>
    </row>
    <row r="419" spans="3:3">
      <c r="C419" s="97"/>
    </row>
    <row r="420" spans="3:3">
      <c r="C420" s="97"/>
    </row>
    <row r="421" spans="3:3">
      <c r="C421" s="97"/>
    </row>
    <row r="422" spans="3:3">
      <c r="C422" s="97"/>
    </row>
    <row r="423" spans="3:3">
      <c r="C423" s="97"/>
    </row>
    <row r="424" spans="3:3">
      <c r="C424" s="97"/>
    </row>
    <row r="425" spans="3:3">
      <c r="C425" s="97"/>
    </row>
    <row r="426" spans="3:3">
      <c r="C426" s="97"/>
    </row>
    <row r="427" spans="3:3">
      <c r="C427" s="97"/>
    </row>
    <row r="428" spans="3:3">
      <c r="C428" s="97"/>
    </row>
    <row r="429" spans="3:3">
      <c r="C429" s="97"/>
    </row>
    <row r="430" spans="3:3">
      <c r="C430" s="97"/>
    </row>
    <row r="431" spans="3:3">
      <c r="C431" s="97"/>
    </row>
    <row r="432" spans="3:3">
      <c r="C432" s="97"/>
    </row>
    <row r="433" spans="3:3">
      <c r="C433" s="97"/>
    </row>
    <row r="434" spans="3:3">
      <c r="C434" s="97"/>
    </row>
    <row r="435" spans="3:3">
      <c r="C435" s="97"/>
    </row>
    <row r="436" spans="3:3">
      <c r="C436" s="97"/>
    </row>
    <row r="437" spans="3:3">
      <c r="C437" s="97"/>
    </row>
    <row r="438" spans="3:3">
      <c r="C438" s="97"/>
    </row>
    <row r="439" spans="3:3">
      <c r="C439" s="97"/>
    </row>
    <row r="440" spans="3:3">
      <c r="C440" s="97"/>
    </row>
    <row r="441" spans="3:3">
      <c r="C441" s="97"/>
    </row>
    <row r="442" spans="3:3">
      <c r="C442" s="97"/>
    </row>
    <row r="443" spans="3:3">
      <c r="C443" s="97"/>
    </row>
    <row r="444" spans="3:3">
      <c r="C444" s="97"/>
    </row>
    <row r="445" spans="3:3">
      <c r="C445" s="97"/>
    </row>
    <row r="446" spans="3:3">
      <c r="C446" s="97"/>
    </row>
    <row r="447" spans="3:3">
      <c r="C447" s="97"/>
    </row>
    <row r="448" spans="3:3">
      <c r="C448" s="97"/>
    </row>
    <row r="449" spans="3:3">
      <c r="C449" s="97"/>
    </row>
    <row r="450" spans="3:3">
      <c r="C450" s="97"/>
    </row>
    <row r="451" spans="3:3">
      <c r="C451" s="97"/>
    </row>
    <row r="452" spans="3:3">
      <c r="C452" s="97"/>
    </row>
    <row r="453" spans="3:3">
      <c r="C453" s="97"/>
    </row>
    <row r="454" spans="3:3">
      <c r="C454" s="97"/>
    </row>
    <row r="455" spans="3:3">
      <c r="C455" s="97"/>
    </row>
    <row r="456" spans="3:3">
      <c r="C456" s="97"/>
    </row>
    <row r="457" spans="3:3">
      <c r="C457" s="97"/>
    </row>
    <row r="458" spans="3:3">
      <c r="C458" s="97"/>
    </row>
    <row r="459" spans="3:3">
      <c r="C459" s="97"/>
    </row>
    <row r="460" spans="3:3">
      <c r="C460" s="97"/>
    </row>
    <row r="461" spans="3:3">
      <c r="C461" s="97"/>
    </row>
    <row r="462" spans="3:3">
      <c r="C462" s="97"/>
    </row>
    <row r="463" spans="3:3">
      <c r="C463" s="97"/>
    </row>
    <row r="464" spans="3:3">
      <c r="C464" s="97"/>
    </row>
    <row r="465" spans="3:3">
      <c r="C465" s="97"/>
    </row>
    <row r="466" spans="3:3">
      <c r="C466" s="97"/>
    </row>
    <row r="467" spans="3:3">
      <c r="C467" s="97"/>
    </row>
    <row r="468" spans="3:3">
      <c r="C468" s="97"/>
    </row>
    <row r="469" spans="3:3">
      <c r="C469" s="97"/>
    </row>
    <row r="470" spans="3:3">
      <c r="C470" s="97"/>
    </row>
    <row r="471" spans="3:3">
      <c r="C471" s="97"/>
    </row>
    <row r="472" spans="3:3">
      <c r="C472" s="97"/>
    </row>
    <row r="473" spans="3:3">
      <c r="C473" s="97"/>
    </row>
    <row r="474" spans="3:3">
      <c r="C474" s="97"/>
    </row>
    <row r="475" spans="3:3">
      <c r="C475" s="97"/>
    </row>
    <row r="476" spans="3:3">
      <c r="C476" s="97"/>
    </row>
    <row r="477" spans="3:3">
      <c r="C477" s="97"/>
    </row>
    <row r="478" spans="3:3">
      <c r="C478" s="97"/>
    </row>
    <row r="479" spans="3:3">
      <c r="C479" s="97"/>
    </row>
    <row r="480" spans="3:3">
      <c r="C480" s="97"/>
    </row>
    <row r="481" spans="3:3">
      <c r="C481" s="97"/>
    </row>
    <row r="482" spans="3:3">
      <c r="C482" s="97"/>
    </row>
    <row r="483" spans="3:3">
      <c r="C483" s="97"/>
    </row>
    <row r="484" spans="3:3">
      <c r="C484" s="97"/>
    </row>
    <row r="485" spans="3:3">
      <c r="C485" s="97"/>
    </row>
    <row r="486" spans="3:3">
      <c r="C486" s="97"/>
    </row>
    <row r="487" spans="3:3">
      <c r="C487" s="97"/>
    </row>
    <row r="488" spans="3:3">
      <c r="C488" s="97"/>
    </row>
    <row r="489" spans="3:3">
      <c r="C489" s="97"/>
    </row>
    <row r="490" spans="3:3">
      <c r="C490" s="97"/>
    </row>
    <row r="491" spans="3:3">
      <c r="C491" s="97"/>
    </row>
    <row r="492" spans="3:3">
      <c r="C492" s="97"/>
    </row>
    <row r="493" spans="3:3">
      <c r="C493" s="97"/>
    </row>
    <row r="494" spans="3:3">
      <c r="C494" s="97"/>
    </row>
    <row r="495" spans="3:3">
      <c r="C495" s="97"/>
    </row>
    <row r="496" spans="3:3">
      <c r="C496" s="97"/>
    </row>
    <row r="497" spans="3:3">
      <c r="C497" s="97"/>
    </row>
    <row r="498" spans="3:3">
      <c r="C498" s="97"/>
    </row>
    <row r="499" spans="3:3">
      <c r="C499" s="97"/>
    </row>
    <row r="500" spans="3:3">
      <c r="C500" s="97"/>
    </row>
    <row r="501" spans="3:3">
      <c r="C501" s="97"/>
    </row>
    <row r="502" spans="3:3">
      <c r="C502" s="97"/>
    </row>
    <row r="503" spans="3:3">
      <c r="C503" s="97"/>
    </row>
    <row r="504" spans="3:3">
      <c r="C504" s="97"/>
    </row>
    <row r="505" spans="3:3">
      <c r="C505" s="97"/>
    </row>
    <row r="506" spans="3:3">
      <c r="C506" s="97"/>
    </row>
    <row r="507" spans="3:3">
      <c r="C507" s="97"/>
    </row>
    <row r="508" spans="3:3">
      <c r="C508" s="97"/>
    </row>
    <row r="509" spans="3:3">
      <c r="C509" s="97"/>
    </row>
    <row r="510" spans="3:3">
      <c r="C510" s="97"/>
    </row>
    <row r="511" spans="3:3">
      <c r="C511" s="97"/>
    </row>
    <row r="512" spans="3:3">
      <c r="C512" s="97"/>
    </row>
    <row r="513" spans="3:3">
      <c r="C513" s="97"/>
    </row>
    <row r="514" spans="3:3">
      <c r="C514" s="97"/>
    </row>
    <row r="515" spans="3:3">
      <c r="C515" s="97"/>
    </row>
    <row r="516" spans="3:3">
      <c r="C516" s="97"/>
    </row>
    <row r="517" spans="3:3">
      <c r="C517" s="97"/>
    </row>
    <row r="518" spans="3:3">
      <c r="C518" s="97"/>
    </row>
    <row r="519" spans="3:3">
      <c r="C519" s="97"/>
    </row>
    <row r="520" spans="3:3">
      <c r="C520" s="97"/>
    </row>
    <row r="521" spans="3:3">
      <c r="C521" s="97"/>
    </row>
    <row r="522" spans="3:3">
      <c r="C522" s="97"/>
    </row>
    <row r="523" spans="3:3">
      <c r="C523" s="97"/>
    </row>
    <row r="524" spans="3:3">
      <c r="C524" s="97"/>
    </row>
    <row r="525" spans="3:3">
      <c r="C525" s="97"/>
    </row>
    <row r="526" spans="3:3">
      <c r="C526" s="97"/>
    </row>
    <row r="527" spans="3:3">
      <c r="C527" s="97"/>
    </row>
    <row r="528" spans="3:3">
      <c r="C528" s="97"/>
    </row>
    <row r="529" spans="3:3">
      <c r="C529" s="97"/>
    </row>
    <row r="530" spans="3:3">
      <c r="C530" s="97"/>
    </row>
    <row r="531" spans="3:3">
      <c r="C531" s="97"/>
    </row>
    <row r="532" spans="3:3">
      <c r="C532" s="97"/>
    </row>
    <row r="533" spans="3:3">
      <c r="C533" s="97"/>
    </row>
    <row r="534" spans="3:3">
      <c r="C534" s="97"/>
    </row>
    <row r="535" spans="3:3">
      <c r="C535" s="97"/>
    </row>
    <row r="536" spans="3:3">
      <c r="C536" s="97"/>
    </row>
    <row r="537" spans="3:3">
      <c r="C537" s="97"/>
    </row>
    <row r="538" spans="3:3">
      <c r="C538" s="97"/>
    </row>
    <row r="539" spans="3:3">
      <c r="C539" s="97"/>
    </row>
    <row r="540" spans="3:3">
      <c r="C540" s="97"/>
    </row>
    <row r="541" spans="3:3">
      <c r="C541" s="97"/>
    </row>
    <row r="542" spans="3:3">
      <c r="C542" s="97"/>
    </row>
    <row r="543" spans="3:3">
      <c r="C543" s="97"/>
    </row>
    <row r="544" spans="3:3">
      <c r="C544" s="97"/>
    </row>
    <row r="545" spans="3:3">
      <c r="C545" s="97"/>
    </row>
    <row r="546" spans="3:3">
      <c r="C546" s="97"/>
    </row>
    <row r="547" spans="3:3">
      <c r="C547" s="97"/>
    </row>
    <row r="548" spans="3:3">
      <c r="C548" s="97"/>
    </row>
    <row r="549" spans="3:3">
      <c r="C549" s="97"/>
    </row>
    <row r="550" spans="3:3">
      <c r="C550" s="97"/>
    </row>
    <row r="551" spans="3:3">
      <c r="C551" s="97"/>
    </row>
    <row r="552" spans="3:3">
      <c r="C552" s="97"/>
    </row>
    <row r="553" spans="3:3">
      <c r="C553" s="97"/>
    </row>
    <row r="554" spans="3:3">
      <c r="C554" s="97"/>
    </row>
    <row r="555" spans="3:3">
      <c r="C555" s="97"/>
    </row>
    <row r="556" spans="3:3">
      <c r="C556" s="97"/>
    </row>
    <row r="557" spans="3:3">
      <c r="C557" s="97"/>
    </row>
    <row r="558" spans="3:3">
      <c r="C558" s="97"/>
    </row>
    <row r="559" spans="3:3">
      <c r="C559" s="97"/>
    </row>
    <row r="560" spans="3:3">
      <c r="C560" s="97"/>
    </row>
    <row r="561" spans="3:3">
      <c r="C561" s="97"/>
    </row>
    <row r="562" spans="3:3">
      <c r="C562" s="97"/>
    </row>
    <row r="563" spans="3:3">
      <c r="C563" s="97"/>
    </row>
    <row r="564" spans="3:3">
      <c r="C564" s="97"/>
    </row>
    <row r="565" spans="3:3">
      <c r="C565" s="97"/>
    </row>
    <row r="566" spans="3:3">
      <c r="C566" s="97"/>
    </row>
    <row r="567" spans="3:3">
      <c r="C567" s="97"/>
    </row>
    <row r="568" spans="3:3">
      <c r="C568" s="97"/>
    </row>
    <row r="569" spans="3:3">
      <c r="C569" s="97"/>
    </row>
    <row r="570" spans="3:3">
      <c r="C570" s="97"/>
    </row>
    <row r="571" spans="3:3">
      <c r="C571" s="97"/>
    </row>
    <row r="572" spans="3:3">
      <c r="C572" s="97"/>
    </row>
    <row r="573" spans="3:3">
      <c r="C573" s="97"/>
    </row>
    <row r="574" spans="3:3">
      <c r="C574" s="97"/>
    </row>
    <row r="575" spans="3:3">
      <c r="C575" s="97"/>
    </row>
    <row r="576" spans="3:3">
      <c r="C576" s="97"/>
    </row>
    <row r="577" spans="3:3">
      <c r="C577" s="97"/>
    </row>
    <row r="578" spans="3:3">
      <c r="C578" s="97"/>
    </row>
    <row r="579" spans="3:3">
      <c r="C579" s="97"/>
    </row>
    <row r="580" spans="3:3">
      <c r="C580" s="97"/>
    </row>
    <row r="581" spans="3:3">
      <c r="C581" s="97"/>
    </row>
    <row r="582" spans="3:3">
      <c r="C582" s="97"/>
    </row>
    <row r="583" spans="3:3">
      <c r="C583" s="97"/>
    </row>
    <row r="584" spans="3:3">
      <c r="C584" s="97"/>
    </row>
    <row r="585" spans="3:3">
      <c r="C585" s="97"/>
    </row>
    <row r="586" spans="3:3">
      <c r="C586" s="97"/>
    </row>
    <row r="587" spans="3:3">
      <c r="C587" s="97"/>
    </row>
    <row r="588" spans="3:3">
      <c r="C588" s="97"/>
    </row>
    <row r="589" spans="3:3">
      <c r="C589" s="97"/>
    </row>
    <row r="590" spans="3:3">
      <c r="C590" s="97"/>
    </row>
    <row r="591" spans="3:3">
      <c r="C591" s="97"/>
    </row>
    <row r="592" spans="3:3">
      <c r="C592" s="97"/>
    </row>
    <row r="593" spans="3:3">
      <c r="C593" s="97"/>
    </row>
    <row r="594" spans="3:3">
      <c r="C594" s="97"/>
    </row>
    <row r="595" spans="3:3">
      <c r="C595" s="97"/>
    </row>
    <row r="596" spans="3:3">
      <c r="C596" s="97"/>
    </row>
    <row r="597" spans="3:3">
      <c r="C597" s="97"/>
    </row>
    <row r="598" spans="3:3">
      <c r="C598" s="97"/>
    </row>
    <row r="599" spans="3:3">
      <c r="C599" s="97"/>
    </row>
    <row r="600" spans="3:3">
      <c r="C600" s="97"/>
    </row>
    <row r="601" spans="3:3">
      <c r="C601" s="97"/>
    </row>
    <row r="602" spans="3:3">
      <c r="C602" s="97"/>
    </row>
    <row r="603" spans="3:3">
      <c r="C603" s="97"/>
    </row>
    <row r="604" spans="3:3">
      <c r="C604" s="97"/>
    </row>
    <row r="605" spans="3:3">
      <c r="C605" s="97"/>
    </row>
    <row r="606" spans="3:3">
      <c r="C606" s="97"/>
    </row>
    <row r="607" spans="3:3">
      <c r="C607" s="97"/>
    </row>
    <row r="608" spans="3:3">
      <c r="C608" s="97"/>
    </row>
    <row r="609" spans="3:3">
      <c r="C609" s="97"/>
    </row>
    <row r="610" spans="3:3">
      <c r="C610" s="97"/>
    </row>
    <row r="611" spans="3:3">
      <c r="C611" s="97"/>
    </row>
    <row r="612" spans="3:3">
      <c r="C612" s="97"/>
    </row>
    <row r="613" spans="3:3">
      <c r="C613" s="97"/>
    </row>
    <row r="614" spans="3:3">
      <c r="C614" s="97"/>
    </row>
    <row r="615" spans="3:3">
      <c r="C615" s="97"/>
    </row>
    <row r="616" spans="3:3">
      <c r="C616" s="97"/>
    </row>
    <row r="617" spans="3:3">
      <c r="C617" s="97"/>
    </row>
    <row r="618" spans="3:3">
      <c r="C618" s="97"/>
    </row>
    <row r="619" spans="3:3">
      <c r="C619" s="97"/>
    </row>
    <row r="620" spans="3:3">
      <c r="C620" s="97"/>
    </row>
    <row r="621" spans="3:3">
      <c r="C621" s="97"/>
    </row>
    <row r="622" spans="3:3">
      <c r="C622" s="97"/>
    </row>
    <row r="623" spans="3:3">
      <c r="C623" s="97"/>
    </row>
    <row r="624" spans="3:3">
      <c r="C624" s="97"/>
    </row>
    <row r="625" spans="3:3">
      <c r="C625" s="97"/>
    </row>
    <row r="626" spans="3:3">
      <c r="C626" s="97"/>
    </row>
    <row r="627" spans="3:3">
      <c r="C627" s="97"/>
    </row>
    <row r="628" spans="3:3">
      <c r="C628" s="97"/>
    </row>
    <row r="629" spans="3:3">
      <c r="C629" s="97"/>
    </row>
    <row r="630" spans="3:3">
      <c r="C630" s="97"/>
    </row>
    <row r="631" spans="3:3">
      <c r="C631" s="97"/>
    </row>
    <row r="632" spans="3:3">
      <c r="C632" s="97"/>
    </row>
    <row r="633" spans="3:3">
      <c r="C633" s="97"/>
    </row>
    <row r="634" spans="3:3">
      <c r="C634" s="97"/>
    </row>
    <row r="635" spans="3:3">
      <c r="C635" s="97"/>
    </row>
    <row r="636" spans="3:3">
      <c r="C636" s="97"/>
    </row>
    <row r="637" spans="3:3">
      <c r="C637" s="97"/>
    </row>
    <row r="638" spans="3:3">
      <c r="C638" s="97"/>
    </row>
    <row r="639" spans="3:3">
      <c r="C639" s="97"/>
    </row>
    <row r="640" spans="3:3">
      <c r="C640" s="97"/>
    </row>
    <row r="641" spans="3:3">
      <c r="C641" s="97"/>
    </row>
    <row r="642" spans="3:3">
      <c r="C642" s="97"/>
    </row>
    <row r="643" spans="3:3">
      <c r="C643" s="97"/>
    </row>
    <row r="644" spans="3:3">
      <c r="C644" s="97"/>
    </row>
    <row r="645" spans="3:3">
      <c r="C645" s="97"/>
    </row>
    <row r="646" spans="3:3">
      <c r="C646" s="97"/>
    </row>
    <row r="647" spans="3:3">
      <c r="C647" s="97"/>
    </row>
    <row r="648" spans="3:3">
      <c r="C648" s="97"/>
    </row>
    <row r="649" spans="3:3">
      <c r="C649" s="97"/>
    </row>
    <row r="650" spans="3:3">
      <c r="C650" s="97"/>
    </row>
    <row r="651" spans="3:3">
      <c r="C651" s="97"/>
    </row>
    <row r="652" spans="3:3">
      <c r="C652" s="97"/>
    </row>
    <row r="653" spans="3:3">
      <c r="C653" s="97"/>
    </row>
    <row r="654" spans="3:3">
      <c r="C654" s="97"/>
    </row>
    <row r="655" spans="3:3">
      <c r="C655" s="97"/>
    </row>
    <row r="656" spans="3:3">
      <c r="C656" s="97"/>
    </row>
    <row r="657" spans="3:3">
      <c r="C657" s="97"/>
    </row>
    <row r="658" spans="3:3">
      <c r="C658" s="97"/>
    </row>
    <row r="659" spans="3:3">
      <c r="C659" s="97"/>
    </row>
    <row r="660" spans="3:3">
      <c r="C660" s="97"/>
    </row>
    <row r="661" spans="3:3">
      <c r="C661" s="97"/>
    </row>
    <row r="662" spans="3:3">
      <c r="C662" s="97"/>
    </row>
    <row r="663" spans="3:3">
      <c r="C663" s="97"/>
    </row>
    <row r="664" spans="3:3">
      <c r="C664" s="97"/>
    </row>
    <row r="665" spans="3:3">
      <c r="C665" s="97"/>
    </row>
    <row r="666" spans="3:3">
      <c r="C666" s="97"/>
    </row>
    <row r="667" spans="3:3">
      <c r="C667" s="97"/>
    </row>
    <row r="668" spans="3:3">
      <c r="C668" s="97"/>
    </row>
    <row r="669" spans="3:3">
      <c r="C669" s="97"/>
    </row>
    <row r="670" spans="3:3">
      <c r="C670" s="97"/>
    </row>
    <row r="671" spans="3:3">
      <c r="C671" s="97"/>
    </row>
    <row r="672" spans="3:3">
      <c r="C672" s="97"/>
    </row>
    <row r="673" spans="3:3">
      <c r="C673" s="97"/>
    </row>
    <row r="674" spans="3:3">
      <c r="C674" s="97"/>
    </row>
    <row r="675" spans="3:3">
      <c r="C675" s="97"/>
    </row>
    <row r="676" spans="3:3">
      <c r="C676" s="97"/>
    </row>
    <row r="677" spans="3:3">
      <c r="C677" s="97"/>
    </row>
    <row r="678" spans="3:3">
      <c r="C678" s="97"/>
    </row>
    <row r="679" spans="3:3">
      <c r="C679" s="97"/>
    </row>
    <row r="680" spans="3:3">
      <c r="C680" s="97"/>
    </row>
    <row r="681" spans="3:3">
      <c r="C681" s="97"/>
    </row>
    <row r="682" spans="3:3">
      <c r="C682" s="97"/>
    </row>
    <row r="683" spans="3:3">
      <c r="C683" s="97"/>
    </row>
  </sheetData>
  <sortState xmlns:xlrd2="http://schemas.microsoft.com/office/spreadsheetml/2017/richdata2" ref="P97:S101">
    <sortCondition ref="S97:S101"/>
  </sortState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A249-2B35-4FD7-82AE-976044E7A77F}">
  <sheetPr codeName="Hoja5">
    <tabColor rgb="FFFFFF00"/>
  </sheetPr>
  <dimension ref="B1:AC138"/>
  <sheetViews>
    <sheetView zoomScale="80" zoomScaleNormal="80" workbookViewId="0">
      <selection activeCell="D12" sqref="D12"/>
    </sheetView>
  </sheetViews>
  <sheetFormatPr baseColWidth="10" defaultColWidth="11.5" defaultRowHeight="14"/>
  <cols>
    <col min="1" max="1" width="11.5" style="13"/>
    <col min="2" max="2" width="19.83203125" style="13" bestFit="1" customWidth="1"/>
    <col min="3" max="3" width="28.5" style="13" customWidth="1"/>
    <col min="4" max="15" width="12" style="13" customWidth="1"/>
    <col min="16" max="17" width="11.5" style="13"/>
    <col min="18" max="18" width="12.5" style="13" bestFit="1" customWidth="1"/>
    <col min="19" max="19" width="14.5" style="13" bestFit="1" customWidth="1"/>
    <col min="20" max="16384" width="11.5" style="13"/>
  </cols>
  <sheetData>
    <row r="1" spans="2:20">
      <c r="D1" s="1547"/>
      <c r="E1" s="1547"/>
      <c r="F1" s="1547"/>
      <c r="G1" s="1547"/>
      <c r="H1" s="1547"/>
      <c r="I1" s="1547"/>
      <c r="J1" s="1547"/>
      <c r="K1" s="1547"/>
      <c r="L1" s="1547">
        <v>6853202.4746723399</v>
      </c>
      <c r="M1" s="1547">
        <f>+L10-L1</f>
        <v>73593.424598046578</v>
      </c>
      <c r="N1" s="2304">
        <f>+M1/L10</f>
        <v>1.0624454028708761E-2</v>
      </c>
      <c r="O1" s="1547"/>
      <c r="Q1" s="13">
        <f>+P6*0.2</f>
        <v>319418.44200000004</v>
      </c>
    </row>
    <row r="2" spans="2:20" ht="15.75" customHeight="1" thickBot="1">
      <c r="D2" s="1547"/>
      <c r="E2" s="1547"/>
      <c r="F2" s="1547"/>
      <c r="G2" s="1547"/>
      <c r="H2" s="1547"/>
      <c r="I2" s="1547"/>
      <c r="J2" s="1547">
        <f t="shared" ref="J2:O2" si="0">+J17/1000</f>
        <v>641.80298562231769</v>
      </c>
      <c r="K2" s="1547">
        <f t="shared" si="0"/>
        <v>678.9957055793991</v>
      </c>
      <c r="L2" s="1547">
        <f t="shared" si="0"/>
        <v>666.9761251072963</v>
      </c>
      <c r="M2" s="1547">
        <f t="shared" si="0"/>
        <v>729.50445987124465</v>
      </c>
      <c r="N2" s="1547">
        <f t="shared" si="0"/>
        <v>586.01155373390577</v>
      </c>
      <c r="O2" s="1547">
        <f t="shared" si="0"/>
        <v>976.72233540772527</v>
      </c>
    </row>
    <row r="3" spans="2:20" ht="15" thickBot="1">
      <c r="B3" s="1551" t="s">
        <v>1335</v>
      </c>
      <c r="C3" s="1552" t="s">
        <v>1395</v>
      </c>
      <c r="D3" s="1552">
        <v>45658</v>
      </c>
      <c r="E3" s="1552">
        <v>45689</v>
      </c>
      <c r="F3" s="1552">
        <v>45717</v>
      </c>
      <c r="G3" s="1552">
        <v>45748</v>
      </c>
      <c r="H3" s="1552">
        <v>45778</v>
      </c>
      <c r="I3" s="1552">
        <v>45809</v>
      </c>
      <c r="J3" s="1552">
        <v>45839</v>
      </c>
      <c r="K3" s="1552">
        <v>45870</v>
      </c>
      <c r="L3" s="1552">
        <v>45901</v>
      </c>
      <c r="M3" s="1552">
        <v>45931</v>
      </c>
      <c r="N3" s="1552">
        <v>45962</v>
      </c>
      <c r="O3" s="1552">
        <v>45992</v>
      </c>
      <c r="P3" s="1553" t="s">
        <v>734</v>
      </c>
      <c r="R3" s="1551" t="s">
        <v>1335</v>
      </c>
      <c r="S3" s="1552" t="s">
        <v>1395</v>
      </c>
      <c r="T3" s="1552">
        <v>45658</v>
      </c>
    </row>
    <row r="4" spans="2:20" ht="15" thickBot="1">
      <c r="B4" s="1558" t="s">
        <v>1336</v>
      </c>
      <c r="C4" s="1567" t="s">
        <v>1344</v>
      </c>
      <c r="D4" s="1566">
        <f>+'Flujo Redco Chile'!C12</f>
        <v>362362.73390557943</v>
      </c>
      <c r="E4" s="1566">
        <f>+'Flujo Redco Chile'!D12</f>
        <v>547310.61909871246</v>
      </c>
      <c r="F4" s="1566">
        <f>+'Flujo Redco Chile'!E12</f>
        <v>389727.45708154509</v>
      </c>
      <c r="G4" s="1566">
        <f>+'Flujo Redco Chile'!F12</f>
        <v>237434.48497854077</v>
      </c>
      <c r="H4" s="1566">
        <f>+'Flujo Redco Chile'!G12</f>
        <v>272631.08476394851</v>
      </c>
      <c r="I4" s="1566">
        <f>+'Flujo Redco Chile'!H12</f>
        <v>277419.07296137337</v>
      </c>
      <c r="J4" s="1566">
        <f>+'Flujo Redco Chile'!I12</f>
        <v>475570.74892703863</v>
      </c>
      <c r="K4" s="1566">
        <f>+'Flujo Redco Chile'!J12</f>
        <v>151482.73712446351</v>
      </c>
      <c r="L4" s="1566">
        <f>+'Flujo Redco Chile'!K12</f>
        <v>297925.05042918457</v>
      </c>
      <c r="M4" s="1566">
        <f>+'Flujo Redco Chile'!L12</f>
        <v>158266.46030042917</v>
      </c>
      <c r="N4" s="1566">
        <f>+'Flujo Redco Chile'!M12</f>
        <v>248788.92596566523</v>
      </c>
      <c r="O4" s="1566">
        <f>+'Flujo Redco Chile'!N12</f>
        <v>173207.55042918454</v>
      </c>
      <c r="P4" s="1744">
        <f>SUM(D4:O4)</f>
        <v>3592126.9259656654</v>
      </c>
      <c r="Q4" s="1748">
        <f>+P4/$P$9</f>
        <v>0.39255573506252034</v>
      </c>
      <c r="R4" s="1554" t="s">
        <v>1336</v>
      </c>
      <c r="S4" s="1745" t="s">
        <v>1341</v>
      </c>
      <c r="T4" s="1768">
        <f>+'Flujo Redco Chile'!C8</f>
        <v>52257.137339055793</v>
      </c>
    </row>
    <row r="5" spans="2:20" ht="15" thickBot="1">
      <c r="B5" s="1558" t="s">
        <v>1337</v>
      </c>
      <c r="C5" s="1567" t="s">
        <v>1344</v>
      </c>
      <c r="D5" s="1566">
        <f>+'Flujo Redco Perú'!C13</f>
        <v>123848</v>
      </c>
      <c r="E5" s="1566">
        <f>+'Flujo Redco Perú'!D13</f>
        <v>62454</v>
      </c>
      <c r="F5" s="1566">
        <f>+'Flujo Redco Perú'!E13</f>
        <v>105377</v>
      </c>
      <c r="G5" s="1566">
        <f>+'Flujo Redco Perú'!F13</f>
        <v>110077</v>
      </c>
      <c r="H5" s="1566">
        <f>+'Flujo Redco Perú'!G13</f>
        <v>142610</v>
      </c>
      <c r="I5" s="1566">
        <f>+'Flujo Redco Perú'!H13</f>
        <v>229588</v>
      </c>
      <c r="J5" s="1566">
        <f>+'Flujo Redco Perú'!I13</f>
        <v>251702</v>
      </c>
      <c r="K5" s="1566">
        <f>+'Flujo Redco Perú'!J13</f>
        <v>641573</v>
      </c>
      <c r="L5" s="1566">
        <f>+'Flujo Redco Perú'!K13</f>
        <v>119133</v>
      </c>
      <c r="M5" s="1566">
        <f>+'Flujo Redco Perú'!L13</f>
        <v>265449</v>
      </c>
      <c r="N5" s="1566">
        <f>+'Flujo Redco Perú'!M13</f>
        <v>96110</v>
      </c>
      <c r="O5" s="1566">
        <f>+'Flujo Redco Perú'!N13</f>
        <v>269432</v>
      </c>
      <c r="P5" s="1744">
        <f>SUM(D5:O5)</f>
        <v>2417353</v>
      </c>
      <c r="Q5" s="1748">
        <f t="shared" ref="Q5:Q8" si="1">+P5/$P$9</f>
        <v>0.26417378989621454</v>
      </c>
      <c r="R5" s="1554" t="s">
        <v>1337</v>
      </c>
      <c r="S5" s="1751" t="s">
        <v>1341</v>
      </c>
      <c r="T5" s="1744">
        <f>+'Flujo Redco Perú'!C9</f>
        <v>136767.69351264619</v>
      </c>
    </row>
    <row r="6" spans="2:20" ht="15" thickBot="1">
      <c r="B6" s="1558" t="s">
        <v>1338</v>
      </c>
      <c r="C6" s="1567" t="s">
        <v>1344</v>
      </c>
      <c r="D6" s="1566">
        <f>+'Flujo Redco Brasil'!C14</f>
        <v>80502</v>
      </c>
      <c r="E6" s="1566">
        <f>+'Flujo Redco Brasil'!D14</f>
        <v>59683</v>
      </c>
      <c r="F6" s="1566">
        <f>+'Flujo Redco Brasil'!E14</f>
        <v>96322</v>
      </c>
      <c r="G6" s="1566">
        <f>+'Flujo Redco Brasil'!F14</f>
        <v>97209.7</v>
      </c>
      <c r="H6" s="1566">
        <f>+'Flujo Redco Brasil'!G14</f>
        <v>37074</v>
      </c>
      <c r="I6" s="1566">
        <f>+'Flujo Redco Brasil'!H14</f>
        <v>66563</v>
      </c>
      <c r="J6" s="1566">
        <f>+'Flujo Redco Brasil'!I14</f>
        <v>47717</v>
      </c>
      <c r="K6" s="1566">
        <f>+'Flujo Redco Brasil'!J14</f>
        <v>119652</v>
      </c>
      <c r="L6" s="1566">
        <f>+'Flujo Redco Brasil'!K14</f>
        <v>203588</v>
      </c>
      <c r="M6" s="1566">
        <f>+'Flujo Redco Brasil'!L14</f>
        <v>325062</v>
      </c>
      <c r="N6" s="1566">
        <f>+'Flujo Redco Brasil'!M14</f>
        <v>239603</v>
      </c>
      <c r="O6" s="1566">
        <f>+'Flujo Redco Brasil'!N14</f>
        <v>224116.50999999998</v>
      </c>
      <c r="P6" s="1744">
        <f>SUM(D6:O6)</f>
        <v>1597092.21</v>
      </c>
      <c r="Q6" s="1748">
        <f t="shared" si="1"/>
        <v>0.17453384008434886</v>
      </c>
      <c r="R6" s="1554" t="s">
        <v>1338</v>
      </c>
      <c r="S6" s="1751" t="s">
        <v>1341</v>
      </c>
      <c r="T6" s="1744">
        <f>+'Flujo Redco Brasil'!C9</f>
        <v>9622.33</v>
      </c>
    </row>
    <row r="7" spans="2:20" ht="15" thickBot="1">
      <c r="B7" s="1558" t="s">
        <v>790</v>
      </c>
      <c r="C7" s="1567" t="s">
        <v>1344</v>
      </c>
      <c r="D7" s="1566">
        <f>+'Flujo Redco USA'!C13</f>
        <v>150453</v>
      </c>
      <c r="E7" s="1566">
        <f>+'Flujo Redco USA'!D13</f>
        <v>243465.21</v>
      </c>
      <c r="F7" s="1566">
        <f>+'Flujo Redco USA'!E13</f>
        <v>141526</v>
      </c>
      <c r="G7" s="1566">
        <f>+'Flujo Redco USA'!F13</f>
        <v>169200</v>
      </c>
      <c r="H7" s="1566">
        <f>+'Flujo Redco USA'!G13</f>
        <v>195090</v>
      </c>
      <c r="I7" s="1566">
        <f>+'Flujo Redco USA'!H13</f>
        <v>61796</v>
      </c>
      <c r="J7" s="1566">
        <f>+'Flujo Redco USA'!I13</f>
        <v>0</v>
      </c>
      <c r="K7" s="1566">
        <f>+'Flujo Redco USA'!J13</f>
        <v>20000</v>
      </c>
      <c r="L7" s="1566">
        <f>+'Flujo Redco USA'!K13</f>
        <v>0</v>
      </c>
      <c r="M7" s="1566">
        <f>+'Flujo Redco USA'!L13</f>
        <v>45000</v>
      </c>
      <c r="N7" s="1566">
        <f>+'Flujo Redco USA'!M13</f>
        <v>0</v>
      </c>
      <c r="O7" s="1566">
        <f>+'Flujo Redco USA'!N13</f>
        <v>178785</v>
      </c>
      <c r="P7" s="1744">
        <f>SUM(D7:O7)</f>
        <v>1205315.21</v>
      </c>
      <c r="Q7" s="1748">
        <f t="shared" si="1"/>
        <v>0.13171956559313089</v>
      </c>
      <c r="R7" s="1558" t="s">
        <v>790</v>
      </c>
      <c r="S7" s="1751" t="s">
        <v>1341</v>
      </c>
      <c r="T7" s="1744">
        <f>+'Flujo Redco USA'!C9</f>
        <v>55345</v>
      </c>
    </row>
    <row r="8" spans="2:20" ht="15" thickBot="1">
      <c r="B8" s="1558" t="s">
        <v>1573</v>
      </c>
      <c r="C8" s="1567" t="s">
        <v>1344</v>
      </c>
      <c r="D8" s="2308">
        <f>+'Flujo Redco BVI'!C13</f>
        <v>0</v>
      </c>
      <c r="E8" s="2308">
        <f>+'Flujo Redco BVI'!D13</f>
        <v>21682</v>
      </c>
      <c r="F8" s="2308">
        <f>+'Flujo Redco BVI'!E13</f>
        <v>45478</v>
      </c>
      <c r="G8" s="2308">
        <f>+'Flujo Redco BVI'!F13</f>
        <v>0</v>
      </c>
      <c r="H8" s="2308">
        <f>+'Flujo Redco BVI'!G13</f>
        <v>0</v>
      </c>
      <c r="I8" s="2308">
        <f>+'Flujo Redco BVI'!H13</f>
        <v>172045</v>
      </c>
      <c r="J8" s="2308">
        <f>+'Flujo Redco BVI'!I13</f>
        <v>0</v>
      </c>
      <c r="K8" s="2308">
        <f>+'Flujo Redco BVI'!J13</f>
        <v>99524</v>
      </c>
      <c r="L8" s="2308">
        <f>+'Flujo Redco BVI'!K13</f>
        <v>0</v>
      </c>
      <c r="M8" s="2308">
        <f>+'Flujo Redco BVI'!L13</f>
        <v>0</v>
      </c>
      <c r="N8" s="2308">
        <f>+'Flujo Redco BVI'!M13</f>
        <v>0</v>
      </c>
      <c r="O8" s="2308">
        <f>+'Flujo Redco BVI'!N13</f>
        <v>0</v>
      </c>
      <c r="P8" s="1744">
        <f>SUM(D8:O8)</f>
        <v>338729</v>
      </c>
      <c r="Q8" s="1748">
        <f t="shared" si="1"/>
        <v>3.7017069363785453E-2</v>
      </c>
      <c r="R8" s="1558" t="s">
        <v>1388</v>
      </c>
      <c r="S8" s="1751" t="s">
        <v>1341</v>
      </c>
      <c r="T8" s="1566">
        <f>+'Flujo Redco BVI'!S13</f>
        <v>0</v>
      </c>
    </row>
    <row r="9" spans="2:20" ht="18.75" customHeight="1" thickBot="1">
      <c r="B9" s="1568" t="s">
        <v>212</v>
      </c>
      <c r="C9" s="1560" t="s">
        <v>1344</v>
      </c>
      <c r="D9" s="1569">
        <f>SUM(D4:D8)</f>
        <v>717165.73390557943</v>
      </c>
      <c r="E9" s="1569">
        <f t="shared" ref="E9:O9" si="2">SUM(E4:E8)</f>
        <v>934594.82909871242</v>
      </c>
      <c r="F9" s="1569">
        <f t="shared" si="2"/>
        <v>778430.45708154514</v>
      </c>
      <c r="G9" s="1569">
        <f t="shared" si="2"/>
        <v>613921.18497854075</v>
      </c>
      <c r="H9" s="1569">
        <f t="shared" si="2"/>
        <v>647405.08476394857</v>
      </c>
      <c r="I9" s="1569">
        <f t="shared" si="2"/>
        <v>807411.07296137337</v>
      </c>
      <c r="J9" s="1569">
        <f t="shared" si="2"/>
        <v>774989.74892703863</v>
      </c>
      <c r="K9" s="1569">
        <f t="shared" si="2"/>
        <v>1032231.7371244635</v>
      </c>
      <c r="L9" s="1569">
        <f t="shared" si="2"/>
        <v>620646.05042918457</v>
      </c>
      <c r="M9" s="1569">
        <f t="shared" si="2"/>
        <v>793777.46030042914</v>
      </c>
      <c r="N9" s="1569">
        <f t="shared" si="2"/>
        <v>584501.92596566526</v>
      </c>
      <c r="O9" s="1569">
        <f t="shared" si="2"/>
        <v>845541.06042918458</v>
      </c>
      <c r="P9" s="1569">
        <f>SUM(P4:P8)</f>
        <v>9150616.3459656648</v>
      </c>
      <c r="Q9" s="600"/>
      <c r="R9" s="1555" t="s">
        <v>1349</v>
      </c>
      <c r="S9" s="1555" t="s">
        <v>1349</v>
      </c>
      <c r="T9" s="1556">
        <f>SUM(T4:T8)</f>
        <v>253992.16085170198</v>
      </c>
    </row>
    <row r="10" spans="2:20" ht="18.75" customHeight="1" thickBot="1">
      <c r="B10" s="1763"/>
      <c r="C10" s="1764" t="s">
        <v>1396</v>
      </c>
      <c r="D10" s="1765">
        <f>+SUM($D$9:D9)</f>
        <v>717165.73390557943</v>
      </c>
      <c r="E10" s="1765">
        <f>+SUM($D$9:E9)</f>
        <v>1651760.5630042918</v>
      </c>
      <c r="F10" s="1765">
        <f>+SUM($D$9:F9)</f>
        <v>2430191.0200858368</v>
      </c>
      <c r="G10" s="1765">
        <f>+SUM($D$9:G9)</f>
        <v>3044112.2050643777</v>
      </c>
      <c r="H10" s="1765">
        <f>+SUM($D$9:H9)</f>
        <v>3691517.2898283266</v>
      </c>
      <c r="I10" s="1765">
        <f>+SUM($D$9:I9)</f>
        <v>4498928.3627896998</v>
      </c>
      <c r="J10" s="1765">
        <f>+SUM($D$9:J9)</f>
        <v>5273918.111716738</v>
      </c>
      <c r="K10" s="1765">
        <f>+SUM($D$9:K9)</f>
        <v>6306149.8488412015</v>
      </c>
      <c r="L10" s="1765">
        <f>+SUM($D$9:L9)</f>
        <v>6926795.8992703864</v>
      </c>
      <c r="M10" s="1765">
        <f>+SUM($D$9:M9)</f>
        <v>7720573.3595708152</v>
      </c>
      <c r="N10" s="1765">
        <f>+SUM($D$9:N9)</f>
        <v>8305075.2855364801</v>
      </c>
      <c r="O10" s="2305">
        <f>+SUM($D$9:O9)</f>
        <v>9150616.3459656648</v>
      </c>
      <c r="P10" s="1765"/>
      <c r="Q10" s="600"/>
      <c r="R10" s="599"/>
    </row>
    <row r="11" spans="2:20" ht="18.75" customHeight="1" thickBot="1">
      <c r="B11" s="1551" t="s">
        <v>1335</v>
      </c>
      <c r="C11" s="1552" t="s">
        <v>1395</v>
      </c>
      <c r="D11" s="1552">
        <v>45658</v>
      </c>
      <c r="E11" s="1552">
        <v>45689</v>
      </c>
      <c r="F11" s="1552">
        <v>45717</v>
      </c>
      <c r="G11" s="1552">
        <v>45748</v>
      </c>
      <c r="H11" s="1552">
        <v>45778</v>
      </c>
      <c r="I11" s="1552">
        <v>45809</v>
      </c>
      <c r="J11" s="1552">
        <v>45839</v>
      </c>
      <c r="K11" s="1552">
        <v>45870</v>
      </c>
      <c r="L11" s="1552">
        <v>45901</v>
      </c>
      <c r="M11" s="1552">
        <v>45931</v>
      </c>
      <c r="N11" s="1552">
        <v>45962</v>
      </c>
      <c r="O11" s="1552">
        <v>45992</v>
      </c>
      <c r="P11" s="1553" t="s">
        <v>734</v>
      </c>
      <c r="Q11" s="600"/>
      <c r="R11" s="599"/>
    </row>
    <row r="12" spans="2:20" ht="15" thickBot="1">
      <c r="B12" s="1554" t="s">
        <v>1336</v>
      </c>
      <c r="C12" s="1761" t="s">
        <v>1345</v>
      </c>
      <c r="D12" s="1762">
        <f>+'Flujo Redco Chile'!C18+'Flujo Redco Chile'!C23+'Flujo Redco Chile'!C25</f>
        <v>397276.64806866954</v>
      </c>
      <c r="E12" s="1762">
        <f>+'Flujo Redco Chile'!D18+'Flujo Redco Chile'!D23+'Flujo Redco Chile'!D25</f>
        <v>422126.63733905577</v>
      </c>
      <c r="F12" s="1762">
        <f>+'Flujo Redco Chile'!E18+'Flujo Redco Chile'!E23+'Flujo Redco Chile'!E25</f>
        <v>439899.17918454937</v>
      </c>
      <c r="G12" s="1762">
        <f>+'Flujo Redco Chile'!F18+'Flujo Redco Chile'!F23+'Flujo Redco Chile'!F25</f>
        <v>341507.34656652366</v>
      </c>
      <c r="H12" s="1762">
        <f>+'Flujo Redco Chile'!G18+'Flujo Redco Chile'!G23+'Flujo Redco Chile'!G25</f>
        <v>340134.80364806874</v>
      </c>
      <c r="I12" s="1762">
        <f>+'Flujo Redco Chile'!H18+'Flujo Redco Chile'!H23+'Flujo Redco Chile'!H25</f>
        <v>380566.1684549356</v>
      </c>
      <c r="J12" s="1762">
        <f>+'Flujo Redco Chile'!I18+'Flujo Redco Chile'!I23+'Flujo Redco Chile'!I25</f>
        <v>395727.1856223176</v>
      </c>
      <c r="K12" s="1762">
        <f>+'Flujo Redco Chile'!J18+'Flujo Redco Chile'!J23+'Flujo Redco Chile'!J25</f>
        <v>425248.90557939914</v>
      </c>
      <c r="L12" s="1762">
        <f>+'Flujo Redco Chile'!K18+'Flujo Redco Chile'!K23+'Flujo Redco Chile'!K25</f>
        <v>455871.32510729617</v>
      </c>
      <c r="M12" s="1762">
        <f>+'Flujo Redco Chile'!L18+'Flujo Redco Chile'!L23+'Flujo Redco Chile'!L25</f>
        <v>513185.65987124463</v>
      </c>
      <c r="N12" s="1762">
        <f>+'Flujo Redco Chile'!M18+'Flujo Redco Chile'!M23+'Flujo Redco Chile'!M25</f>
        <v>392218.11373390566</v>
      </c>
      <c r="O12" s="1762">
        <f>+'Flujo Redco Chile'!N18+'Flujo Redco Chile'!N23+'Flujo Redco Chile'!N25</f>
        <v>495505.53540772531</v>
      </c>
      <c r="P12" s="1757">
        <f>SUM(D12:O12)</f>
        <v>4999267.5085836919</v>
      </c>
      <c r="Q12" s="1746"/>
    </row>
    <row r="13" spans="2:20" ht="15" thickBot="1">
      <c r="B13" s="1554" t="s">
        <v>1337</v>
      </c>
      <c r="C13" s="1754" t="s">
        <v>1345</v>
      </c>
      <c r="D13" s="1753">
        <f>+'Flujo Redco Perú'!C19+'Flujo Redco Perú'!C26+'Flujo Redco Perú'!C28</f>
        <v>89462.85</v>
      </c>
      <c r="E13" s="1753">
        <f>+'Flujo Redco Perú'!D19+'Flujo Redco Perú'!D26+'Flujo Redco Perú'!D28</f>
        <v>81597</v>
      </c>
      <c r="F13" s="1753">
        <f>+'Flujo Redco Perú'!E19+'Flujo Redco Perú'!E26+'Flujo Redco Perú'!E28</f>
        <v>92755</v>
      </c>
      <c r="G13" s="1753">
        <f>+'Flujo Redco Perú'!F19+'Flujo Redco Perú'!F26+'Flujo Redco Perú'!F28</f>
        <v>137672.29999999999</v>
      </c>
      <c r="H13" s="1753">
        <f>+'Flujo Redco Perú'!G19+'Flujo Redco Perú'!G26+'Flujo Redco Perú'!G28</f>
        <v>128924</v>
      </c>
      <c r="I13" s="1753">
        <f>+'Flujo Redco Perú'!H19+'Flujo Redco Perú'!H26+'Flujo Redco Perú'!H28</f>
        <v>167995</v>
      </c>
      <c r="J13" s="1753">
        <f>+'Flujo Redco Perú'!I19+'Flujo Redco Perú'!I26+'Flujo Redco Perú'!I28</f>
        <v>199355</v>
      </c>
      <c r="K13" s="1753">
        <f>+'Flujo Redco Perú'!J19+'Flujo Redco Perú'!J26+'Flujo Redco Perú'!J28</f>
        <v>225572</v>
      </c>
      <c r="L13" s="1753">
        <f>+'Flujo Redco Perú'!K19+'Flujo Redco Perú'!K26+'Flujo Redco Perú'!K28</f>
        <v>127097</v>
      </c>
      <c r="M13" s="1753">
        <f>+'Flujo Redco Perú'!L19+'Flujo Redco Perú'!L26+'Flujo Redco Perú'!L28</f>
        <v>108174</v>
      </c>
      <c r="N13" s="1753">
        <f>+'Flujo Redco Perú'!M19+'Flujo Redco Perú'!M26+'Flujo Redco Perú'!M28</f>
        <v>139137.64000000001</v>
      </c>
      <c r="O13" s="1753">
        <f>+'Flujo Redco Perú'!N19+'Flujo Redco Perú'!N26+'Flujo Redco Perú'!N28</f>
        <v>234121</v>
      </c>
      <c r="P13" s="1567">
        <f>SUM(D13:O13)</f>
        <v>1731862.79</v>
      </c>
      <c r="Q13" s="1746"/>
      <c r="R13" s="599"/>
    </row>
    <row r="14" spans="2:20" ht="15" thickBot="1">
      <c r="B14" s="1554" t="s">
        <v>1338</v>
      </c>
      <c r="C14" s="1754" t="s">
        <v>1345</v>
      </c>
      <c r="D14" s="1753">
        <f>+'Flujo Redco Brasil'!C20+'Flujo Redco Brasil'!C25+'Flujo Redco Brasil'!C27</f>
        <v>21023</v>
      </c>
      <c r="E14" s="1753">
        <f>+'Flujo Redco Brasil'!D20+'Flujo Redco Brasil'!D25+'Flujo Redco Brasil'!D27</f>
        <v>27812</v>
      </c>
      <c r="F14" s="1753">
        <f>+'Flujo Redco Brasil'!E20+'Flujo Redco Brasil'!E25+'Flujo Redco Brasil'!E27</f>
        <v>26425</v>
      </c>
      <c r="G14" s="1753">
        <f>+'Flujo Redco Brasil'!F20+'Flujo Redco Brasil'!F25+'Flujo Redco Brasil'!F27</f>
        <v>52004.4</v>
      </c>
      <c r="H14" s="1753">
        <f>+'Flujo Redco Brasil'!G20+'Flujo Redco Brasil'!G25+'Flujo Redco Brasil'!G27</f>
        <v>33329</v>
      </c>
      <c r="I14" s="1753">
        <f>+'Flujo Redco Brasil'!H20+'Flujo Redco Brasil'!H25+'Flujo Redco Brasil'!H27</f>
        <v>76286</v>
      </c>
      <c r="J14" s="1753">
        <f>+'Flujo Redco Brasil'!I20+'Flujo Redco Brasil'!I25+'Flujo Redco Brasil'!I27</f>
        <v>31019</v>
      </c>
      <c r="K14" s="1753">
        <f>+'Flujo Redco Brasil'!J20+'Flujo Redco Brasil'!J25+'Flujo Redco Brasil'!J27</f>
        <v>21475</v>
      </c>
      <c r="L14" s="1753">
        <f>+'Flujo Redco Brasil'!K20+'Flujo Redco Brasil'!K25+'Flujo Redco Brasil'!K27</f>
        <v>77323</v>
      </c>
      <c r="M14" s="1753">
        <f>+'Flujo Redco Brasil'!L20+'Flujo Redco Brasil'!L25+'Flujo Redco Brasil'!L27</f>
        <v>14049</v>
      </c>
      <c r="N14" s="1753">
        <f>+'Flujo Redco Brasil'!M20+'Flujo Redco Brasil'!M25+'Flujo Redco Brasil'!M27</f>
        <v>47971</v>
      </c>
      <c r="O14" s="1753">
        <f>+'Flujo Redco Brasil'!N20+'Flujo Redco Brasil'!N25+'Flujo Redco Brasil'!N27</f>
        <v>23001</v>
      </c>
      <c r="P14" s="1567">
        <f>SUM(D14:O14)</f>
        <v>451717.4</v>
      </c>
      <c r="Q14" s="1746"/>
    </row>
    <row r="15" spans="2:20" ht="15" thickBot="1">
      <c r="B15" s="1558" t="s">
        <v>790</v>
      </c>
      <c r="C15" s="1754" t="s">
        <v>1345</v>
      </c>
      <c r="D15" s="1753">
        <f>+'Flujo Redco USA'!C19+'Flujo Redco USA'!C27+'Flujo Redco USA'!C29</f>
        <v>15</v>
      </c>
      <c r="E15" s="1753">
        <f>+'Flujo Redco USA'!D19+'Flujo Redco USA'!D27+'Flujo Redco USA'!D29</f>
        <v>2025</v>
      </c>
      <c r="F15" s="1753">
        <f>+'Flujo Redco USA'!E19+'Flujo Redco USA'!E27+'Flujo Redco USA'!E29</f>
        <v>58728</v>
      </c>
      <c r="G15" s="1753">
        <f>+'Flujo Redco USA'!F19+'Flujo Redco USA'!F27+'Flujo Redco USA'!F29</f>
        <v>9898</v>
      </c>
      <c r="H15" s="1753">
        <f>+'Flujo Redco USA'!G19+'Flujo Redco USA'!G27+'Flujo Redco USA'!G29</f>
        <v>47666</v>
      </c>
      <c r="I15" s="1753">
        <f>+'Flujo Redco USA'!H19+'Flujo Redco USA'!H27+'Flujo Redco USA'!H29</f>
        <v>4178</v>
      </c>
      <c r="J15" s="1753">
        <f>+'Flujo Redco USA'!I19+'Flujo Redco USA'!I27+'Flujo Redco USA'!I29</f>
        <v>10017</v>
      </c>
      <c r="K15" s="1753">
        <f>+'Flujo Redco USA'!J19+'Flujo Redco USA'!J27+'Flujo Redco USA'!J29</f>
        <v>1015</v>
      </c>
      <c r="L15" s="1753">
        <f>+'Flujo Redco USA'!K19+'Flujo Redco USA'!K27+'Flujo Redco USA'!K29</f>
        <v>1000</v>
      </c>
      <c r="M15" s="1753">
        <f>+'Flujo Redco USA'!L19+'Flujo Redco USA'!L27+'Flujo Redco USA'!L29</f>
        <v>88411</v>
      </c>
      <c r="N15" s="1753">
        <f>+'Flujo Redco USA'!M19+'Flujo Redco USA'!M27+'Flujo Redco USA'!M29</f>
        <v>1000</v>
      </c>
      <c r="O15" s="1753">
        <f>+'Flujo Redco USA'!N19+'Flujo Redco USA'!N27+'Flujo Redco USA'!N29</f>
        <v>218410</v>
      </c>
      <c r="P15" s="1567">
        <f t="shared" ref="P15:P24" si="3">SUM(D15:O15)</f>
        <v>442363</v>
      </c>
      <c r="Q15" s="1746"/>
    </row>
    <row r="16" spans="2:20" ht="15" thickBot="1">
      <c r="B16" s="1558" t="s">
        <v>1573</v>
      </c>
      <c r="C16" s="1754" t="s">
        <v>1345</v>
      </c>
      <c r="D16" s="2307">
        <f>+'Flujo Redco BVI'!C19+'Flujo Redco BVI'!C27+'Flujo Redco BVI'!C29</f>
        <v>14044</v>
      </c>
      <c r="E16" s="2307">
        <f>+'Flujo Redco BVI'!D19+'Flujo Redco BVI'!D27+'Flujo Redco BVI'!D29</f>
        <v>0</v>
      </c>
      <c r="F16" s="2307">
        <f>+'Flujo Redco BVI'!E19+'Flujo Redco BVI'!E27+'Flujo Redco BVI'!E29</f>
        <v>0</v>
      </c>
      <c r="G16" s="2307">
        <f>+'Flujo Redco BVI'!F19+'Flujo Redco BVI'!F27+'Flujo Redco BVI'!F29</f>
        <v>14380</v>
      </c>
      <c r="H16" s="2307">
        <f>+'Flujo Redco BVI'!G19+'Flujo Redco BVI'!G27+'Flujo Redco BVI'!G29</f>
        <v>16000</v>
      </c>
      <c r="I16" s="2307">
        <f>+'Flujo Redco BVI'!H19+'Flujo Redco BVI'!H27+'Flujo Redco BVI'!H29</f>
        <v>15094</v>
      </c>
      <c r="J16" s="2307">
        <f>+'Flujo Redco BVI'!I19+'Flujo Redco BVI'!I27+'Flujo Redco BVI'!I29</f>
        <v>5684.8</v>
      </c>
      <c r="K16" s="2307">
        <f>+'Flujo Redco BVI'!J19+'Flujo Redco BVI'!J27+'Flujo Redco BVI'!J29</f>
        <v>5684.8</v>
      </c>
      <c r="L16" s="2307">
        <f>+'Flujo Redco BVI'!K19+'Flujo Redco BVI'!K27+'Flujo Redco BVI'!K29</f>
        <v>5684.8</v>
      </c>
      <c r="M16" s="2307">
        <f>+'Flujo Redco BVI'!L19+'Flujo Redco BVI'!L27+'Flujo Redco BVI'!L29</f>
        <v>5684.8</v>
      </c>
      <c r="N16" s="2307">
        <f>+'Flujo Redco BVI'!M19+'Flujo Redco BVI'!M27+'Flujo Redco BVI'!M29</f>
        <v>5684.8</v>
      </c>
      <c r="O16" s="2307">
        <f>+'Flujo Redco BVI'!N19+'Flujo Redco BVI'!N27+'Flujo Redco BVI'!N29</f>
        <v>5684.8</v>
      </c>
      <c r="P16" s="1567">
        <f t="shared" si="3"/>
        <v>93626.800000000017</v>
      </c>
      <c r="Q16" s="1746"/>
    </row>
    <row r="17" spans="2:21" ht="20.25" customHeight="1" thickBot="1">
      <c r="B17" s="1568" t="s">
        <v>212</v>
      </c>
      <c r="C17" s="1755" t="s">
        <v>1345</v>
      </c>
      <c r="D17" s="1755">
        <f>SUM(D12:D16)</f>
        <v>521821.49806866958</v>
      </c>
      <c r="E17" s="1755">
        <f t="shared" ref="E17:O17" si="4">SUM(E12:E16)</f>
        <v>533560.63733905577</v>
      </c>
      <c r="F17" s="1755">
        <f t="shared" si="4"/>
        <v>617807.17918454937</v>
      </c>
      <c r="G17" s="1755">
        <f t="shared" si="4"/>
        <v>555462.04656652361</v>
      </c>
      <c r="H17" s="1755">
        <f t="shared" si="4"/>
        <v>566053.8036480688</v>
      </c>
      <c r="I17" s="1755">
        <f t="shared" si="4"/>
        <v>644119.16845493554</v>
      </c>
      <c r="J17" s="1755">
        <f t="shared" si="4"/>
        <v>641802.98562231765</v>
      </c>
      <c r="K17" s="1755">
        <f t="shared" si="4"/>
        <v>678995.70557939913</v>
      </c>
      <c r="L17" s="1755">
        <f t="shared" si="4"/>
        <v>666976.12510729628</v>
      </c>
      <c r="M17" s="1755">
        <f t="shared" si="4"/>
        <v>729504.45987124462</v>
      </c>
      <c r="N17" s="1755">
        <f t="shared" si="4"/>
        <v>586011.55373390578</v>
      </c>
      <c r="O17" s="1755">
        <f t="shared" si="4"/>
        <v>976722.3354077253</v>
      </c>
      <c r="P17" s="1755">
        <f t="shared" si="3"/>
        <v>7718837.4985836912</v>
      </c>
      <c r="Q17" s="600"/>
      <c r="R17" s="1748"/>
    </row>
    <row r="18" spans="2:21" ht="20.25" customHeight="1" thickBot="1">
      <c r="B18" s="1763"/>
      <c r="C18" s="1764" t="s">
        <v>1397</v>
      </c>
      <c r="D18" s="1765">
        <f>+SUM($D$17:D17)</f>
        <v>521821.49806866958</v>
      </c>
      <c r="E18" s="1765">
        <f>+SUM($D$17:E17)</f>
        <v>1055382.1354077253</v>
      </c>
      <c r="F18" s="1765">
        <f>+SUM($D$17:F17)</f>
        <v>1673189.3145922748</v>
      </c>
      <c r="G18" s="1765">
        <f>+SUM($D$17:G17)</f>
        <v>2228651.3611587984</v>
      </c>
      <c r="H18" s="1765">
        <f>+SUM($D$17:H17)</f>
        <v>2794705.164806867</v>
      </c>
      <c r="I18" s="1765">
        <f>+SUM($D$17:I17)</f>
        <v>3438824.3332618028</v>
      </c>
      <c r="J18" s="1765">
        <f>+SUM($D$17:J17)</f>
        <v>4080627.3188841203</v>
      </c>
      <c r="K18" s="1765">
        <f>+SUM($D$17:K17)</f>
        <v>4759623.0244635195</v>
      </c>
      <c r="L18" s="1765">
        <f>+SUM($D$17:L17)</f>
        <v>5426599.1495708153</v>
      </c>
      <c r="M18" s="1765">
        <f>+SUM($D$17:M17)</f>
        <v>6156103.6094420599</v>
      </c>
      <c r="N18" s="1765">
        <f>+SUM($D$17:N17)</f>
        <v>6742115.1631759657</v>
      </c>
      <c r="O18" s="2305">
        <f>+SUM($D$17:O17)</f>
        <v>7718837.4985836912</v>
      </c>
      <c r="P18" s="1765"/>
      <c r="Q18" s="600"/>
      <c r="R18" s="1748"/>
    </row>
    <row r="19" spans="2:21" ht="20.25" customHeight="1" thickBot="1">
      <c r="B19" s="1551" t="s">
        <v>1335</v>
      </c>
      <c r="C19" s="1552" t="s">
        <v>1395</v>
      </c>
      <c r="D19" s="1552">
        <v>45658</v>
      </c>
      <c r="E19" s="1552">
        <v>45689</v>
      </c>
      <c r="F19" s="1552">
        <v>45717</v>
      </c>
      <c r="G19" s="1552">
        <v>45748</v>
      </c>
      <c r="H19" s="1552">
        <v>45778</v>
      </c>
      <c r="I19" s="1552">
        <v>45809</v>
      </c>
      <c r="J19" s="1552">
        <v>45839</v>
      </c>
      <c r="K19" s="1552">
        <v>45870</v>
      </c>
      <c r="L19" s="1552">
        <v>45901</v>
      </c>
      <c r="M19" s="1552">
        <v>45931</v>
      </c>
      <c r="N19" s="1552">
        <v>45962</v>
      </c>
      <c r="O19" s="1552">
        <v>45992</v>
      </c>
      <c r="P19" s="1553" t="s">
        <v>734</v>
      </c>
      <c r="Q19" s="600"/>
      <c r="R19" s="1748"/>
    </row>
    <row r="20" spans="2:21" ht="15" thickBot="1">
      <c r="B20" s="1554" t="s">
        <v>1336</v>
      </c>
      <c r="C20" s="1567" t="s">
        <v>1343</v>
      </c>
      <c r="D20" s="1756">
        <f>+D4-D12</f>
        <v>-34913.914163090114</v>
      </c>
      <c r="E20" s="1756">
        <f t="shared" ref="E20:O20" si="5">+E4-E12</f>
        <v>125183.98175965669</v>
      </c>
      <c r="F20" s="1756">
        <f t="shared" si="5"/>
        <v>-50171.722103004286</v>
      </c>
      <c r="G20" s="1756">
        <f t="shared" si="5"/>
        <v>-104072.86158798289</v>
      </c>
      <c r="H20" s="1756">
        <f t="shared" si="5"/>
        <v>-67503.71888412023</v>
      </c>
      <c r="I20" s="1756">
        <f t="shared" si="5"/>
        <v>-103147.09549356223</v>
      </c>
      <c r="J20" s="1756">
        <f t="shared" si="5"/>
        <v>79843.563304721029</v>
      </c>
      <c r="K20" s="1756">
        <f t="shared" si="5"/>
        <v>-273766.16845493566</v>
      </c>
      <c r="L20" s="1756">
        <f t="shared" si="5"/>
        <v>-157946.2746781116</v>
      </c>
      <c r="M20" s="1756">
        <f t="shared" si="5"/>
        <v>-354919.19957081543</v>
      </c>
      <c r="N20" s="1756">
        <f t="shared" si="5"/>
        <v>-143429.18776824043</v>
      </c>
      <c r="O20" s="1756">
        <f t="shared" si="5"/>
        <v>-322297.9849785408</v>
      </c>
      <c r="P20" s="1757">
        <f t="shared" si="3"/>
        <v>-1407140.5826180258</v>
      </c>
      <c r="Q20" s="600"/>
      <c r="R20" s="599"/>
    </row>
    <row r="21" spans="2:21" ht="15" thickBot="1">
      <c r="B21" s="1554" t="s">
        <v>1337</v>
      </c>
      <c r="C21" s="1567" t="s">
        <v>1343</v>
      </c>
      <c r="D21" s="1756">
        <f t="shared" ref="D21:O24" si="6">+D5-D13</f>
        <v>34385.149999999994</v>
      </c>
      <c r="E21" s="1756">
        <f t="shared" si="6"/>
        <v>-19143</v>
      </c>
      <c r="F21" s="1756">
        <f t="shared" si="6"/>
        <v>12622</v>
      </c>
      <c r="G21" s="1756">
        <f t="shared" si="6"/>
        <v>-27595.299999999988</v>
      </c>
      <c r="H21" s="1756">
        <f t="shared" si="6"/>
        <v>13686</v>
      </c>
      <c r="I21" s="1756">
        <f t="shared" si="6"/>
        <v>61593</v>
      </c>
      <c r="J21" s="1756">
        <f t="shared" si="6"/>
        <v>52347</v>
      </c>
      <c r="K21" s="1756">
        <f t="shared" si="6"/>
        <v>416001</v>
      </c>
      <c r="L21" s="1756">
        <f t="shared" si="6"/>
        <v>-7964</v>
      </c>
      <c r="M21" s="1756">
        <f t="shared" si="6"/>
        <v>157275</v>
      </c>
      <c r="N21" s="1756">
        <f t="shared" si="6"/>
        <v>-43027.640000000014</v>
      </c>
      <c r="O21" s="1756">
        <f t="shared" si="6"/>
        <v>35311</v>
      </c>
      <c r="P21" s="1758">
        <f t="shared" si="3"/>
        <v>685490.21</v>
      </c>
    </row>
    <row r="22" spans="2:21" ht="15" thickBot="1">
      <c r="B22" s="1554" t="s">
        <v>1338</v>
      </c>
      <c r="C22" s="1567" t="s">
        <v>1343</v>
      </c>
      <c r="D22" s="1756">
        <f t="shared" si="6"/>
        <v>59479</v>
      </c>
      <c r="E22" s="1756">
        <f t="shared" si="6"/>
        <v>31871</v>
      </c>
      <c r="F22" s="1756">
        <f t="shared" si="6"/>
        <v>69897</v>
      </c>
      <c r="G22" s="1756">
        <f t="shared" si="6"/>
        <v>45205.299999999996</v>
      </c>
      <c r="H22" s="1756">
        <f t="shared" si="6"/>
        <v>3745</v>
      </c>
      <c r="I22" s="1756">
        <f t="shared" si="6"/>
        <v>-9723</v>
      </c>
      <c r="J22" s="1756">
        <f t="shared" si="6"/>
        <v>16698</v>
      </c>
      <c r="K22" s="1756">
        <f t="shared" si="6"/>
        <v>98177</v>
      </c>
      <c r="L22" s="1756">
        <f t="shared" si="6"/>
        <v>126265</v>
      </c>
      <c r="M22" s="1756">
        <f t="shared" si="6"/>
        <v>311013</v>
      </c>
      <c r="N22" s="1756">
        <f t="shared" si="6"/>
        <v>191632</v>
      </c>
      <c r="O22" s="1756">
        <f t="shared" si="6"/>
        <v>201115.50999999998</v>
      </c>
      <c r="P22" s="1758">
        <f t="shared" si="3"/>
        <v>1145374.81</v>
      </c>
      <c r="Q22" s="599"/>
    </row>
    <row r="23" spans="2:21" ht="15" thickBot="1">
      <c r="B23" s="1558" t="s">
        <v>790</v>
      </c>
      <c r="C23" s="1567" t="s">
        <v>1343</v>
      </c>
      <c r="D23" s="1756">
        <f t="shared" si="6"/>
        <v>150438</v>
      </c>
      <c r="E23" s="1756">
        <f t="shared" si="6"/>
        <v>241440.21</v>
      </c>
      <c r="F23" s="1756">
        <f t="shared" si="6"/>
        <v>82798</v>
      </c>
      <c r="G23" s="1756">
        <f t="shared" si="6"/>
        <v>159302</v>
      </c>
      <c r="H23" s="1756">
        <f t="shared" si="6"/>
        <v>147424</v>
      </c>
      <c r="I23" s="1756">
        <f t="shared" si="6"/>
        <v>57618</v>
      </c>
      <c r="J23" s="1756">
        <f t="shared" si="6"/>
        <v>-10017</v>
      </c>
      <c r="K23" s="1756">
        <f t="shared" si="6"/>
        <v>18985</v>
      </c>
      <c r="L23" s="1756">
        <f t="shared" si="6"/>
        <v>-1000</v>
      </c>
      <c r="M23" s="1756">
        <f t="shared" si="6"/>
        <v>-43411</v>
      </c>
      <c r="N23" s="1756">
        <f t="shared" si="6"/>
        <v>-1000</v>
      </c>
      <c r="O23" s="1756">
        <f t="shared" si="6"/>
        <v>-39625</v>
      </c>
      <c r="P23" s="1744">
        <f t="shared" si="3"/>
        <v>762952.21</v>
      </c>
      <c r="Q23" s="600"/>
    </row>
    <row r="24" spans="2:21" ht="15" thickBot="1">
      <c r="B24" s="1558" t="s">
        <v>1573</v>
      </c>
      <c r="C24" s="1567" t="s">
        <v>1343</v>
      </c>
      <c r="D24" s="1756">
        <f t="shared" si="6"/>
        <v>-14044</v>
      </c>
      <c r="E24" s="1756">
        <f t="shared" si="6"/>
        <v>21682</v>
      </c>
      <c r="F24" s="1756">
        <f t="shared" si="6"/>
        <v>45478</v>
      </c>
      <c r="G24" s="1756">
        <f t="shared" si="6"/>
        <v>-14380</v>
      </c>
      <c r="H24" s="1756">
        <f t="shared" si="6"/>
        <v>-16000</v>
      </c>
      <c r="I24" s="1756">
        <f t="shared" si="6"/>
        <v>156951</v>
      </c>
      <c r="J24" s="1756">
        <f t="shared" si="6"/>
        <v>-5684.8</v>
      </c>
      <c r="K24" s="1756">
        <f t="shared" si="6"/>
        <v>93839.2</v>
      </c>
      <c r="L24" s="1756">
        <f t="shared" si="6"/>
        <v>-5684.8</v>
      </c>
      <c r="M24" s="1756">
        <f t="shared" si="6"/>
        <v>-5684.8</v>
      </c>
      <c r="N24" s="1756">
        <f t="shared" si="6"/>
        <v>-5684.8</v>
      </c>
      <c r="O24" s="1756">
        <f t="shared" si="6"/>
        <v>-5684.8</v>
      </c>
      <c r="P24" s="1744">
        <f t="shared" si="3"/>
        <v>245102.20000000007</v>
      </c>
      <c r="Q24" s="600"/>
    </row>
    <row r="25" spans="2:21" ht="18.75" customHeight="1" thickBot="1">
      <c r="B25" s="1568" t="s">
        <v>212</v>
      </c>
      <c r="C25" s="1560" t="s">
        <v>1343</v>
      </c>
      <c r="D25" s="1569">
        <f>SUM(D20:D24)</f>
        <v>195344.23583690988</v>
      </c>
      <c r="E25" s="1569">
        <f t="shared" ref="E25:O25" si="7">SUM(E20:E24)</f>
        <v>401034.19175965665</v>
      </c>
      <c r="F25" s="1569">
        <f t="shared" si="7"/>
        <v>160623.27789699571</v>
      </c>
      <c r="G25" s="1569">
        <f t="shared" si="7"/>
        <v>58459.138412017113</v>
      </c>
      <c r="H25" s="1569">
        <f t="shared" si="7"/>
        <v>81351.28111587977</v>
      </c>
      <c r="I25" s="1569">
        <f t="shared" si="7"/>
        <v>163291.90450643777</v>
      </c>
      <c r="J25" s="1569">
        <f t="shared" si="7"/>
        <v>133186.76330472104</v>
      </c>
      <c r="K25" s="1569">
        <f t="shared" si="7"/>
        <v>353236.03154506435</v>
      </c>
      <c r="L25" s="1569">
        <f t="shared" si="7"/>
        <v>-46330.074678111603</v>
      </c>
      <c r="M25" s="1569">
        <f t="shared" si="7"/>
        <v>64273.000429184569</v>
      </c>
      <c r="N25" s="1569">
        <f t="shared" si="7"/>
        <v>-1509.6277682404443</v>
      </c>
      <c r="O25" s="1569">
        <f t="shared" si="7"/>
        <v>-131181.27497854081</v>
      </c>
      <c r="P25" s="1569">
        <f>SUM(P20:P24)</f>
        <v>1431778.8473819741</v>
      </c>
      <c r="Q25" s="599"/>
      <c r="R25" s="1748"/>
      <c r="T25" s="1547"/>
      <c r="U25" s="1547"/>
    </row>
    <row r="26" spans="2:21" ht="18.75" customHeight="1" thickBot="1">
      <c r="B26" s="1763"/>
      <c r="C26" s="1764"/>
      <c r="D26" s="1765">
        <f>+SUM($D$25:D25)</f>
        <v>195344.23583690988</v>
      </c>
      <c r="E26" s="1765">
        <f>+SUM($D$25:E25)</f>
        <v>596378.4275965665</v>
      </c>
      <c r="F26" s="1765">
        <f>+SUM($D$25:F25)</f>
        <v>757001.70549356216</v>
      </c>
      <c r="G26" s="1765">
        <f>+SUM($D$25:G25)</f>
        <v>815460.8439055793</v>
      </c>
      <c r="H26" s="1765">
        <f>+SUM($D$25:H25)</f>
        <v>896812.12502145907</v>
      </c>
      <c r="I26" s="1765">
        <f>+SUM($D$25:I25)</f>
        <v>1060104.0295278968</v>
      </c>
      <c r="J26" s="1765">
        <f>+SUM($D$25:J25)</f>
        <v>1193290.7928326179</v>
      </c>
      <c r="K26" s="1765">
        <f>+SUM($D$25:K25)</f>
        <v>1546526.8243776823</v>
      </c>
      <c r="L26" s="1765">
        <f>+SUM($D$25:L25)</f>
        <v>1500196.7496995707</v>
      </c>
      <c r="M26" s="1765">
        <f>+SUM($D$25:M25)</f>
        <v>1564469.7501287553</v>
      </c>
      <c r="N26" s="1765">
        <f>+SUM($D$25:N25)</f>
        <v>1562960.1223605149</v>
      </c>
      <c r="O26" s="2305">
        <f>+SUM($D$25:O25)</f>
        <v>1431778.8473819741</v>
      </c>
      <c r="P26" s="1765"/>
      <c r="Q26" s="1748"/>
      <c r="R26" s="599"/>
      <c r="T26" s="1547"/>
      <c r="U26" s="1547"/>
    </row>
    <row r="27" spans="2:21" ht="18.75" customHeight="1" thickBot="1">
      <c r="B27" s="1551" t="s">
        <v>1335</v>
      </c>
      <c r="C27" s="1552" t="s">
        <v>1395</v>
      </c>
      <c r="D27" s="1552">
        <v>45658</v>
      </c>
      <c r="E27" s="1552">
        <v>45689</v>
      </c>
      <c r="F27" s="1552">
        <v>45717</v>
      </c>
      <c r="G27" s="1552">
        <v>45748</v>
      </c>
      <c r="H27" s="1552">
        <v>45778</v>
      </c>
      <c r="I27" s="1552">
        <v>45809</v>
      </c>
      <c r="J27" s="1552">
        <v>45839</v>
      </c>
      <c r="K27" s="1552">
        <v>45870</v>
      </c>
      <c r="L27" s="1552">
        <v>45901</v>
      </c>
      <c r="M27" s="1552">
        <v>45931</v>
      </c>
      <c r="N27" s="1552">
        <v>45962</v>
      </c>
      <c r="O27" s="1552">
        <v>45992</v>
      </c>
      <c r="P27" s="1553" t="s">
        <v>734</v>
      </c>
      <c r="Q27" s="599"/>
      <c r="R27" s="599"/>
      <c r="T27" s="1547"/>
      <c r="U27" s="1547"/>
    </row>
    <row r="28" spans="2:21" ht="15" thickBot="1">
      <c r="B28" s="1554" t="s">
        <v>1336</v>
      </c>
      <c r="C28" s="1749" t="s">
        <v>1347</v>
      </c>
      <c r="D28" s="1566">
        <f>+'Flujo Redco Chile'!C31</f>
        <v>69432.939914163086</v>
      </c>
      <c r="E28" s="1566">
        <f>+'Flujo Redco Chile'!D31</f>
        <v>104811.89592274679</v>
      </c>
      <c r="F28" s="1566">
        <f>+'Flujo Redco Chile'!E31</f>
        <v>75208.023605150214</v>
      </c>
      <c r="G28" s="1566">
        <f>+'Flujo Redco Chile'!F31</f>
        <v>47094.724248927036</v>
      </c>
      <c r="H28" s="1566">
        <f>+'Flujo Redco Chile'!G31</f>
        <v>62773.512875536479</v>
      </c>
      <c r="I28" s="1566">
        <f>+'Flujo Redco Chile'!H31+'Flujo Redco Chile'!H34</f>
        <v>53789.214592274679</v>
      </c>
      <c r="J28" s="1566">
        <f>+'Flujo Redco Chile'!I31</f>
        <v>103658.78433476394</v>
      </c>
      <c r="K28" s="1566">
        <f>+'Flujo Redco Chile'!J31</f>
        <v>35825.605150214593</v>
      </c>
      <c r="L28" s="1566">
        <f>+'Flujo Redco Chile'!K31</f>
        <v>57280.831545064379</v>
      </c>
      <c r="M28" s="1566">
        <f>+'Flujo Redco Chile'!L31</f>
        <v>32498.942060085836</v>
      </c>
      <c r="N28" s="1566">
        <f>+'Flujo Redco Chile'!M31</f>
        <v>37753.159871244636</v>
      </c>
      <c r="O28" s="1566">
        <f>+'Flujo Redco Chile'!N31</f>
        <v>32909.43347639485</v>
      </c>
      <c r="P28" s="1559">
        <f>SUM(D28:O28)</f>
        <v>713037.06759656651</v>
      </c>
      <c r="S28" s="1547"/>
      <c r="T28" s="1547"/>
      <c r="U28" s="1547"/>
    </row>
    <row r="29" spans="2:21" ht="15" thickBot="1">
      <c r="B29" s="1554" t="s">
        <v>1337</v>
      </c>
      <c r="C29" s="1749" t="s">
        <v>1347</v>
      </c>
      <c r="D29" s="1750">
        <f>+'Flujo Redco Perú'!C35</f>
        <v>11907</v>
      </c>
      <c r="E29" s="1750">
        <f>+'Flujo Redco Perú'!D35</f>
        <v>16500</v>
      </c>
      <c r="F29" s="1750">
        <f>+'Flujo Redco Perú'!E35</f>
        <v>20068</v>
      </c>
      <c r="G29" s="1750">
        <f>+'Flujo Redco Perú'!F35</f>
        <v>28529</v>
      </c>
      <c r="H29" s="1750">
        <f>+'Flujo Redco Perú'!G35</f>
        <v>31304</v>
      </c>
      <c r="I29" s="1750">
        <f>+'Flujo Redco Perú'!H35</f>
        <v>36127</v>
      </c>
      <c r="J29" s="1750">
        <f>+'Flujo Redco Perú'!I35</f>
        <v>34183</v>
      </c>
      <c r="K29" s="1750">
        <f>+'Flujo Redco Perú'!J35</f>
        <v>126435</v>
      </c>
      <c r="L29" s="1750">
        <f>+'Flujo Redco Perú'!K35</f>
        <v>16037</v>
      </c>
      <c r="M29" s="1750">
        <f>+'Flujo Redco Perú'!L35</f>
        <v>42117</v>
      </c>
      <c r="N29" s="1750">
        <f>+'Flujo Redco Perú'!M35</f>
        <v>105093</v>
      </c>
      <c r="O29" s="1750">
        <f>+'Flujo Redco Perú'!N35</f>
        <v>75885</v>
      </c>
      <c r="P29" s="1559">
        <f t="shared" ref="P29:P36" si="8">SUM(D29:O29)</f>
        <v>544185</v>
      </c>
      <c r="T29" s="1547"/>
      <c r="U29" s="1547"/>
    </row>
    <row r="30" spans="2:21" ht="15" thickBot="1">
      <c r="B30" s="1554" t="s">
        <v>1336</v>
      </c>
      <c r="C30" s="1749" t="s">
        <v>1346</v>
      </c>
      <c r="D30" s="1750">
        <f>+'Flujo Redco Chile'!C38+'Flujo Redco Chile'!C39+'Flujo Redco Chile'!E42+'Flujo Redco Chile'!C34</f>
        <v>703.28540772532187</v>
      </c>
      <c r="E30" s="1750">
        <f>+'Flujo Redco Chile'!D38+'Flujo Redco Chile'!D39+'Flujo Redco Chile'!D34</f>
        <v>10399.31652360515</v>
      </c>
      <c r="F30" s="1750">
        <f>+'Flujo Redco Chile'!E38+'Flujo Redco Chile'!E39+'Flujo Redco Chile'!E34</f>
        <v>5265.8025751072964</v>
      </c>
      <c r="G30" s="1750">
        <f>+'Flujo Redco Chile'!F38+'Flujo Redco Chile'!F39+'Flujo Redco Chile'!F34</f>
        <v>21747.625536480686</v>
      </c>
      <c r="H30" s="1750">
        <f>+'Flujo Redco Chile'!G38+'Flujo Redco Chile'!G39+'Flujo Redco Chile'!G34</f>
        <v>55661.028969957079</v>
      </c>
      <c r="I30" s="2404">
        <f>+'Flujo Redco Chile'!H38+'Flujo Redco Chile'!H39+'Flujo Redco Chile'!H34</f>
        <v>0</v>
      </c>
      <c r="J30" s="1750">
        <f>+'Flujo Redco Chile'!I38+'Flujo Redco Chile'!I39+'Flujo Redco Chile'!I34</f>
        <v>68680.615879828329</v>
      </c>
      <c r="K30" s="1750">
        <f>+'Flujo Redco Chile'!J38+'Flujo Redco Chile'!J39+'Flujo Redco Chile'!J34</f>
        <v>37073.081545064379</v>
      </c>
      <c r="L30" s="1750">
        <f>+'Flujo Redco Chile'!K38+'Flujo Redco Chile'!K39+'Flujo Redco Chile'!K34</f>
        <v>4069.947424892704</v>
      </c>
      <c r="M30" s="1750">
        <f>+'Flujo Redco Chile'!L38+'Flujo Redco Chile'!L39+'Flujo Redco Chile'!L34</f>
        <v>23069.165236051504</v>
      </c>
      <c r="N30" s="1750">
        <f>+'Flujo Redco Chile'!M38+'Flujo Redco Chile'!M39+'Flujo Redco Chile'!M34</f>
        <v>415.80686695278968</v>
      </c>
      <c r="O30" s="1750">
        <f>+'Flujo Redco Chile'!N38+'Flujo Redco Chile'!N39+'Flujo Redco Chile'!N34</f>
        <v>119.83583690987125</v>
      </c>
      <c r="P30" s="1559">
        <f>SUM(D30:O30)</f>
        <v>227205.51180257514</v>
      </c>
      <c r="T30" s="1547"/>
      <c r="U30" s="1547"/>
    </row>
    <row r="31" spans="2:21" ht="15" thickBot="1">
      <c r="B31" s="1554" t="s">
        <v>1338</v>
      </c>
      <c r="C31" s="1749" t="s">
        <v>1346</v>
      </c>
      <c r="D31" s="1750">
        <f>+'Flujo Redco Brasil'!C34</f>
        <v>6388</v>
      </c>
      <c r="E31" s="1750">
        <f>+'Flujo Redco Brasil'!D34</f>
        <v>363</v>
      </c>
      <c r="F31" s="1750">
        <f>+'Flujo Redco Brasil'!E34</f>
        <v>0</v>
      </c>
      <c r="G31" s="1750">
        <f>+'Flujo Redco Brasil'!F34</f>
        <v>0</v>
      </c>
      <c r="H31" s="1750">
        <f>+'Flujo Redco Brasil'!G34</f>
        <v>1526</v>
      </c>
      <c r="I31" s="1750">
        <f>+'Flujo Redco Brasil'!H34</f>
        <v>0</v>
      </c>
      <c r="J31" s="1750">
        <f>+'Flujo Redco Brasil'!I34</f>
        <v>0</v>
      </c>
      <c r="K31" s="1750">
        <f>+'Flujo Redco Brasil'!J34</f>
        <v>0</v>
      </c>
      <c r="L31" s="1750">
        <f>+'Flujo Redco Brasil'!K34</f>
        <v>0</v>
      </c>
      <c r="M31" s="1750">
        <f>+'Flujo Redco Brasil'!L34</f>
        <v>1803</v>
      </c>
      <c r="N31" s="1750">
        <f>+'Flujo Redco Brasil'!M34</f>
        <v>1622</v>
      </c>
      <c r="O31" s="1750">
        <f>+'Flujo Redco Brasil'!N34</f>
        <v>0</v>
      </c>
      <c r="P31" s="1559">
        <f t="shared" si="8"/>
        <v>11702</v>
      </c>
      <c r="Q31" s="1546"/>
      <c r="T31" s="1547"/>
      <c r="U31" s="1547"/>
    </row>
    <row r="32" spans="2:21" ht="15" thickBot="1">
      <c r="B32" s="1554" t="s">
        <v>1336</v>
      </c>
      <c r="C32" s="1749" t="s">
        <v>1355</v>
      </c>
      <c r="D32" s="1750">
        <f>+'Flujo Redco Chile'!C35+'Flujo Redco Chile'!C36+'Flujo Redco Chile'!C37</f>
        <v>134087.98497854077</v>
      </c>
      <c r="E32" s="1750">
        <f>+'Flujo Redco Chile'!D35+'Flujo Redco Chile'!D36+'Flujo Redco Chile'!D37</f>
        <v>0</v>
      </c>
      <c r="F32" s="1750">
        <f>+'Flujo Redco Chile'!E35+'Flujo Redco Chile'!E36+'Flujo Redco Chile'!E37</f>
        <v>19816.289699570814</v>
      </c>
      <c r="G32" s="1750">
        <f>+'Flujo Redco Chile'!F35+'Flujo Redco Chile'!F36+'Flujo Redco Chile'!F37</f>
        <v>48275.159871244636</v>
      </c>
      <c r="H32" s="1750">
        <f>+'Flujo Redco Chile'!G35+'Flujo Redco Chile'!G36+'Flujo Redco Chile'!G37</f>
        <v>32259.953862660943</v>
      </c>
      <c r="I32" s="1750">
        <f>+'Flujo Redco Chile'!H35+'Flujo Redco Chile'!H36+'Flujo Redco Chile'!H37</f>
        <v>0</v>
      </c>
      <c r="J32" s="1750">
        <f>+'Flujo Redco Chile'!I35+'Flujo Redco Chile'!I36+'Flujo Redco Chile'!I37</f>
        <v>46679.405579399143</v>
      </c>
      <c r="K32" s="1750">
        <f>+'Flujo Redco Chile'!J35+'Flujo Redco Chile'!J36+'Flujo Redco Chile'!J37</f>
        <v>459872.82296137337</v>
      </c>
      <c r="L32" s="1750">
        <f>+'Flujo Redco Chile'!K35+'Flujo Redco Chile'!K36+'Flujo Redco Chile'!K37</f>
        <v>0</v>
      </c>
      <c r="M32" s="2401">
        <f>+'Flujo Redco Chile'!L35+'Flujo Redco Chile'!L36+'Flujo Redco Chile'!L37</f>
        <v>154199.13735515022</v>
      </c>
      <c r="N32" s="2401">
        <f>+'Flujo Redco Chile'!M35+'Flujo Redco Chile'!M36+'Flujo Redco Chile'!M37+'Flujo Redco Chile'!M33</f>
        <v>147113.87446351931</v>
      </c>
      <c r="O32" s="2401">
        <f>+'Flujo Redco Chile'!N35+'Flujo Redco Chile'!N36+'Flujo Redco Chile'!N37+'Flujo Redco Chile'!N33</f>
        <v>395829.6137339056</v>
      </c>
      <c r="P32" s="1559">
        <f t="shared" si="8"/>
        <v>1438134.2425053648</v>
      </c>
      <c r="Q32" s="1546"/>
    </row>
    <row r="33" spans="2:29" ht="15" thickBot="1">
      <c r="B33" s="1554" t="s">
        <v>1336</v>
      </c>
      <c r="C33" s="1751" t="s">
        <v>1353</v>
      </c>
      <c r="D33" s="1750">
        <f>+'Flujo Redco Chile'!C32</f>
        <v>57052.603004291843</v>
      </c>
      <c r="E33" s="1750">
        <f>+'Flujo Redco Chile'!D32</f>
        <v>113524.19957081546</v>
      </c>
      <c r="F33" s="1750">
        <f>+'Flujo Redco Chile'!E32</f>
        <v>0</v>
      </c>
      <c r="G33" s="1750">
        <f>+'Flujo Redco Chile'!F32</f>
        <v>146563.30150214591</v>
      </c>
      <c r="H33" s="1750">
        <f>+'Flujo Redco Chile'!G32</f>
        <v>9291.9935622317589</v>
      </c>
      <c r="I33" s="1750">
        <f>+'Flujo Redco Chile'!H32</f>
        <v>0</v>
      </c>
      <c r="J33" s="1750">
        <f>+'Flujo Redco Chile'!I32</f>
        <v>0</v>
      </c>
      <c r="K33" s="1750">
        <f>+'Flujo Redco Chile'!J32</f>
        <v>0</v>
      </c>
      <c r="L33" s="1750">
        <f>+'Flujo Redco Chile'!K32</f>
        <v>27214.363733905579</v>
      </c>
      <c r="M33" s="1750">
        <f>+'Flujo Redco Chile'!L32</f>
        <v>0</v>
      </c>
      <c r="N33" s="1750">
        <f>+'Flujo Redco Chile'!M32</f>
        <v>0</v>
      </c>
      <c r="O33" s="1750">
        <f>+'Flujo Redco Chile'!N32</f>
        <v>0</v>
      </c>
      <c r="P33" s="1559">
        <f t="shared" si="8"/>
        <v>353646.46137339063</v>
      </c>
      <c r="Q33" s="1546"/>
      <c r="R33" s="599"/>
    </row>
    <row r="34" spans="2:29" ht="15" thickBot="1">
      <c r="B34" s="1554" t="s">
        <v>1337</v>
      </c>
      <c r="C34" s="1751" t="s">
        <v>1353</v>
      </c>
      <c r="D34" s="1750">
        <f>+'Flujo Redco Perú'!C36</f>
        <v>0</v>
      </c>
      <c r="E34" s="1750">
        <f>+'Flujo Redco Perú'!D36</f>
        <v>0</v>
      </c>
      <c r="F34" s="1750">
        <f>+'Flujo Redco Perú'!E36</f>
        <v>51893</v>
      </c>
      <c r="G34" s="1750">
        <f>+'Flujo Redco Perú'!F36</f>
        <v>0</v>
      </c>
      <c r="H34" s="1750">
        <f>+'Flujo Redco Perú'!G36</f>
        <v>0</v>
      </c>
      <c r="I34" s="1750">
        <f>+'Flujo Redco Perú'!H36</f>
        <v>0</v>
      </c>
      <c r="J34" s="1750">
        <f>+'Flujo Redco Perú'!I36</f>
        <v>0</v>
      </c>
      <c r="K34" s="1750">
        <f>+'Flujo Redco Perú'!J36</f>
        <v>0</v>
      </c>
      <c r="L34" s="1750">
        <f>+'Flujo Redco Perú'!K36</f>
        <v>0</v>
      </c>
      <c r="M34" s="1750">
        <f>+'Flujo Redco Perú'!L36</f>
        <v>0</v>
      </c>
      <c r="N34" s="1750">
        <f>+'Flujo Redco Perú'!M36</f>
        <v>0</v>
      </c>
      <c r="O34" s="1750">
        <f>+'Flujo Redco Perú'!N36</f>
        <v>0</v>
      </c>
      <c r="P34" s="1559">
        <f t="shared" si="8"/>
        <v>51893</v>
      </c>
      <c r="Q34" s="1546"/>
    </row>
    <row r="35" spans="2:29" ht="15" thickBot="1">
      <c r="B35" s="1554" t="s">
        <v>1336</v>
      </c>
      <c r="C35" s="1848" t="s">
        <v>882</v>
      </c>
      <c r="D35" s="1750">
        <f>+'Flujo Redco Chile'!C40</f>
        <v>0</v>
      </c>
      <c r="E35" s="1750">
        <f>+'Flujo Redco Chile'!D40</f>
        <v>0</v>
      </c>
      <c r="F35" s="1750">
        <f>+'Flujo Redco Chile'!E40</f>
        <v>0</v>
      </c>
      <c r="G35" s="1750">
        <f>+'Flujo Redco Chile'!F40</f>
        <v>0</v>
      </c>
      <c r="H35" s="1750">
        <f>+'Flujo Redco Chile'!G40</f>
        <v>0</v>
      </c>
      <c r="I35" s="2404">
        <f>+'Flujo Redco Chile'!H40</f>
        <v>89784.033261802571</v>
      </c>
      <c r="J35" s="1750">
        <f>+'Flujo Redco Chile'!I40</f>
        <v>0</v>
      </c>
      <c r="K35" s="1750">
        <f>+'Flujo Redco Chile'!J40</f>
        <v>0</v>
      </c>
      <c r="L35" s="1750">
        <f>+'Flujo Redco Chile'!K40</f>
        <v>0</v>
      </c>
      <c r="M35" s="2404">
        <f>+'Flujo Redco Chile'!L40</f>
        <v>81630.901287553643</v>
      </c>
      <c r="N35" s="2404">
        <f>+'Flujo Redco Chile'!M40</f>
        <v>0</v>
      </c>
      <c r="O35" s="2404">
        <f>+'Flujo Redco Chile'!N40</f>
        <v>0</v>
      </c>
      <c r="P35" s="1559">
        <f t="shared" si="8"/>
        <v>171414.93454935623</v>
      </c>
      <c r="Q35" s="1546"/>
    </row>
    <row r="36" spans="2:29" ht="15" thickBot="1">
      <c r="B36" s="1554" t="s">
        <v>1573</v>
      </c>
      <c r="C36" s="1848" t="s">
        <v>1355</v>
      </c>
      <c r="D36" s="2309">
        <f>+'Flujo Redco BVI'!C36</f>
        <v>0</v>
      </c>
      <c r="E36" s="2309">
        <f>+'Flujo Redco BVI'!D36</f>
        <v>0</v>
      </c>
      <c r="F36" s="2309">
        <f>+'Flujo Redco BVI'!E36</f>
        <v>0</v>
      </c>
      <c r="G36" s="2309">
        <f>+'Flujo Redco BVI'!F36</f>
        <v>0</v>
      </c>
      <c r="H36" s="2401">
        <f>+'Flujo Redco BVI'!G36</f>
        <v>415568</v>
      </c>
      <c r="I36" s="2309">
        <f>+'Flujo Redco BVI'!H36</f>
        <v>0</v>
      </c>
      <c r="J36" s="2309">
        <f>+'Flujo Redco BVI'!I36</f>
        <v>0</v>
      </c>
      <c r="K36" s="2309">
        <f>+'Flujo Redco BVI'!J36</f>
        <v>0</v>
      </c>
      <c r="L36" s="2309">
        <f>+'Flujo Redco BVI'!K36</f>
        <v>0</v>
      </c>
      <c r="M36" s="2401">
        <f>+'Flujo Redco BVI'!L36</f>
        <v>110754</v>
      </c>
      <c r="N36" s="2401">
        <f>+'Flujo Redco BVI'!M36</f>
        <v>278213</v>
      </c>
      <c r="O36" s="2401">
        <f>+'Flujo Redco BVI'!N36</f>
        <v>349514</v>
      </c>
      <c r="P36" s="1559">
        <f t="shared" si="8"/>
        <v>1154049</v>
      </c>
      <c r="Q36" s="1546"/>
    </row>
    <row r="37" spans="2:29" ht="18.75" customHeight="1" thickBot="1">
      <c r="B37" s="1568" t="s">
        <v>212</v>
      </c>
      <c r="C37" s="1560" t="s">
        <v>1350</v>
      </c>
      <c r="D37" s="1569">
        <f t="shared" ref="D37:P37" si="9">SUM(D28:D36)</f>
        <v>279571.81330472103</v>
      </c>
      <c r="E37" s="1569">
        <f t="shared" si="9"/>
        <v>245598.4120171674</v>
      </c>
      <c r="F37" s="1569">
        <f t="shared" si="9"/>
        <v>172251.11587982834</v>
      </c>
      <c r="G37" s="1569">
        <f t="shared" si="9"/>
        <v>292209.81115879829</v>
      </c>
      <c r="H37" s="1569">
        <f t="shared" si="9"/>
        <v>608384.48927038629</v>
      </c>
      <c r="I37" s="1569">
        <f t="shared" si="9"/>
        <v>179700.24785407726</v>
      </c>
      <c r="J37" s="1569">
        <f t="shared" si="9"/>
        <v>253201.80579399143</v>
      </c>
      <c r="K37" s="1569">
        <f t="shared" si="9"/>
        <v>659206.50965665234</v>
      </c>
      <c r="L37" s="1569">
        <f t="shared" si="9"/>
        <v>104602.14270386266</v>
      </c>
      <c r="M37" s="1569">
        <f t="shared" si="9"/>
        <v>446072.14593884122</v>
      </c>
      <c r="N37" s="1569">
        <f t="shared" si="9"/>
        <v>570210.8412017168</v>
      </c>
      <c r="O37" s="1569">
        <f t="shared" si="9"/>
        <v>854257.88304721029</v>
      </c>
      <c r="P37" s="1569">
        <f t="shared" si="9"/>
        <v>4665267.217827253</v>
      </c>
      <c r="Q37" s="599"/>
      <c r="R37" s="599"/>
      <c r="V37" s="599"/>
      <c r="W37" s="599"/>
      <c r="X37" s="599"/>
      <c r="Y37" s="599"/>
      <c r="Z37" s="599"/>
      <c r="AA37" s="599"/>
      <c r="AB37" s="599"/>
      <c r="AC37" s="599"/>
    </row>
    <row r="38" spans="2:29" ht="18.75" customHeight="1" thickBot="1">
      <c r="B38" s="1763"/>
      <c r="C38" s="1764"/>
      <c r="D38" s="1765"/>
      <c r="E38" s="1765"/>
      <c r="F38" s="1765"/>
      <c r="G38" s="1765"/>
      <c r="H38" s="1765"/>
      <c r="I38" s="1765"/>
      <c r="J38" s="1765"/>
      <c r="K38" s="1765"/>
      <c r="L38" s="1765"/>
      <c r="M38" s="1765"/>
      <c r="N38" s="1765"/>
      <c r="O38" s="1765"/>
      <c r="P38" s="1765"/>
      <c r="Q38" s="599"/>
      <c r="R38" s="599"/>
      <c r="V38" s="599"/>
      <c r="W38" s="599"/>
      <c r="X38" s="599"/>
      <c r="Y38" s="599"/>
      <c r="Z38" s="599"/>
      <c r="AA38" s="599"/>
      <c r="AB38" s="599"/>
      <c r="AC38" s="599"/>
    </row>
    <row r="39" spans="2:29" ht="15" thickBot="1">
      <c r="B39" s="1558" t="s">
        <v>1336</v>
      </c>
      <c r="C39" s="1759" t="s">
        <v>1348</v>
      </c>
      <c r="D39" s="1562">
        <f>+'Flujo Redco Chile'!C44*-1</f>
        <v>-34979.333690987121</v>
      </c>
      <c r="E39" s="1562">
        <f>+'Flujo Redco Chile'!D44*-1</f>
        <v>-63266.4517167382</v>
      </c>
      <c r="F39" s="1562">
        <f>+'Flujo Redco Chile'!E44*-1</f>
        <v>-11946.347639484979</v>
      </c>
      <c r="G39" s="1562">
        <f>+'Flujo Redco Chile'!F44*-1</f>
        <v>-31666.326180257511</v>
      </c>
      <c r="H39" s="1562">
        <f>+'Flujo Redco Chile'!G44*-1</f>
        <v>-65886.450643776829</v>
      </c>
      <c r="I39" s="1562">
        <f>+'Flujo Redco Chile'!H44*-1</f>
        <v>-41468.2660944206</v>
      </c>
      <c r="J39" s="1562">
        <f>+'Flujo Redco Chile'!I44*-1</f>
        <v>-8884.0879828326179</v>
      </c>
      <c r="K39" s="1562">
        <f>+'Flujo Redco Chile'!J44*-1</f>
        <v>-86387.474248927043</v>
      </c>
      <c r="L39" s="1562">
        <f>+'Flujo Redco Chile'!K44*-1</f>
        <v>-27284.614806866954</v>
      </c>
      <c r="M39" s="1562">
        <f>+'Flujo Redco Chile'!L44*-1</f>
        <v>-47891.938841201714</v>
      </c>
      <c r="N39" s="1562">
        <f>+'Flujo Redco Chile'!M44*-1</f>
        <v>-45200.180257510729</v>
      </c>
      <c r="O39" s="1562">
        <f>+'Flujo Redco Chile'!N44*-1</f>
        <v>-24253.625536480686</v>
      </c>
      <c r="P39" s="1562">
        <f t="shared" ref="P39:P47" si="10">SUM(D39:O39)</f>
        <v>-489115.09763948503</v>
      </c>
      <c r="Q39" s="599"/>
      <c r="R39" s="599"/>
      <c r="S39" s="599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</row>
    <row r="40" spans="2:29" ht="15" thickBot="1">
      <c r="B40" s="1554" t="s">
        <v>1336</v>
      </c>
      <c r="C40" s="1759" t="s">
        <v>1383</v>
      </c>
      <c r="D40" s="1557">
        <f>(+'Flujo Redco Chile'!C45+'Flujo Redco Chile'!C46+'Flujo Redco Chile'!C47)*-1</f>
        <v>-27599.535407725321</v>
      </c>
      <c r="E40" s="1557">
        <f>(+'Flujo Redco Chile'!D45+'Flujo Redco Chile'!D46+'Flujo Redco Chile'!D47)*-1</f>
        <v>-38631.281115879829</v>
      </c>
      <c r="F40" s="1557">
        <f>(+'Flujo Redco Chile'!E45+'Flujo Redco Chile'!E46+'Flujo Redco Chile'!E47)*-1</f>
        <v>-30686.726394849786</v>
      </c>
      <c r="G40" s="1557">
        <f>(+'Flujo Redco Chile'!F45+'Flujo Redco Chile'!F46+'Flujo Redco Chile'!F47)*-1</f>
        <v>-31866.890557939911</v>
      </c>
      <c r="H40" s="1557">
        <f>(+'Flujo Redco Chile'!G45+'Flujo Redco Chile'!G46+'Flujo Redco Chile'!G47)*-1</f>
        <v>-32660.930257510732</v>
      </c>
      <c r="I40" s="1557">
        <f>(+'Flujo Redco Chile'!H45+'Flujo Redco Chile'!H46+'Flujo Redco Chile'!H47)*-1</f>
        <v>-27706.253218884121</v>
      </c>
      <c r="J40" s="1557">
        <f>(+'Flujo Redco Chile'!I45+'Flujo Redco Chile'!I46+'Flujo Redco Chile'!I47)*-1</f>
        <v>-31882.783261802575</v>
      </c>
      <c r="K40" s="1557">
        <f>(+'Flujo Redco Chile'!J45+'Flujo Redco Chile'!J46+'Flujo Redco Chile'!J47)*-1</f>
        <v>-30717.742489270389</v>
      </c>
      <c r="L40" s="1557">
        <f>(+'Flujo Redco Chile'!K45+'Flujo Redco Chile'!K46+'Flujo Redco Chile'!K47)*-1</f>
        <v>-29655.451716738193</v>
      </c>
      <c r="M40" s="1557">
        <f>(+'Flujo Redco Chile'!L45+'Flujo Redco Chile'!L46+'Flujo Redco Chile'!L47)*-1</f>
        <v>-31895.060085836911</v>
      </c>
      <c r="N40" s="1557">
        <f>(+'Flujo Redco Chile'!M45+'Flujo Redco Chile'!M46+'Flujo Redco Chile'!M47)*-1</f>
        <v>-29668.006437768239</v>
      </c>
      <c r="O40" s="1557">
        <f>(+'Flujo Redco Chile'!N45+'Flujo Redco Chile'!N46+'Flujo Redco Chile'!N47)*-1</f>
        <v>-30784.118025751071</v>
      </c>
      <c r="P40" s="1557">
        <f t="shared" si="10"/>
        <v>-373754.77896995709</v>
      </c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</row>
    <row r="41" spans="2:29" ht="15" thickBot="1">
      <c r="B41" s="1554" t="s">
        <v>1336</v>
      </c>
      <c r="C41" s="1759" t="s">
        <v>1342</v>
      </c>
      <c r="D41" s="1557">
        <f>(+'Flujo Redco Chile'!C52+'Flujo Redco Chile'!C54+'Flujo Redco Chile'!C55+'Flujo Redco Chile'!C56+'Flujo Redco Chile'!C57)*-1</f>
        <v>-21128.810085836911</v>
      </c>
      <c r="E41" s="1557">
        <f>(+'Flujo Redco Chile'!D52+'Flujo Redco Chile'!D54+'Flujo Redco Chile'!D55+'Flujo Redco Chile'!D56+'Flujo Redco Chile'!D57)*-1</f>
        <v>-5335.2929184549357</v>
      </c>
      <c r="F41" s="1557">
        <f>(+'Flujo Redco Chile'!E52+'Flujo Redco Chile'!E54+'Flujo Redco Chile'!E55+'Flujo Redco Chile'!E56+'Flujo Redco Chile'!E57)*-1</f>
        <v>-20323.139484978543</v>
      </c>
      <c r="G41" s="1557">
        <f>(+'Flujo Redco Chile'!F52+'Flujo Redco Chile'!F54+'Flujo Redco Chile'!F55+'Flujo Redco Chile'!F56+'Flujo Redco Chile'!F57)*-1</f>
        <v>-68310.75</v>
      </c>
      <c r="H41" s="1557">
        <f>(+'Flujo Redco Chile'!G52+'Flujo Redco Chile'!G54+'Flujo Redco Chile'!G55+'Flujo Redco Chile'!G56+'Flujo Redco Chile'!G57)*-1</f>
        <v>-25408.953862660943</v>
      </c>
      <c r="I41" s="1557">
        <f>(+'Flujo Redco Chile'!H52+'Flujo Redco Chile'!H54+'Flujo Redco Chile'!H55+'Flujo Redco Chile'!H56+'Flujo Redco Chile'!H57)*-1</f>
        <v>-19313.304721030043</v>
      </c>
      <c r="J41" s="1557">
        <f>(+'Flujo Redco Chile'!I52+'Flujo Redco Chile'!I54+'Flujo Redco Chile'!I55+'Flujo Redco Chile'!I56+'Flujo Redco Chile'!I57)*-1</f>
        <v>-66329.1448497854</v>
      </c>
      <c r="K41" s="1557">
        <f>(+'Flujo Redco Chile'!J52+'Flujo Redco Chile'!J54+'Flujo Redco Chile'!J55+'Flujo Redco Chile'!J56+'Flujo Redco Chile'!J57)*-1</f>
        <v>-7645.622317596567</v>
      </c>
      <c r="L41" s="1557">
        <f>(+'Flujo Redco Chile'!K52+'Flujo Redco Chile'!K54+'Flujo Redco Chile'!K55+'Flujo Redco Chile'!K56+'Flujo Redco Chile'!K57)*-1</f>
        <v>-2990.3272532188839</v>
      </c>
      <c r="M41" s="1557">
        <f>(+'Flujo Redco Chile'!L52+'Flujo Redco Chile'!L54+'Flujo Redco Chile'!L55+'Flujo Redco Chile'!L56+'Flujo Redco Chile'!L57)*-1</f>
        <v>-2382.5965665236054</v>
      </c>
      <c r="N41" s="1557">
        <f>(+'Flujo Redco Chile'!M52+'Flujo Redco Chile'!M54+'Flujo Redco Chile'!M55+'Flujo Redco Chile'!M56+'Flujo Redco Chile'!M57)*-1</f>
        <v>-2631.8969957081545</v>
      </c>
      <c r="O41" s="1557">
        <f>(+'Flujo Redco Chile'!N52+'Flujo Redco Chile'!N54+'Flujo Redco Chile'!N55+'Flujo Redco Chile'!N56+'Flujo Redco Chile'!N57)*-1</f>
        <v>-47905.396995708157</v>
      </c>
      <c r="P41" s="1557">
        <f t="shared" si="10"/>
        <v>-289705.23605150211</v>
      </c>
      <c r="Q41" s="1752"/>
      <c r="R41" s="599"/>
    </row>
    <row r="42" spans="2:29" ht="15" thickBot="1">
      <c r="B42" s="1554" t="s">
        <v>1336</v>
      </c>
      <c r="C42" s="1760" t="s">
        <v>1353</v>
      </c>
      <c r="D42" s="1557">
        <f>+'Flujo Redco Chile'!C53*-1</f>
        <v>-24259.656652360514</v>
      </c>
      <c r="E42" s="1557">
        <f>+'Flujo Redco Chile'!D53*-1</f>
        <v>-113524.19957081546</v>
      </c>
      <c r="F42" s="1557">
        <f>+'Flujo Redco Chile'!E53*-1</f>
        <v>-57052.603004291843</v>
      </c>
      <c r="G42" s="1557">
        <f>+'Flujo Redco Chile'!F53*-1</f>
        <v>-140964.7092274678</v>
      </c>
      <c r="H42" s="1557">
        <f>+'Flujo Redco Chile'!G53*-1</f>
        <v>-9291.9935622317589</v>
      </c>
      <c r="I42" s="1557">
        <f>+'Flujo Redco Chile'!H53*-1</f>
        <v>0</v>
      </c>
      <c r="J42" s="1557">
        <f>+'Flujo Redco Chile'!I53*-1</f>
        <v>0</v>
      </c>
      <c r="K42" s="1557">
        <f>+'Flujo Redco Chile'!J53*-1</f>
        <v>0</v>
      </c>
      <c r="L42" s="1557">
        <f>+'Flujo Redco Chile'!K53*-1</f>
        <v>-27214.363733905579</v>
      </c>
      <c r="M42" s="1557">
        <f>+'Flujo Redco Chile'!L53*-1</f>
        <v>0</v>
      </c>
      <c r="N42" s="1557">
        <f>+'Flujo Redco Chile'!M53*-1</f>
        <v>0</v>
      </c>
      <c r="O42" s="1557">
        <f>+'Flujo Redco Chile'!N53*-1</f>
        <v>-388.0772532188841</v>
      </c>
      <c r="P42" s="1557">
        <f t="shared" si="10"/>
        <v>-372695.60300429189</v>
      </c>
      <c r="Q42" s="1752"/>
      <c r="R42" s="599"/>
    </row>
    <row r="43" spans="2:29" ht="15" thickBot="1">
      <c r="B43" s="1554" t="s">
        <v>1337</v>
      </c>
      <c r="C43" s="1749" t="s">
        <v>1348</v>
      </c>
      <c r="D43" s="1557">
        <f>+'Flujo Redco Perú'!C44*-1</f>
        <v>-42494</v>
      </c>
      <c r="E43" s="1557">
        <f>+'Flujo Redco Perú'!D44*-1</f>
        <v>0</v>
      </c>
      <c r="F43" s="1557">
        <f>+'Flujo Redco Perú'!E44*-1</f>
        <v>-5448</v>
      </c>
      <c r="G43" s="1557">
        <f>+'Flujo Redco Perú'!F44*-1</f>
        <v>-1998</v>
      </c>
      <c r="H43" s="1557">
        <f>+'Flujo Redco Perú'!G44*-1</f>
        <v>-49989</v>
      </c>
      <c r="I43" s="1557">
        <f>+'Flujo Redco Perú'!H44*-1</f>
        <v>-41625</v>
      </c>
      <c r="J43" s="1557">
        <f>+'Flujo Redco Perú'!I44*-1</f>
        <v>-37651</v>
      </c>
      <c r="K43" s="1557">
        <f>+'Flujo Redco Perú'!J44*-1</f>
        <v>-102790</v>
      </c>
      <c r="L43" s="1557">
        <f>+'Flujo Redco Perú'!K44*-1</f>
        <v>-18776</v>
      </c>
      <c r="M43" s="1557">
        <f>+'Flujo Redco Perú'!L44*-1</f>
        <v>-33704</v>
      </c>
      <c r="N43" s="1557">
        <f>+'Flujo Redco Perú'!M44*-1</f>
        <v>-38341</v>
      </c>
      <c r="O43" s="1557">
        <f>+'Flujo Redco Perú'!N44*-1</f>
        <v>-36493</v>
      </c>
      <c r="P43" s="1557">
        <f t="shared" si="10"/>
        <v>-409309</v>
      </c>
      <c r="Q43" s="599"/>
      <c r="R43" s="599"/>
    </row>
    <row r="44" spans="2:29" ht="15" thickBot="1">
      <c r="B44" s="1554" t="s">
        <v>1337</v>
      </c>
      <c r="C44" s="1767" t="s">
        <v>1342</v>
      </c>
      <c r="D44" s="1557">
        <f>+'Flujo Redco Perú'!C54*-1</f>
        <v>0</v>
      </c>
      <c r="E44" s="1557">
        <f>+'Flujo Redco Perú'!D54*-1</f>
        <v>0</v>
      </c>
      <c r="F44" s="1557">
        <f>+'Flujo Redco Perú'!E54*-1</f>
        <v>-14000</v>
      </c>
      <c r="G44" s="1557">
        <f>+'Flujo Redco Perú'!F54*-1</f>
        <v>0</v>
      </c>
      <c r="H44" s="1557">
        <f>+'Flujo Redco Perú'!G54*-1</f>
        <v>0</v>
      </c>
      <c r="I44" s="1557">
        <f>+'Flujo Redco Perú'!H54*-1</f>
        <v>-14000</v>
      </c>
      <c r="J44" s="1557">
        <f>+'Flujo Redco Perú'!I54*-1</f>
        <v>0</v>
      </c>
      <c r="K44" s="1557">
        <f>+'Flujo Redco Perú'!J54*-1</f>
        <v>-472152</v>
      </c>
      <c r="L44" s="1557">
        <f>+'Flujo Redco Perú'!K54*-1</f>
        <v>-28000</v>
      </c>
      <c r="M44" s="2402">
        <f>+'Flujo Redco Perú'!L54*-1</f>
        <v>-152335</v>
      </c>
      <c r="N44" s="2402">
        <f>+'Flujo Redco Perú'!M54*-1</f>
        <v>-147722</v>
      </c>
      <c r="O44" s="2402">
        <f>+'Flujo Redco Perú'!N54*-1</f>
        <v>-100000</v>
      </c>
      <c r="P44" s="1557">
        <f t="shared" si="10"/>
        <v>-928209</v>
      </c>
      <c r="Q44" s="1752"/>
      <c r="R44" s="1752"/>
      <c r="S44" s="1752"/>
      <c r="T44" s="1752"/>
      <c r="U44" s="1752"/>
      <c r="V44" s="1752"/>
      <c r="W44" s="1752"/>
      <c r="X44" s="1752"/>
      <c r="Y44" s="1752"/>
      <c r="Z44" s="1752"/>
      <c r="AA44" s="1752"/>
      <c r="AB44" s="1752"/>
    </row>
    <row r="45" spans="2:29" ht="15" thickBot="1">
      <c r="B45" s="1554" t="s">
        <v>1338</v>
      </c>
      <c r="C45" s="1749" t="s">
        <v>1348</v>
      </c>
      <c r="D45" s="1557">
        <f>+'Flujo Redco Brasil'!C37*-1</f>
        <v>-13957</v>
      </c>
      <c r="E45" s="1557">
        <f>+'Flujo Redco Brasil'!D37*-1</f>
        <v>-15243</v>
      </c>
      <c r="F45" s="1557">
        <f>+'Flujo Redco Brasil'!E37*-1</f>
        <v>-7945</v>
      </c>
      <c r="G45" s="1557">
        <f>+'Flujo Redco Brasil'!F37*-1</f>
        <v>-26398</v>
      </c>
      <c r="H45" s="1557">
        <f>+'Flujo Redco Brasil'!G37*-1</f>
        <v>-9411</v>
      </c>
      <c r="I45" s="1557">
        <f>+'Flujo Redco Brasil'!H37*-1</f>
        <v>-12454</v>
      </c>
      <c r="J45" s="1557">
        <f>+'Flujo Redco Brasil'!I37*-1</f>
        <v>-18530</v>
      </c>
      <c r="K45" s="1557">
        <f>+'Flujo Redco Brasil'!J37*-1</f>
        <v>-27561</v>
      </c>
      <c r="L45" s="1557">
        <f>+'Flujo Redco Brasil'!K37*-1</f>
        <v>-21983</v>
      </c>
      <c r="M45" s="1557">
        <f>+'Flujo Redco Brasil'!L37*-1</f>
        <v>-67960</v>
      </c>
      <c r="N45" s="1557">
        <f>+'Flujo Redco Brasil'!M37*-1</f>
        <v>-58112</v>
      </c>
      <c r="O45" s="1557">
        <f>+'Flujo Redco Brasil'!N37*-1</f>
        <v>-95607</v>
      </c>
      <c r="P45" s="1557">
        <f t="shared" si="10"/>
        <v>-375161</v>
      </c>
      <c r="Q45" s="1752"/>
      <c r="R45" s="599"/>
    </row>
    <row r="46" spans="2:29" ht="15" thickBot="1">
      <c r="B46" s="1554" t="s">
        <v>1338</v>
      </c>
      <c r="C46" s="1767" t="s">
        <v>1342</v>
      </c>
      <c r="D46" s="1557">
        <f>+'Flujo Redco Brasil'!C43*-1</f>
        <v>0</v>
      </c>
      <c r="E46" s="1557">
        <f>+'Flujo Redco Brasil'!D43*-1</f>
        <v>0</v>
      </c>
      <c r="F46" s="1557">
        <f>+'Flujo Redco Brasil'!E43*-1</f>
        <v>0</v>
      </c>
      <c r="G46" s="1557">
        <f>+'Flujo Redco Brasil'!F43*-1</f>
        <v>0</v>
      </c>
      <c r="H46" s="2402">
        <f>+'Flujo Redco Brasil'!G43*-1</f>
        <v>-133710</v>
      </c>
      <c r="I46" s="1557">
        <f>+'Flujo Redco Brasil'!H43*-1</f>
        <v>0</v>
      </c>
      <c r="J46" s="1557">
        <f>+'Flujo Redco Brasil'!I43*-1</f>
        <v>0</v>
      </c>
      <c r="K46" s="1557">
        <f>+'Flujo Redco Brasil'!J43*-1</f>
        <v>0</v>
      </c>
      <c r="L46" s="1557">
        <f>+'Flujo Redco Brasil'!K43*-1</f>
        <v>0</v>
      </c>
      <c r="M46" s="1557">
        <f>+'Flujo Redco Brasil'!L43*-1</f>
        <v>0</v>
      </c>
      <c r="N46" s="1557">
        <f>+'Flujo Redco Brasil'!M43*-1</f>
        <v>-278213</v>
      </c>
      <c r="O46" s="1557">
        <f>+'Flujo Redco Brasil'!N43*-1</f>
        <v>0</v>
      </c>
      <c r="P46" s="1557">
        <f t="shared" si="10"/>
        <v>-411923</v>
      </c>
      <c r="Q46" s="1752"/>
      <c r="R46" s="599"/>
    </row>
    <row r="47" spans="2:29" ht="15" thickBot="1">
      <c r="B47" s="1554" t="s">
        <v>790</v>
      </c>
      <c r="C47" s="1767" t="s">
        <v>1342</v>
      </c>
      <c r="D47" s="1557">
        <f>+'Flujo Redco USA'!C46*-1</f>
        <v>0</v>
      </c>
      <c r="E47" s="1557">
        <f>+'Flujo Redco USA'!D46*-1</f>
        <v>0</v>
      </c>
      <c r="F47" s="1557">
        <f>+'Flujo Redco USA'!E46*-1</f>
        <v>0</v>
      </c>
      <c r="G47" s="1557">
        <f>+'Flujo Redco USA'!F46*-1</f>
        <v>0</v>
      </c>
      <c r="H47" s="2402">
        <f>+'Flujo Redco USA'!G46*-1</f>
        <v>-281858</v>
      </c>
      <c r="I47" s="1557">
        <f>+'Flujo Redco USA'!H46*-1</f>
        <v>0</v>
      </c>
      <c r="J47" s="1557">
        <f>+'Flujo Redco USA'!I46*-1</f>
        <v>0</v>
      </c>
      <c r="K47" s="1557">
        <f>+'Flujo Redco USA'!J46*-1</f>
        <v>0</v>
      </c>
      <c r="L47" s="1557">
        <f>+'Flujo Redco USA'!K46*-1</f>
        <v>0</v>
      </c>
      <c r="M47" s="2402">
        <f>+'Flujo Redco USA'!L46*-1</f>
        <v>-110754</v>
      </c>
      <c r="N47" s="2402">
        <f>+'Flujo Redco USA'!M46*-1</f>
        <v>0</v>
      </c>
      <c r="O47" s="2402">
        <f>+'Flujo Redco USA'!N46*-1</f>
        <v>-349514</v>
      </c>
      <c r="P47" s="1557">
        <f t="shared" si="10"/>
        <v>-742126</v>
      </c>
      <c r="Q47" s="1752"/>
      <c r="R47" s="599"/>
    </row>
    <row r="48" spans="2:29" ht="15" thickBot="1">
      <c r="B48" s="1554" t="s">
        <v>790</v>
      </c>
      <c r="C48" s="2468" t="s">
        <v>1348</v>
      </c>
      <c r="D48" s="1557"/>
      <c r="E48" s="1557"/>
      <c r="F48" s="1557"/>
      <c r="G48" s="1557"/>
      <c r="H48" s="2402"/>
      <c r="I48" s="1557"/>
      <c r="J48" s="1557"/>
      <c r="K48" s="1557"/>
      <c r="L48" s="1557"/>
      <c r="M48" s="2402"/>
      <c r="N48" s="2402">
        <f>+'Flujo Redco USA'!M41*-1</f>
        <v>-6408</v>
      </c>
      <c r="O48" s="2402">
        <f>+'Flujo Redco USA'!N41*-1</f>
        <v>0</v>
      </c>
      <c r="P48" s="1557"/>
      <c r="Q48" s="1752"/>
      <c r="R48" s="599"/>
    </row>
    <row r="49" spans="2:28" ht="15" thickBot="1">
      <c r="B49" s="1568" t="s">
        <v>212</v>
      </c>
      <c r="C49" s="1560" t="s">
        <v>1351</v>
      </c>
      <c r="D49" s="1570">
        <f t="shared" ref="D49:M49" si="11">SUM(D39:D48)</f>
        <v>-164418.33583690989</v>
      </c>
      <c r="E49" s="1570">
        <f t="shared" si="11"/>
        <v>-236000.22532188843</v>
      </c>
      <c r="F49" s="1570">
        <f t="shared" si="11"/>
        <v>-147401.81652360514</v>
      </c>
      <c r="G49" s="1570">
        <f t="shared" si="11"/>
        <v>-301204.67596566526</v>
      </c>
      <c r="H49" s="1570">
        <f t="shared" si="11"/>
        <v>-608216.32832618023</v>
      </c>
      <c r="I49" s="1570">
        <f t="shared" si="11"/>
        <v>-156566.82403433474</v>
      </c>
      <c r="J49" s="1570">
        <f t="shared" si="11"/>
        <v>-163277.0160944206</v>
      </c>
      <c r="K49" s="1570">
        <f t="shared" si="11"/>
        <v>-727253.83905579406</v>
      </c>
      <c r="L49" s="1570">
        <f t="shared" si="11"/>
        <v>-155903.7575107296</v>
      </c>
      <c r="M49" s="1570">
        <f t="shared" si="11"/>
        <v>-446922.59549356223</v>
      </c>
      <c r="N49" s="1570">
        <f>SUM(N39:N48)</f>
        <v>-606296.0836909872</v>
      </c>
      <c r="O49" s="1570">
        <f t="shared" ref="O49:P49" si="12">SUM(O39:O48)</f>
        <v>-684945.21781115886</v>
      </c>
      <c r="P49" s="1570">
        <f t="shared" si="12"/>
        <v>-4391998.7156652361</v>
      </c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</row>
    <row r="50" spans="2:28" ht="15" thickBot="1">
      <c r="B50" s="1763"/>
      <c r="C50" s="1764"/>
      <c r="D50" s="1766"/>
      <c r="E50" s="1766"/>
      <c r="F50" s="1766"/>
      <c r="G50" s="1766"/>
      <c r="H50" s="1766"/>
      <c r="I50" s="1766"/>
      <c r="J50" s="1766"/>
      <c r="K50" s="1766"/>
      <c r="L50" s="1766"/>
      <c r="M50" s="1766"/>
      <c r="N50" s="1766"/>
      <c r="O50" s="1766"/>
      <c r="P50" s="1766"/>
      <c r="Q50" s="599"/>
      <c r="R50" s="599"/>
      <c r="S50" s="599"/>
      <c r="T50" s="599"/>
      <c r="U50" s="599"/>
      <c r="V50" s="599"/>
      <c r="W50" s="599"/>
      <c r="X50" s="599"/>
      <c r="Y50" s="599"/>
      <c r="Z50" s="599"/>
      <c r="AA50" s="599"/>
      <c r="AB50" s="599"/>
    </row>
    <row r="51" spans="2:28" ht="15" thickBot="1">
      <c r="B51" s="1551" t="s">
        <v>1335</v>
      </c>
      <c r="C51" s="1552" t="s">
        <v>1395</v>
      </c>
      <c r="D51" s="1552">
        <v>45658</v>
      </c>
      <c r="E51" s="1552">
        <v>45689</v>
      </c>
      <c r="F51" s="1552">
        <v>45717</v>
      </c>
      <c r="G51" s="1552">
        <v>45748</v>
      </c>
      <c r="H51" s="1552">
        <v>45778</v>
      </c>
      <c r="I51" s="1552">
        <v>45809</v>
      </c>
      <c r="J51" s="1552">
        <v>45839</v>
      </c>
      <c r="K51" s="1552">
        <v>45870</v>
      </c>
      <c r="L51" s="1552">
        <v>45901</v>
      </c>
      <c r="M51" s="1552">
        <v>45931</v>
      </c>
      <c r="N51" s="1552">
        <v>45962</v>
      </c>
      <c r="O51" s="1552">
        <v>45992</v>
      </c>
      <c r="P51" s="1553" t="s">
        <v>734</v>
      </c>
      <c r="Q51" s="599"/>
      <c r="R51" s="599"/>
      <c r="S51" s="599"/>
      <c r="T51" s="599"/>
      <c r="U51" s="599"/>
      <c r="W51" s="599"/>
      <c r="X51" s="599"/>
      <c r="Y51" s="599"/>
      <c r="Z51" s="599"/>
      <c r="AA51" s="599"/>
      <c r="AB51" s="599"/>
    </row>
    <row r="52" spans="2:28" ht="15" thickBot="1">
      <c r="B52" s="1554" t="s">
        <v>1336</v>
      </c>
      <c r="C52" s="1745" t="s">
        <v>1340</v>
      </c>
      <c r="D52" s="1756">
        <f>SUM(D20+D28+D30+D32+D33+D35+D39+D41+D42+D40)</f>
        <v>118395.56330472106</v>
      </c>
      <c r="E52" s="1756">
        <f t="shared" ref="D52:O52" si="13">SUM(E20+E28+E30+E32+E33+E35+E39+E41+E42+E40)</f>
        <v>133162.16845493575</v>
      </c>
      <c r="F52" s="1756">
        <f t="shared" si="13"/>
        <v>-69890.422746781114</v>
      </c>
      <c r="G52" s="1756">
        <f t="shared" si="13"/>
        <v>-113200.72639484986</v>
      </c>
      <c r="H52" s="1756">
        <f t="shared" si="13"/>
        <v>-40765.557939914237</v>
      </c>
      <c r="I52" s="1756">
        <f t="shared" si="13"/>
        <v>-48061.671673819743</v>
      </c>
      <c r="J52" s="1756">
        <f t="shared" si="13"/>
        <v>191766.35300429186</v>
      </c>
      <c r="K52" s="1756">
        <f t="shared" si="13"/>
        <v>134254.50214592268</v>
      </c>
      <c r="L52" s="1756">
        <f t="shared" si="13"/>
        <v>-156525.88948497857</v>
      </c>
      <c r="M52" s="1756">
        <f t="shared" si="13"/>
        <v>-145690.64912553647</v>
      </c>
      <c r="N52" s="1756">
        <f t="shared" si="13"/>
        <v>-35646.430257510823</v>
      </c>
      <c r="O52" s="1756">
        <f t="shared" si="13"/>
        <v>3229.6802575107431</v>
      </c>
      <c r="P52" s="1756">
        <f t="shared" ref="P52:P57" si="14">SUM(D52:O52)</f>
        <v>-28973.08045600872</v>
      </c>
      <c r="Q52" s="599"/>
      <c r="R52" s="599">
        <f>+SUM(D52:L52)</f>
        <v>149134.31866952783</v>
      </c>
      <c r="S52" s="599"/>
      <c r="W52" s="599"/>
    </row>
    <row r="53" spans="2:28" ht="15" thickBot="1">
      <c r="B53" s="1554" t="s">
        <v>1337</v>
      </c>
      <c r="C53" s="1751" t="s">
        <v>1340</v>
      </c>
      <c r="D53" s="1756">
        <f>+D21+D29+D34+D43+D44</f>
        <v>3798.1499999999942</v>
      </c>
      <c r="E53" s="1756">
        <f t="shared" ref="D53:O53" si="15">+E21+E29+E34+E43+E44</f>
        <v>-2643</v>
      </c>
      <c r="F53" s="1756">
        <f t="shared" si="15"/>
        <v>65135</v>
      </c>
      <c r="G53" s="1756">
        <f t="shared" si="15"/>
        <v>-1064.2999999999884</v>
      </c>
      <c r="H53" s="1756">
        <f t="shared" si="15"/>
        <v>-4999</v>
      </c>
      <c r="I53" s="1756">
        <f t="shared" si="15"/>
        <v>42095</v>
      </c>
      <c r="J53" s="1756">
        <f t="shared" si="15"/>
        <v>48879</v>
      </c>
      <c r="K53" s="1756">
        <f t="shared" si="15"/>
        <v>-32506</v>
      </c>
      <c r="L53" s="1756">
        <f t="shared" si="15"/>
        <v>-38703</v>
      </c>
      <c r="M53" s="1756">
        <f t="shared" si="15"/>
        <v>13353</v>
      </c>
      <c r="N53" s="1756">
        <f t="shared" si="15"/>
        <v>-123997.64000000001</v>
      </c>
      <c r="O53" s="1756">
        <f t="shared" si="15"/>
        <v>-25297</v>
      </c>
      <c r="P53" s="1756">
        <f t="shared" si="14"/>
        <v>-55949.790000000008</v>
      </c>
      <c r="Q53" s="599"/>
      <c r="R53" s="599">
        <f t="shared" ref="R53:R56" si="16">+SUM(D53:L53)</f>
        <v>79991.850000000006</v>
      </c>
      <c r="W53" s="599"/>
    </row>
    <row r="54" spans="2:28" ht="15" thickBot="1">
      <c r="B54" s="1554" t="s">
        <v>1338</v>
      </c>
      <c r="C54" s="1751" t="s">
        <v>1340</v>
      </c>
      <c r="D54" s="1756">
        <f>+D22+D31+D45</f>
        <v>51910</v>
      </c>
      <c r="E54" s="1756">
        <f>+E22+E31+E45</f>
        <v>16991</v>
      </c>
      <c r="F54" s="1756">
        <f>+F22+F31+F45</f>
        <v>61952</v>
      </c>
      <c r="G54" s="1756">
        <f>+G22+G31+G45</f>
        <v>18807.299999999996</v>
      </c>
      <c r="H54" s="1756">
        <f t="shared" ref="H54:O54" si="17">+H22+H31+H45+H46</f>
        <v>-137850</v>
      </c>
      <c r="I54" s="1756">
        <f t="shared" si="17"/>
        <v>-22177</v>
      </c>
      <c r="J54" s="1756">
        <f t="shared" si="17"/>
        <v>-1832</v>
      </c>
      <c r="K54" s="1756">
        <f t="shared" si="17"/>
        <v>70616</v>
      </c>
      <c r="L54" s="1756">
        <f t="shared" si="17"/>
        <v>104282</v>
      </c>
      <c r="M54" s="1756">
        <f t="shared" si="17"/>
        <v>244856</v>
      </c>
      <c r="N54" s="1756">
        <f t="shared" si="17"/>
        <v>-143071</v>
      </c>
      <c r="O54" s="1756">
        <f t="shared" si="17"/>
        <v>105508.50999999998</v>
      </c>
      <c r="P54" s="1756">
        <f t="shared" si="14"/>
        <v>369992.80999999994</v>
      </c>
      <c r="Q54" s="599"/>
      <c r="R54" s="599">
        <f t="shared" si="16"/>
        <v>162699.29999999999</v>
      </c>
      <c r="W54" s="599"/>
    </row>
    <row r="55" spans="2:28" ht="15" thickBot="1">
      <c r="B55" s="1558" t="s">
        <v>790</v>
      </c>
      <c r="C55" s="1751" t="s">
        <v>1340</v>
      </c>
      <c r="D55" s="1756">
        <f t="shared" ref="D55:G55" si="18">SUM(D23+D47)</f>
        <v>150438</v>
      </c>
      <c r="E55" s="1756">
        <f t="shared" si="18"/>
        <v>241440.21</v>
      </c>
      <c r="F55" s="1756">
        <f t="shared" si="18"/>
        <v>82798</v>
      </c>
      <c r="G55" s="1756">
        <f t="shared" si="18"/>
        <v>159302</v>
      </c>
      <c r="H55" s="1756">
        <f>SUM(H23+H47)</f>
        <v>-134434</v>
      </c>
      <c r="I55" s="1756">
        <f t="shared" ref="I55:O55" si="19">SUM(I23+I47)</f>
        <v>57618</v>
      </c>
      <c r="J55" s="1756">
        <f t="shared" si="19"/>
        <v>-10017</v>
      </c>
      <c r="K55" s="1756">
        <f t="shared" si="19"/>
        <v>18985</v>
      </c>
      <c r="L55" s="1756">
        <f t="shared" si="19"/>
        <v>-1000</v>
      </c>
      <c r="M55" s="1756">
        <f t="shared" si="19"/>
        <v>-154165</v>
      </c>
      <c r="N55" s="1756">
        <f>SUM(N23+N47+N48)</f>
        <v>-7408</v>
      </c>
      <c r="O55" s="1756">
        <f t="shared" si="19"/>
        <v>-389139</v>
      </c>
      <c r="P55" s="1756">
        <f t="shared" si="14"/>
        <v>14418.209999999963</v>
      </c>
      <c r="Q55" s="599"/>
      <c r="R55" s="599">
        <f t="shared" si="16"/>
        <v>565130.21</v>
      </c>
      <c r="V55" s="599"/>
      <c r="W55" s="599"/>
    </row>
    <row r="56" spans="2:28" ht="15" thickBot="1">
      <c r="B56" s="1558" t="s">
        <v>1573</v>
      </c>
      <c r="C56" s="1751" t="s">
        <v>1340</v>
      </c>
      <c r="D56" s="1756">
        <f t="shared" ref="D56:O56" si="20">+D24+D36</f>
        <v>-14044</v>
      </c>
      <c r="E56" s="1756">
        <f t="shared" si="20"/>
        <v>21682</v>
      </c>
      <c r="F56" s="1756">
        <f t="shared" si="20"/>
        <v>45478</v>
      </c>
      <c r="G56" s="1756">
        <f t="shared" si="20"/>
        <v>-14380</v>
      </c>
      <c r="H56" s="1756">
        <f t="shared" si="20"/>
        <v>399568</v>
      </c>
      <c r="I56" s="1756">
        <f t="shared" si="20"/>
        <v>156951</v>
      </c>
      <c r="J56" s="1756">
        <f t="shared" si="20"/>
        <v>-5684.8</v>
      </c>
      <c r="K56" s="1756">
        <f t="shared" si="20"/>
        <v>93839.2</v>
      </c>
      <c r="L56" s="1756">
        <f t="shared" si="20"/>
        <v>-5684.8</v>
      </c>
      <c r="M56" s="1756">
        <f t="shared" si="20"/>
        <v>105069.2</v>
      </c>
      <c r="N56" s="1756">
        <f t="shared" si="20"/>
        <v>272528.2</v>
      </c>
      <c r="O56" s="1756">
        <f t="shared" si="20"/>
        <v>343829.2</v>
      </c>
      <c r="P56" s="1756">
        <f t="shared" si="14"/>
        <v>1399151.1999999997</v>
      </c>
      <c r="Q56" s="599"/>
      <c r="R56" s="599">
        <f t="shared" si="16"/>
        <v>677724.59999999986</v>
      </c>
      <c r="W56" s="599"/>
    </row>
    <row r="57" spans="2:28" ht="18.75" customHeight="1" thickBot="1">
      <c r="B57" s="1571" t="s">
        <v>212</v>
      </c>
      <c r="C57" s="1556" t="s">
        <v>1340</v>
      </c>
      <c r="D57" s="1556">
        <f>SUM(D52:D56)</f>
        <v>310497.71330472105</v>
      </c>
      <c r="E57" s="1556">
        <f t="shared" ref="E57:O57" si="21">SUM(E52:E56)</f>
        <v>410632.37845493574</v>
      </c>
      <c r="F57" s="1556">
        <f t="shared" si="21"/>
        <v>185472.57725321889</v>
      </c>
      <c r="G57" s="1556">
        <f t="shared" si="21"/>
        <v>49464.273605150142</v>
      </c>
      <c r="H57" s="1556">
        <f t="shared" si="21"/>
        <v>81519.44206008577</v>
      </c>
      <c r="I57" s="1556">
        <f t="shared" si="21"/>
        <v>186425.32832618026</v>
      </c>
      <c r="J57" s="1556">
        <f t="shared" si="21"/>
        <v>223111.55300429187</v>
      </c>
      <c r="K57" s="1556">
        <f t="shared" si="21"/>
        <v>285188.7021459227</v>
      </c>
      <c r="L57" s="1556">
        <f t="shared" si="21"/>
        <v>-97631.689484978575</v>
      </c>
      <c r="M57" s="1556">
        <f t="shared" si="21"/>
        <v>63422.55087446353</v>
      </c>
      <c r="N57" s="1556">
        <f t="shared" si="21"/>
        <v>-37594.870257510862</v>
      </c>
      <c r="O57" s="1556">
        <f t="shared" si="21"/>
        <v>38131.390257510764</v>
      </c>
      <c r="P57" s="1556">
        <f t="shared" si="14"/>
        <v>1698639.3495439915</v>
      </c>
      <c r="Q57" s="599"/>
      <c r="R57" s="599">
        <f>SUM(R52:R56)</f>
        <v>1634680.2786695277</v>
      </c>
    </row>
    <row r="58" spans="2:28" ht="18.75" customHeight="1" thickBot="1">
      <c r="B58" s="1765"/>
      <c r="C58" s="1765"/>
      <c r="D58" s="1765"/>
      <c r="E58" s="1765"/>
      <c r="F58" s="1765"/>
      <c r="G58" s="1765"/>
      <c r="H58" s="1765"/>
      <c r="I58" s="1765"/>
      <c r="J58" s="1765"/>
      <c r="K58" s="1765"/>
      <c r="L58" s="1765"/>
      <c r="M58" s="1765"/>
      <c r="N58" s="1765"/>
      <c r="O58" s="1765"/>
      <c r="P58" s="1765"/>
      <c r="Q58" s="599"/>
      <c r="R58" s="599"/>
    </row>
    <row r="59" spans="2:28" ht="18.75" customHeight="1" thickBot="1">
      <c r="B59" s="1555" t="s">
        <v>1349</v>
      </c>
      <c r="C59" s="1555" t="s">
        <v>1349</v>
      </c>
      <c r="D59" s="1556">
        <f>+D57+T9</f>
        <v>564489.87415642303</v>
      </c>
      <c r="E59" s="1556">
        <f>+D59+E57</f>
        <v>975122.25261135877</v>
      </c>
      <c r="F59" s="1556">
        <f t="shared" ref="F59:O59" si="22">+E59+F57</f>
        <v>1160594.8298645776</v>
      </c>
      <c r="G59" s="1556">
        <f t="shared" si="22"/>
        <v>1210059.1034697278</v>
      </c>
      <c r="H59" s="1556">
        <f t="shared" si="22"/>
        <v>1291578.5455298135</v>
      </c>
      <c r="I59" s="1556">
        <f t="shared" si="22"/>
        <v>1478003.8738559939</v>
      </c>
      <c r="J59" s="1556">
        <f t="shared" si="22"/>
        <v>1701115.4268602857</v>
      </c>
      <c r="K59" s="1556">
        <f t="shared" si="22"/>
        <v>1986304.1290062084</v>
      </c>
      <c r="L59" s="1556">
        <f t="shared" si="22"/>
        <v>1888672.4395212298</v>
      </c>
      <c r="M59" s="1556">
        <f t="shared" si="22"/>
        <v>1952094.9903956933</v>
      </c>
      <c r="N59" s="1556">
        <f t="shared" si="22"/>
        <v>1914500.1201381825</v>
      </c>
      <c r="O59" s="1556">
        <f t="shared" si="22"/>
        <v>1952631.5103956934</v>
      </c>
      <c r="P59" s="1556">
        <f>+O59</f>
        <v>1952631.5103956934</v>
      </c>
      <c r="Q59" s="599"/>
      <c r="R59" s="599"/>
    </row>
    <row r="60" spans="2:28" ht="15" thickBot="1">
      <c r="B60" s="599"/>
      <c r="C60" s="599"/>
      <c r="D60" s="599"/>
      <c r="E60" s="599"/>
      <c r="F60" s="599"/>
      <c r="G60" s="599"/>
      <c r="H60" s="599"/>
      <c r="I60" s="599"/>
      <c r="J60" s="599"/>
      <c r="K60" s="599"/>
      <c r="L60" s="599"/>
      <c r="M60" s="599"/>
      <c r="N60" s="599"/>
      <c r="O60" s="599"/>
      <c r="P60" s="599"/>
      <c r="Q60" s="1547"/>
      <c r="S60" s="1547"/>
    </row>
    <row r="61" spans="2:28" ht="15" thickBot="1">
      <c r="B61" s="1551" t="s">
        <v>1335</v>
      </c>
      <c r="C61" s="1552" t="s">
        <v>1395</v>
      </c>
      <c r="D61" s="1552">
        <v>45658</v>
      </c>
      <c r="E61" s="1552">
        <v>45689</v>
      </c>
      <c r="F61" s="1552">
        <v>45717</v>
      </c>
      <c r="G61" s="1552">
        <v>45748</v>
      </c>
      <c r="H61" s="1552">
        <v>45778</v>
      </c>
      <c r="I61" s="1552">
        <v>45809</v>
      </c>
      <c r="J61" s="1552">
        <v>45839</v>
      </c>
      <c r="K61" s="1552">
        <v>45870</v>
      </c>
      <c r="L61" s="1552">
        <v>45901</v>
      </c>
      <c r="M61" s="1552">
        <v>45931</v>
      </c>
      <c r="N61" s="1552">
        <v>45962</v>
      </c>
      <c r="O61" s="1552">
        <v>45992</v>
      </c>
      <c r="P61" s="1553" t="s">
        <v>734</v>
      </c>
      <c r="Q61" s="1547"/>
      <c r="R61" s="1551" t="s">
        <v>1335</v>
      </c>
      <c r="S61" s="1553" t="s">
        <v>734</v>
      </c>
    </row>
    <row r="62" spans="2:28" ht="15" thickBot="1">
      <c r="B62" s="1554" t="s">
        <v>1336</v>
      </c>
      <c r="C62" s="1568" t="s">
        <v>1352</v>
      </c>
      <c r="D62" s="1566">
        <f>+D52+T4</f>
        <v>170652.70064377686</v>
      </c>
      <c r="E62" s="1566">
        <f>+D62+E52</f>
        <v>303814.86909871257</v>
      </c>
      <c r="F62" s="1566">
        <f t="shared" ref="F62:O66" si="23">+E62+F52</f>
        <v>233924.44635193146</v>
      </c>
      <c r="G62" s="1566">
        <f t="shared" si="23"/>
        <v>120723.7199570816</v>
      </c>
      <c r="H62" s="1566">
        <f t="shared" si="23"/>
        <v>79958.162017167371</v>
      </c>
      <c r="I62" s="1566">
        <f t="shared" si="23"/>
        <v>31896.490343347628</v>
      </c>
      <c r="J62" s="1566">
        <f t="shared" si="23"/>
        <v>223662.84334763949</v>
      </c>
      <c r="K62" s="1566">
        <f t="shared" si="23"/>
        <v>357917.34549356217</v>
      </c>
      <c r="L62" s="1566">
        <f t="shared" si="23"/>
        <v>201391.4560085836</v>
      </c>
      <c r="M62" s="1566">
        <f t="shared" si="23"/>
        <v>55700.806883047131</v>
      </c>
      <c r="N62" s="1566">
        <f t="shared" si="23"/>
        <v>20054.376625536308</v>
      </c>
      <c r="O62" s="1566">
        <f t="shared" si="23"/>
        <v>23284.056883047051</v>
      </c>
      <c r="P62" s="1561">
        <f>+O62</f>
        <v>23284.056883047051</v>
      </c>
      <c r="Q62" s="1547"/>
      <c r="R62" s="1554" t="s">
        <v>1573</v>
      </c>
      <c r="S62" s="1561">
        <f>+_xlfn.XLOOKUP(R62,$B$62:$B$66,$O$62:$O$66,0,0,1)/1000</f>
        <v>1399.1511999999998</v>
      </c>
    </row>
    <row r="63" spans="2:28" ht="15" thickBot="1">
      <c r="B63" s="1554" t="s">
        <v>1337</v>
      </c>
      <c r="C63" s="1568" t="s">
        <v>1352</v>
      </c>
      <c r="D63" s="1559">
        <f>+D53+T5</f>
        <v>140565.84351264618</v>
      </c>
      <c r="E63" s="1559">
        <f>+D63+E53</f>
        <v>137922.84351264618</v>
      </c>
      <c r="F63" s="1559">
        <f t="shared" si="23"/>
        <v>203057.84351264618</v>
      </c>
      <c r="G63" s="1559">
        <f t="shared" si="23"/>
        <v>201993.5435126462</v>
      </c>
      <c r="H63" s="1559">
        <f t="shared" si="23"/>
        <v>196994.5435126462</v>
      </c>
      <c r="I63" s="1559">
        <f t="shared" si="23"/>
        <v>239089.5435126462</v>
      </c>
      <c r="J63" s="1559">
        <f t="shared" si="23"/>
        <v>287968.54351264623</v>
      </c>
      <c r="K63" s="1559">
        <f t="shared" si="23"/>
        <v>255462.54351264623</v>
      </c>
      <c r="L63" s="1559">
        <f t="shared" si="23"/>
        <v>216759.54351264623</v>
      </c>
      <c r="M63" s="1559">
        <f t="shared" si="23"/>
        <v>230112.54351264623</v>
      </c>
      <c r="N63" s="1559">
        <f t="shared" si="23"/>
        <v>106114.90351264621</v>
      </c>
      <c r="O63" s="1559">
        <f t="shared" si="23"/>
        <v>80817.903512646211</v>
      </c>
      <c r="P63" s="1561">
        <f>+O63</f>
        <v>80817.903512646211</v>
      </c>
      <c r="Q63" s="1547"/>
      <c r="R63" s="1554" t="s">
        <v>1338</v>
      </c>
      <c r="S63" s="1561">
        <f t="shared" ref="S63:S66" si="24">+_xlfn.XLOOKUP(R63,$B$62:$B$66,$O$62:$O$66,0,0,1)/1000</f>
        <v>389.08814000000001</v>
      </c>
    </row>
    <row r="64" spans="2:28" ht="15" thickBot="1">
      <c r="B64" s="1554" t="s">
        <v>1338</v>
      </c>
      <c r="C64" s="1568" t="s">
        <v>1352</v>
      </c>
      <c r="D64" s="1750">
        <f>+D54+T6</f>
        <v>61532.33</v>
      </c>
      <c r="E64" s="1750">
        <f>+D64+E54</f>
        <v>78523.33</v>
      </c>
      <c r="F64" s="1750">
        <f t="shared" si="23"/>
        <v>140475.33000000002</v>
      </c>
      <c r="G64" s="1750">
        <f t="shared" si="23"/>
        <v>159282.63</v>
      </c>
      <c r="H64" s="1750">
        <f t="shared" si="23"/>
        <v>21432.630000000005</v>
      </c>
      <c r="I64" s="1750">
        <f t="shared" si="23"/>
        <v>-744.36999999999534</v>
      </c>
      <c r="J64" s="1750">
        <f t="shared" si="23"/>
        <v>-2576.3699999999953</v>
      </c>
      <c r="K64" s="1750">
        <f t="shared" si="23"/>
        <v>68039.63</v>
      </c>
      <c r="L64" s="2404">
        <f>+(K64+L54+'Flujo Redco Brasil'!K47)</f>
        <v>179973.63</v>
      </c>
      <c r="M64" s="2404">
        <f>+L64+M54+'Flujo Redco Brasil'!L47</f>
        <v>426650.63</v>
      </c>
      <c r="N64" s="1750">
        <f t="shared" si="23"/>
        <v>283579.63</v>
      </c>
      <c r="O64" s="1750">
        <f t="shared" si="23"/>
        <v>389088.14</v>
      </c>
      <c r="P64" s="1572">
        <f>+O64</f>
        <v>389088.14</v>
      </c>
      <c r="Q64" s="1547"/>
      <c r="R64" s="1554" t="s">
        <v>1337</v>
      </c>
      <c r="S64" s="1572">
        <f t="shared" si="24"/>
        <v>80.817903512646211</v>
      </c>
    </row>
    <row r="65" spans="2:19" ht="15" thickBot="1">
      <c r="B65" s="1558" t="s">
        <v>790</v>
      </c>
      <c r="C65" s="1568" t="s">
        <v>1352</v>
      </c>
      <c r="D65" s="1559">
        <f>+D55+T7</f>
        <v>205783</v>
      </c>
      <c r="E65" s="1559">
        <f>+D65+E55</f>
        <v>447223.20999999996</v>
      </c>
      <c r="F65" s="1559">
        <f t="shared" si="23"/>
        <v>530021.21</v>
      </c>
      <c r="G65" s="1559">
        <f t="shared" si="23"/>
        <v>689323.21</v>
      </c>
      <c r="H65" s="1559">
        <f t="shared" si="23"/>
        <v>554889.21</v>
      </c>
      <c r="I65" s="1559">
        <f t="shared" si="23"/>
        <v>612507.21</v>
      </c>
      <c r="J65" s="1559">
        <f t="shared" si="23"/>
        <v>602490.21</v>
      </c>
      <c r="K65" s="1559">
        <f t="shared" si="23"/>
        <v>621475.21</v>
      </c>
      <c r="L65" s="1559">
        <f t="shared" si="23"/>
        <v>620475.21</v>
      </c>
      <c r="M65" s="1559">
        <f t="shared" si="23"/>
        <v>466310.20999999996</v>
      </c>
      <c r="N65" s="1559">
        <f t="shared" si="23"/>
        <v>458902.20999999996</v>
      </c>
      <c r="O65" s="1559">
        <f t="shared" si="23"/>
        <v>69763.209999999963</v>
      </c>
      <c r="P65" s="1561">
        <f>+O65</f>
        <v>69763.209999999963</v>
      </c>
      <c r="Q65" s="1547"/>
      <c r="R65" s="1558" t="s">
        <v>790</v>
      </c>
      <c r="S65" s="1561">
        <f t="shared" si="24"/>
        <v>69.763209999999958</v>
      </c>
    </row>
    <row r="66" spans="2:19" ht="15" thickBot="1">
      <c r="B66" s="1558" t="s">
        <v>1573</v>
      </c>
      <c r="C66" s="1568" t="s">
        <v>1352</v>
      </c>
      <c r="D66" s="1559">
        <f>+D56+T8</f>
        <v>-14044</v>
      </c>
      <c r="E66" s="1559">
        <f>+D66+E56</f>
        <v>7638</v>
      </c>
      <c r="F66" s="1559">
        <f t="shared" si="23"/>
        <v>53116</v>
      </c>
      <c r="G66" s="1559">
        <f t="shared" si="23"/>
        <v>38736</v>
      </c>
      <c r="H66" s="1559">
        <f t="shared" si="23"/>
        <v>438304</v>
      </c>
      <c r="I66" s="1559">
        <f t="shared" si="23"/>
        <v>595255</v>
      </c>
      <c r="J66" s="1559">
        <f t="shared" si="23"/>
        <v>589570.19999999995</v>
      </c>
      <c r="K66" s="1559">
        <f t="shared" si="23"/>
        <v>683409.39999999991</v>
      </c>
      <c r="L66" s="1559">
        <f t="shared" si="23"/>
        <v>677724.59999999986</v>
      </c>
      <c r="M66" s="1559">
        <f t="shared" si="23"/>
        <v>782793.79999999981</v>
      </c>
      <c r="N66" s="1559">
        <f t="shared" si="23"/>
        <v>1055321.9999999998</v>
      </c>
      <c r="O66" s="1559">
        <f t="shared" si="23"/>
        <v>1399151.1999999997</v>
      </c>
      <c r="P66" s="1561">
        <f>+O66</f>
        <v>1399151.1999999997</v>
      </c>
      <c r="Q66" s="1547"/>
      <c r="R66" s="1558" t="s">
        <v>1336</v>
      </c>
      <c r="S66" s="1561">
        <f t="shared" si="24"/>
        <v>23.28405688304705</v>
      </c>
    </row>
    <row r="67" spans="2:19" ht="15" thickBot="1">
      <c r="B67" s="1555" t="s">
        <v>1339</v>
      </c>
      <c r="C67" s="1555" t="s">
        <v>1339</v>
      </c>
      <c r="D67" s="1556">
        <f>SUM(D62:D66)</f>
        <v>564489.87415642315</v>
      </c>
      <c r="E67" s="1556">
        <f t="shared" ref="E67:O67" si="25">SUM(E62:E66)</f>
        <v>975122.25261135865</v>
      </c>
      <c r="F67" s="1556">
        <f t="shared" si="25"/>
        <v>1160594.8298645776</v>
      </c>
      <c r="G67" s="1556">
        <f t="shared" si="25"/>
        <v>1210059.1034697278</v>
      </c>
      <c r="H67" s="1556">
        <f t="shared" si="25"/>
        <v>1291578.5455298135</v>
      </c>
      <c r="I67" s="1556">
        <f t="shared" si="25"/>
        <v>1478003.8738559939</v>
      </c>
      <c r="J67" s="1556">
        <f t="shared" si="25"/>
        <v>1701115.4268602857</v>
      </c>
      <c r="K67" s="1556">
        <f t="shared" si="25"/>
        <v>1986304.1290062084</v>
      </c>
      <c r="L67" s="1556">
        <f>SUM(L62:L66)</f>
        <v>1896324.4395212296</v>
      </c>
      <c r="M67" s="1556">
        <f t="shared" si="25"/>
        <v>1961567.9903956931</v>
      </c>
      <c r="N67" s="1556">
        <f t="shared" si="25"/>
        <v>1923973.1201381823</v>
      </c>
      <c r="O67" s="1556">
        <f t="shared" si="25"/>
        <v>1962104.5103956929</v>
      </c>
      <c r="P67" s="1556">
        <f>SUM(P62:P66)</f>
        <v>1962104.5103956929</v>
      </c>
      <c r="Q67" s="1547"/>
      <c r="R67" s="1556" t="s">
        <v>734</v>
      </c>
      <c r="S67" s="1556">
        <f>SUM(S62:S66)</f>
        <v>1962.1045103956931</v>
      </c>
    </row>
    <row r="68" spans="2:19">
      <c r="B68" s="1546"/>
      <c r="C68" s="1546"/>
      <c r="D68" s="1546"/>
      <c r="E68" s="1546"/>
      <c r="F68" s="1546"/>
      <c r="G68" s="1546"/>
      <c r="H68" s="1546"/>
      <c r="I68" s="1546"/>
      <c r="J68" s="1546"/>
      <c r="K68" s="1546"/>
      <c r="L68" s="1546"/>
      <c r="M68" s="1546"/>
      <c r="N68" s="1546"/>
      <c r="O68" s="1546"/>
      <c r="P68" s="1546"/>
      <c r="Q68" s="1547"/>
    </row>
    <row r="69" spans="2:19">
      <c r="D69" s="599"/>
      <c r="E69" s="599"/>
      <c r="F69" s="599"/>
      <c r="G69" s="599"/>
      <c r="H69" s="599"/>
      <c r="I69" s="599"/>
      <c r="J69" s="599"/>
      <c r="K69" s="599"/>
      <c r="L69" s="599"/>
      <c r="M69" s="599"/>
      <c r="N69" s="599"/>
      <c r="O69" s="599"/>
      <c r="P69" s="599"/>
      <c r="Q69" s="1547"/>
    </row>
    <row r="70" spans="2:19">
      <c r="D70" s="599"/>
      <c r="E70" s="599"/>
      <c r="F70" s="599"/>
      <c r="G70" s="599"/>
      <c r="H70" s="599"/>
      <c r="I70" s="599"/>
      <c r="J70" s="599"/>
      <c r="K70" s="599"/>
      <c r="L70" s="599"/>
      <c r="M70" s="599"/>
      <c r="N70" s="599"/>
      <c r="O70" s="599"/>
      <c r="P70" s="599"/>
      <c r="Q70" s="1547"/>
    </row>
    <row r="71" spans="2:19">
      <c r="D71" s="1547"/>
      <c r="I71" s="599"/>
      <c r="M71" s="599"/>
      <c r="N71" s="599"/>
      <c r="P71" s="599"/>
    </row>
    <row r="72" spans="2:19">
      <c r="D72" s="1547"/>
      <c r="M72" s="599"/>
      <c r="N72" s="599"/>
    </row>
    <row r="73" spans="2:19">
      <c r="D73" s="599"/>
      <c r="E73" s="599"/>
      <c r="F73" s="599"/>
      <c r="G73" s="599"/>
      <c r="H73" s="599"/>
      <c r="I73" s="599"/>
      <c r="J73" s="2470"/>
      <c r="K73" s="599"/>
      <c r="L73" s="599"/>
      <c r="M73" s="599"/>
      <c r="N73" s="599"/>
    </row>
    <row r="74" spans="2:19">
      <c r="K74" s="599"/>
      <c r="M74" s="599"/>
    </row>
    <row r="75" spans="2:19">
      <c r="D75" s="599"/>
      <c r="E75" s="599"/>
      <c r="F75" s="599"/>
      <c r="G75" s="599"/>
      <c r="H75" s="599"/>
      <c r="I75" s="599"/>
      <c r="J75" s="599"/>
      <c r="K75" s="599"/>
      <c r="L75" s="599"/>
    </row>
    <row r="77" spans="2:19">
      <c r="N77" s="599"/>
    </row>
    <row r="78" spans="2:19">
      <c r="L78" s="599"/>
      <c r="M78" s="599"/>
    </row>
    <row r="129" spans="4:15">
      <c r="H129" s="1546"/>
      <c r="I129" s="1546"/>
      <c r="J129" s="1546"/>
      <c r="K129" s="1546"/>
      <c r="L129" s="1546"/>
      <c r="M129" s="1546"/>
      <c r="N129" s="1546"/>
      <c r="O129" s="1546"/>
    </row>
    <row r="131" spans="4:15">
      <c r="D131" s="637"/>
      <c r="J131" s="599"/>
    </row>
    <row r="133" spans="4:15">
      <c r="D133" s="637"/>
      <c r="E133" s="637"/>
      <c r="F133" s="637"/>
      <c r="G133" s="637"/>
      <c r="H133" s="637"/>
      <c r="I133" s="637"/>
      <c r="J133" s="637"/>
      <c r="K133" s="637"/>
      <c r="L133" s="637"/>
    </row>
    <row r="138" spans="4:15">
      <c r="D138" s="637"/>
      <c r="E138" s="637"/>
      <c r="F138" s="637"/>
      <c r="G138" s="637"/>
      <c r="H138" s="637"/>
      <c r="I138" s="637"/>
      <c r="J138" s="637"/>
      <c r="K138" s="637"/>
      <c r="L138" s="637"/>
    </row>
  </sheetData>
  <sortState xmlns:xlrd2="http://schemas.microsoft.com/office/spreadsheetml/2017/richdata2" ref="R62:S66">
    <sortCondition descending="1" ref="S62:S66"/>
  </sortState>
  <conditionalFormatting sqref="D20:P24">
    <cfRule type="cellIs" dxfId="347" priority="5" operator="lessThan">
      <formula>0</formula>
    </cfRule>
  </conditionalFormatting>
  <conditionalFormatting sqref="D52:P56">
    <cfRule type="cellIs" dxfId="346" priority="4" operator="lessThan">
      <formula>0</formula>
    </cfRule>
  </conditionalFormatting>
  <conditionalFormatting sqref="D62:P66">
    <cfRule type="cellIs" dxfId="345" priority="3" operator="lessThan">
      <formula>0</formula>
    </cfRule>
  </conditionalFormatting>
  <conditionalFormatting sqref="S62:S66">
    <cfRule type="cellIs" dxfId="344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8CA4-C8A6-4C02-99C6-B9B0D521216D}">
  <sheetPr codeName="Hoja6">
    <tabColor rgb="FFFFFF00"/>
  </sheetPr>
  <dimension ref="B1:AC137"/>
  <sheetViews>
    <sheetView topLeftCell="A50" zoomScale="80" zoomScaleNormal="80" workbookViewId="0">
      <selection activeCell="F97" sqref="F97"/>
    </sheetView>
  </sheetViews>
  <sheetFormatPr baseColWidth="10" defaultColWidth="11.5" defaultRowHeight="14"/>
  <cols>
    <col min="1" max="1" width="11.5" style="13"/>
    <col min="2" max="2" width="19.83203125" style="13" bestFit="1" customWidth="1"/>
    <col min="3" max="3" width="28.5" style="13" customWidth="1"/>
    <col min="4" max="15" width="12" style="13" customWidth="1"/>
    <col min="16" max="17" width="11.5" style="13"/>
    <col min="18" max="18" width="12.5" style="13" bestFit="1" customWidth="1"/>
    <col min="19" max="19" width="14.5" style="13" bestFit="1" customWidth="1"/>
    <col min="20" max="16384" width="11.5" style="13"/>
  </cols>
  <sheetData>
    <row r="1" spans="2:20">
      <c r="D1" s="1547"/>
      <c r="E1" s="1547"/>
      <c r="F1" s="1547"/>
      <c r="G1" s="1547"/>
      <c r="H1" s="1547"/>
      <c r="I1" s="1547"/>
      <c r="J1" s="1547"/>
      <c r="K1" s="1547"/>
      <c r="L1" s="1547">
        <v>6853202.4746723399</v>
      </c>
      <c r="M1" s="1547">
        <f>+L10-L1</f>
        <v>73593.424598046578</v>
      </c>
      <c r="N1" s="2304">
        <f>+M1/L10</f>
        <v>1.0624454028708761E-2</v>
      </c>
      <c r="O1" s="1547"/>
    </row>
    <row r="2" spans="2:20" ht="15.75" customHeight="1" thickBot="1">
      <c r="D2" s="1547"/>
      <c r="E2" s="1547"/>
      <c r="F2" s="1547"/>
      <c r="G2" s="1547"/>
      <c r="H2" s="1547"/>
      <c r="I2" s="1547"/>
      <c r="J2" s="1547">
        <f t="shared" ref="J2:O2" si="0">+J17/1000</f>
        <v>641.80298562231769</v>
      </c>
      <c r="K2" s="1547">
        <f t="shared" si="0"/>
        <v>678.9957055793991</v>
      </c>
      <c r="L2" s="1547">
        <f t="shared" si="0"/>
        <v>666.9761251072963</v>
      </c>
      <c r="M2" s="1547">
        <f t="shared" si="0"/>
        <v>639.22703000000001</v>
      </c>
      <c r="N2" s="1547">
        <f t="shared" si="0"/>
        <v>617.98793000000001</v>
      </c>
      <c r="O2" s="1547">
        <f t="shared" si="0"/>
        <v>842.67783000000009</v>
      </c>
    </row>
    <row r="3" spans="2:20" ht="15" thickBot="1">
      <c r="B3" s="1551" t="s">
        <v>1335</v>
      </c>
      <c r="C3" s="1552" t="s">
        <v>1395</v>
      </c>
      <c r="D3" s="1552">
        <v>45658</v>
      </c>
      <c r="E3" s="1552">
        <v>45689</v>
      </c>
      <c r="F3" s="1552">
        <v>45717</v>
      </c>
      <c r="G3" s="1552">
        <v>45748</v>
      </c>
      <c r="H3" s="1552">
        <v>45778</v>
      </c>
      <c r="I3" s="1552">
        <v>45809</v>
      </c>
      <c r="J3" s="1552">
        <v>45839</v>
      </c>
      <c r="K3" s="1552">
        <v>45870</v>
      </c>
      <c r="L3" s="1552">
        <v>45901</v>
      </c>
      <c r="M3" s="1552">
        <v>45931</v>
      </c>
      <c r="N3" s="1552">
        <v>45962</v>
      </c>
      <c r="O3" s="1552">
        <v>45992</v>
      </c>
      <c r="P3" s="1553" t="s">
        <v>734</v>
      </c>
      <c r="R3" s="1551" t="s">
        <v>1335</v>
      </c>
      <c r="S3" s="1552" t="s">
        <v>1395</v>
      </c>
      <c r="T3" s="1552">
        <v>45658</v>
      </c>
    </row>
    <row r="4" spans="2:20" ht="15" thickBot="1">
      <c r="B4" s="1558" t="s">
        <v>1336</v>
      </c>
      <c r="C4" s="1567" t="s">
        <v>1344</v>
      </c>
      <c r="D4" s="1566">
        <f>+'Flujo Redco Chile'!C12</f>
        <v>362362.73390557943</v>
      </c>
      <c r="E4" s="1566">
        <f>+'Flujo Redco Chile'!D12</f>
        <v>547310.61909871246</v>
      </c>
      <c r="F4" s="1566">
        <f>+'Flujo Redco Chile'!E12</f>
        <v>389727.45708154509</v>
      </c>
      <c r="G4" s="1566">
        <f>+'Flujo Redco Chile'!F12</f>
        <v>237434.48497854077</v>
      </c>
      <c r="H4" s="1566">
        <f>+'Flujo Redco Chile'!G12</f>
        <v>272631.08476394851</v>
      </c>
      <c r="I4" s="1566">
        <f>+'Flujo Redco Chile'!H12</f>
        <v>277419.07296137337</v>
      </c>
      <c r="J4" s="1566">
        <f>+'Flujo Redco Chile'!I12</f>
        <v>475570.74892703863</v>
      </c>
      <c r="K4" s="1566">
        <f>+'Flujo Redco Chile'!J12</f>
        <v>151482.73712446351</v>
      </c>
      <c r="L4" s="1566">
        <f>+'Flujo Redco Chile'!K12</f>
        <v>297925.05042918457</v>
      </c>
      <c r="M4" s="1566">
        <f>+'Flujo Redco Chile'!L12</f>
        <v>158266.46030042917</v>
      </c>
      <c r="N4" s="2310">
        <f>+'Flujo Redco Chile'!M12</f>
        <v>248788.92596566523</v>
      </c>
      <c r="O4" s="2310">
        <f>+'Flujo Redco Chile'!N12</f>
        <v>173207.55042918454</v>
      </c>
      <c r="P4" s="1744">
        <f>SUM(D4:O4)</f>
        <v>3592126.9259656654</v>
      </c>
      <c r="R4" s="1554" t="s">
        <v>1336</v>
      </c>
      <c r="S4" s="1745" t="s">
        <v>1341</v>
      </c>
      <c r="T4" s="1768">
        <f>+'Flujo Redco Chile'!C8</f>
        <v>52257.137339055793</v>
      </c>
    </row>
    <row r="5" spans="2:20" ht="15" thickBot="1">
      <c r="B5" s="1558" t="s">
        <v>1337</v>
      </c>
      <c r="C5" s="1567" t="s">
        <v>1344</v>
      </c>
      <c r="D5" s="1566">
        <f>+'Flujo Redco Perú'!C13</f>
        <v>123848</v>
      </c>
      <c r="E5" s="1566">
        <f>+'Flujo Redco Perú'!D13</f>
        <v>62454</v>
      </c>
      <c r="F5" s="1566">
        <f>+'Flujo Redco Perú'!E13</f>
        <v>105377</v>
      </c>
      <c r="G5" s="1566">
        <f>+'Flujo Redco Perú'!F13</f>
        <v>110077</v>
      </c>
      <c r="H5" s="1566">
        <f>+'Flujo Redco Perú'!G13</f>
        <v>142610</v>
      </c>
      <c r="I5" s="1566">
        <f>+'Flujo Redco Perú'!H13</f>
        <v>229588</v>
      </c>
      <c r="J5" s="1566">
        <f>+'Flujo Redco Perú'!I13</f>
        <v>251702</v>
      </c>
      <c r="K5" s="1566">
        <f>+'Flujo Redco Perú'!J13</f>
        <v>641573</v>
      </c>
      <c r="L5" s="1566">
        <f>+'Flujo Redco Perú'!K13</f>
        <v>119133</v>
      </c>
      <c r="M5" s="1566">
        <f>+'Flujo Redco Perú'!L13</f>
        <v>265449</v>
      </c>
      <c r="N5" s="2310">
        <f>+'Flujo Redco Perú'!M13</f>
        <v>96110</v>
      </c>
      <c r="O5" s="2310">
        <f>+'Flujo Redco Perú'!N13</f>
        <v>269432</v>
      </c>
      <c r="P5" s="1744">
        <f>SUM(D5:O5)</f>
        <v>2417353</v>
      </c>
      <c r="R5" s="1554" t="s">
        <v>1337</v>
      </c>
      <c r="S5" s="1751" t="s">
        <v>1341</v>
      </c>
      <c r="T5" s="1744">
        <f>+'Flujo Redco Perú'!C9</f>
        <v>136767.69351264619</v>
      </c>
    </row>
    <row r="6" spans="2:20" ht="15" thickBot="1">
      <c r="B6" s="1558" t="s">
        <v>1338</v>
      </c>
      <c r="C6" s="1567" t="s">
        <v>1344</v>
      </c>
      <c r="D6" s="1566">
        <f>+'Flujo Redco Brasil'!C14</f>
        <v>80502</v>
      </c>
      <c r="E6" s="1566">
        <f>+'Flujo Redco Brasil'!D14</f>
        <v>59683</v>
      </c>
      <c r="F6" s="1566">
        <f>+'Flujo Redco Brasil'!E14</f>
        <v>96322</v>
      </c>
      <c r="G6" s="1566">
        <f>+'Flujo Redco Brasil'!F14</f>
        <v>97209.7</v>
      </c>
      <c r="H6" s="1566">
        <f>+'Flujo Redco Brasil'!G14</f>
        <v>37074</v>
      </c>
      <c r="I6" s="1566">
        <f>+'Flujo Redco Brasil'!H14</f>
        <v>66563</v>
      </c>
      <c r="J6" s="1566">
        <f>+'Flujo Redco Brasil'!I14</f>
        <v>47717</v>
      </c>
      <c r="K6" s="1566">
        <f>+'Flujo Redco Brasil'!J14</f>
        <v>119652</v>
      </c>
      <c r="L6" s="1566">
        <f>+'Flujo Redco Brasil'!K14</f>
        <v>203588</v>
      </c>
      <c r="M6" s="1566">
        <f>+'Flujo Redco Brasil'!L14</f>
        <v>325062</v>
      </c>
      <c r="N6" s="2310">
        <f>+'Flujo Redco Brasil'!M14</f>
        <v>239603</v>
      </c>
      <c r="O6" s="2310">
        <f>+'Flujo Redco Brasil'!N14</f>
        <v>224116.50999999998</v>
      </c>
      <c r="P6" s="1744">
        <f>SUM(D6:O6)</f>
        <v>1597092.21</v>
      </c>
      <c r="R6" s="1554" t="s">
        <v>1338</v>
      </c>
      <c r="S6" s="1751" t="s">
        <v>1341</v>
      </c>
      <c r="T6" s="1744">
        <f>+'Flujo Redco Brasil'!C9</f>
        <v>9622.33</v>
      </c>
    </row>
    <row r="7" spans="2:20" ht="15" thickBot="1">
      <c r="B7" s="1558" t="s">
        <v>790</v>
      </c>
      <c r="C7" s="1567" t="s">
        <v>1344</v>
      </c>
      <c r="D7" s="1566">
        <f>+'Flujo Redco USA'!C13</f>
        <v>150453</v>
      </c>
      <c r="E7" s="1566">
        <f>+'Flujo Redco USA'!D13</f>
        <v>243465.21</v>
      </c>
      <c r="F7" s="1566">
        <f>+'Flujo Redco USA'!E13</f>
        <v>141526</v>
      </c>
      <c r="G7" s="1566">
        <f>+'Flujo Redco USA'!F13</f>
        <v>169200</v>
      </c>
      <c r="H7" s="1566">
        <f>+'Flujo Redco USA'!G13</f>
        <v>195090</v>
      </c>
      <c r="I7" s="1566">
        <f>+'Flujo Redco USA'!H13</f>
        <v>61796</v>
      </c>
      <c r="J7" s="1566">
        <f>+'Flujo Redco USA'!I13</f>
        <v>0</v>
      </c>
      <c r="K7" s="1566">
        <f>+'Flujo Redco USA'!J13</f>
        <v>20000</v>
      </c>
      <c r="L7" s="1566">
        <f>+'Flujo Redco USA'!K13</f>
        <v>0</v>
      </c>
      <c r="M7" s="1566">
        <f>+'Flujo Redco USA'!L13</f>
        <v>45000</v>
      </c>
      <c r="N7" s="2310">
        <f>+'Flujo Redco USA'!M13</f>
        <v>0</v>
      </c>
      <c r="O7" s="2310">
        <f>+'Flujo Redco USA'!N13</f>
        <v>178785</v>
      </c>
      <c r="P7" s="1744">
        <f>SUM(D7:O7)</f>
        <v>1205315.21</v>
      </c>
      <c r="Q7" s="600"/>
      <c r="R7" s="1558" t="s">
        <v>790</v>
      </c>
      <c r="S7" s="1751" t="s">
        <v>1341</v>
      </c>
      <c r="T7" s="1744">
        <f>+'Flujo Redco USA'!C9</f>
        <v>55345</v>
      </c>
    </row>
    <row r="8" spans="2:20" ht="15" thickBot="1">
      <c r="B8" s="1558" t="s">
        <v>1573</v>
      </c>
      <c r="C8" s="1567" t="s">
        <v>1344</v>
      </c>
      <c r="D8" s="2308">
        <f>+'Flujo Redco BVI'!C13</f>
        <v>0</v>
      </c>
      <c r="E8" s="2308">
        <f>+'Flujo Redco BVI'!D13</f>
        <v>21682</v>
      </c>
      <c r="F8" s="2308">
        <f>+'Flujo Redco BVI'!E13</f>
        <v>45478</v>
      </c>
      <c r="G8" s="2308">
        <f>+'Flujo Redco BVI'!F13</f>
        <v>0</v>
      </c>
      <c r="H8" s="2308">
        <f>+'Flujo Redco BVI'!G13</f>
        <v>0</v>
      </c>
      <c r="I8" s="2308">
        <f>+'Flujo Redco BVI'!H13</f>
        <v>172045</v>
      </c>
      <c r="J8" s="2308">
        <f>+'Flujo Redco BVI'!I13</f>
        <v>0</v>
      </c>
      <c r="K8" s="2308">
        <f>+'Flujo Redco BVI'!J13</f>
        <v>99524</v>
      </c>
      <c r="L8" s="2308">
        <f>+'Flujo Redco BVI'!K13</f>
        <v>0</v>
      </c>
      <c r="M8" s="2308">
        <f>+'Flujo Redco BVI'!L13</f>
        <v>0</v>
      </c>
      <c r="N8" s="2310">
        <f>+'Flujo Redco BVI'!M13</f>
        <v>0</v>
      </c>
      <c r="O8" s="2310">
        <f>+'Flujo Redco BVI'!N13</f>
        <v>0</v>
      </c>
      <c r="P8" s="1744">
        <f>SUM(D8:O8)</f>
        <v>338729</v>
      </c>
      <c r="Q8" s="600">
        <v>415000</v>
      </c>
      <c r="R8" s="1558" t="s">
        <v>1388</v>
      </c>
      <c r="S8" s="1751" t="s">
        <v>1341</v>
      </c>
      <c r="T8" s="1566">
        <f>+'Flujo Redco BVI'!S13</f>
        <v>0</v>
      </c>
    </row>
    <row r="9" spans="2:20" ht="18.75" customHeight="1" thickBot="1">
      <c r="B9" s="1568" t="s">
        <v>212</v>
      </c>
      <c r="C9" s="1560" t="s">
        <v>1344</v>
      </c>
      <c r="D9" s="1569">
        <f>SUM(D4:D8)</f>
        <v>717165.73390557943</v>
      </c>
      <c r="E9" s="1569">
        <f t="shared" ref="E9:O9" si="1">SUM(E4:E8)</f>
        <v>934594.82909871242</v>
      </c>
      <c r="F9" s="1569">
        <f t="shared" si="1"/>
        <v>778430.45708154514</v>
      </c>
      <c r="G9" s="1569">
        <f t="shared" si="1"/>
        <v>613921.18497854075</v>
      </c>
      <c r="H9" s="1569">
        <f t="shared" si="1"/>
        <v>647405.08476394857</v>
      </c>
      <c r="I9" s="1569">
        <f t="shared" si="1"/>
        <v>807411.07296137337</v>
      </c>
      <c r="J9" s="1569">
        <f t="shared" si="1"/>
        <v>774989.74892703863</v>
      </c>
      <c r="K9" s="1569">
        <f t="shared" si="1"/>
        <v>1032231.7371244635</v>
      </c>
      <c r="L9" s="1569">
        <f t="shared" si="1"/>
        <v>620646.05042918457</v>
      </c>
      <c r="M9" s="1569">
        <f t="shared" si="1"/>
        <v>793777.46030042914</v>
      </c>
      <c r="N9" s="1569">
        <f t="shared" si="1"/>
        <v>584501.92596566526</v>
      </c>
      <c r="O9" s="1569">
        <f t="shared" si="1"/>
        <v>845541.06042918458</v>
      </c>
      <c r="P9" s="1569">
        <f>SUM(P4:P8)</f>
        <v>9150616.3459656648</v>
      </c>
      <c r="Q9" s="600"/>
      <c r="R9" s="1555" t="s">
        <v>1349</v>
      </c>
      <c r="S9" s="1555" t="s">
        <v>1349</v>
      </c>
      <c r="T9" s="1556">
        <f>SUM(T4:T8)</f>
        <v>253992.16085170198</v>
      </c>
    </row>
    <row r="10" spans="2:20" ht="18.75" customHeight="1" thickBot="1">
      <c r="B10" s="1763"/>
      <c r="C10" s="1764" t="s">
        <v>1396</v>
      </c>
      <c r="D10" s="1765">
        <f>+SUM($D$9:D9)</f>
        <v>717165.73390557943</v>
      </c>
      <c r="E10" s="1765">
        <f>+SUM($D$9:E9)</f>
        <v>1651760.5630042918</v>
      </c>
      <c r="F10" s="1765">
        <f>+SUM($D$9:F9)</f>
        <v>2430191.0200858368</v>
      </c>
      <c r="G10" s="1765">
        <f>+SUM($D$9:G9)</f>
        <v>3044112.2050643777</v>
      </c>
      <c r="H10" s="1765">
        <f>+SUM($D$9:H9)</f>
        <v>3691517.2898283266</v>
      </c>
      <c r="I10" s="1765">
        <f>+SUM($D$9:I9)</f>
        <v>4498928.3627896998</v>
      </c>
      <c r="J10" s="1765">
        <f>+SUM($D$9:J9)</f>
        <v>5273918.111716738</v>
      </c>
      <c r="K10" s="1765">
        <f>+SUM($D$9:K9)</f>
        <v>6306149.8488412015</v>
      </c>
      <c r="L10" s="2305">
        <f>+SUM($D$9:L9)</f>
        <v>6926795.8992703864</v>
      </c>
      <c r="M10" s="1765">
        <f>+SUM($D$9:M9)</f>
        <v>7720573.3595708152</v>
      </c>
      <c r="N10" s="1765">
        <f>+SUM($D$9:N9)</f>
        <v>8305075.2855364801</v>
      </c>
      <c r="O10" s="1765">
        <f>+SUM($D$9:O9)</f>
        <v>9150616.3459656648</v>
      </c>
      <c r="P10" s="1765"/>
      <c r="Q10" s="600"/>
      <c r="R10" s="599"/>
    </row>
    <row r="11" spans="2:20" ht="18.75" customHeight="1" thickBot="1">
      <c r="B11" s="1551" t="s">
        <v>1335</v>
      </c>
      <c r="C11" s="1552" t="s">
        <v>1395</v>
      </c>
      <c r="D11" s="1552">
        <v>45658</v>
      </c>
      <c r="E11" s="1552">
        <v>45689</v>
      </c>
      <c r="F11" s="1552">
        <v>45717</v>
      </c>
      <c r="G11" s="1552">
        <v>45748</v>
      </c>
      <c r="H11" s="1552">
        <v>45778</v>
      </c>
      <c r="I11" s="1552">
        <v>45809</v>
      </c>
      <c r="J11" s="1552">
        <v>45839</v>
      </c>
      <c r="K11" s="1552">
        <v>45870</v>
      </c>
      <c r="L11" s="1552">
        <v>45901</v>
      </c>
      <c r="M11" s="1552">
        <v>45931</v>
      </c>
      <c r="N11" s="1552">
        <v>45962</v>
      </c>
      <c r="O11" s="1552">
        <v>45992</v>
      </c>
      <c r="P11" s="1553" t="s">
        <v>734</v>
      </c>
      <c r="Q11" s="600"/>
      <c r="R11" s="599"/>
    </row>
    <row r="12" spans="2:20" ht="15" thickBot="1">
      <c r="B12" s="1554" t="s">
        <v>1336</v>
      </c>
      <c r="C12" s="1761" t="s">
        <v>1345</v>
      </c>
      <c r="D12" s="1762">
        <f>+'Flujo Redco Chile'!C18+'Flujo Redco Chile'!C23+'Flujo Redco Chile'!C25</f>
        <v>397276.64806866954</v>
      </c>
      <c r="E12" s="1762">
        <f>+'Flujo Redco Chile'!D18+'Flujo Redco Chile'!D23+'Flujo Redco Chile'!D25</f>
        <v>422126.63733905577</v>
      </c>
      <c r="F12" s="1762">
        <f>+'Flujo Redco Chile'!E18+'Flujo Redco Chile'!E23+'Flujo Redco Chile'!E25</f>
        <v>439899.17918454937</v>
      </c>
      <c r="G12" s="1762">
        <f>+'Flujo Redco Chile'!F18+'Flujo Redco Chile'!F23+'Flujo Redco Chile'!F25</f>
        <v>341507.34656652366</v>
      </c>
      <c r="H12" s="1762">
        <f>+'Flujo Redco Chile'!G18+'Flujo Redco Chile'!G23+'Flujo Redco Chile'!G25</f>
        <v>340134.80364806874</v>
      </c>
      <c r="I12" s="1762">
        <f>+'Flujo Redco Chile'!H18+'Flujo Redco Chile'!H23+'Flujo Redco Chile'!H25</f>
        <v>380566.1684549356</v>
      </c>
      <c r="J12" s="1762">
        <f>+'Flujo Redco Chile'!I18+'Flujo Redco Chile'!I23+'Flujo Redco Chile'!I25</f>
        <v>395727.1856223176</v>
      </c>
      <c r="K12" s="1762">
        <f>+'Flujo Redco Chile'!J18+'Flujo Redco Chile'!J23+'Flujo Redco Chile'!J25</f>
        <v>425248.90557939914</v>
      </c>
      <c r="L12" s="1762">
        <f>+'Flujo Redco Chile'!K18+'Flujo Redco Chile'!K23+'Flujo Redco Chile'!K25</f>
        <v>455871.32510729617</v>
      </c>
      <c r="M12" s="2313">
        <v>425000</v>
      </c>
      <c r="N12" s="2313">
        <v>425000</v>
      </c>
      <c r="O12" s="2313">
        <v>425000</v>
      </c>
      <c r="P12" s="1757">
        <f>SUM(D12:O12)</f>
        <v>4873358.199570816</v>
      </c>
      <c r="Q12" s="1746"/>
    </row>
    <row r="13" spans="2:20" ht="15" thickBot="1">
      <c r="B13" s="1554" t="s">
        <v>1337</v>
      </c>
      <c r="C13" s="1754" t="s">
        <v>1345</v>
      </c>
      <c r="D13" s="1753">
        <f>+'Flujo Redco Perú'!C19+'Flujo Redco Perú'!C26+'Flujo Redco Perú'!C28</f>
        <v>89462.85</v>
      </c>
      <c r="E13" s="1753">
        <f>+'Flujo Redco Perú'!D19+'Flujo Redco Perú'!D26+'Flujo Redco Perú'!D28</f>
        <v>81597</v>
      </c>
      <c r="F13" s="1753">
        <f>+'Flujo Redco Perú'!E19+'Flujo Redco Perú'!E26+'Flujo Redco Perú'!E28</f>
        <v>92755</v>
      </c>
      <c r="G13" s="1753">
        <f>+'Flujo Redco Perú'!F19+'Flujo Redco Perú'!F26+'Flujo Redco Perú'!F28</f>
        <v>137672.29999999999</v>
      </c>
      <c r="H13" s="1753">
        <f>+'Flujo Redco Perú'!G19+'Flujo Redco Perú'!G26+'Flujo Redco Perú'!G28</f>
        <v>128924</v>
      </c>
      <c r="I13" s="1753">
        <f>+'Flujo Redco Perú'!H19+'Flujo Redco Perú'!H26+'Flujo Redco Perú'!H28</f>
        <v>167995</v>
      </c>
      <c r="J13" s="1753">
        <f>+'Flujo Redco Perú'!I19+'Flujo Redco Perú'!I26+'Flujo Redco Perú'!I28</f>
        <v>199355</v>
      </c>
      <c r="K13" s="1753">
        <f>+'Flujo Redco Perú'!J19+'Flujo Redco Perú'!J26+'Flujo Redco Perú'!J28</f>
        <v>225572</v>
      </c>
      <c r="L13" s="1753">
        <f>+'Flujo Redco Perú'!K19+'Flujo Redco Perú'!K26+'Flujo Redco Perú'!K28</f>
        <v>127097</v>
      </c>
      <c r="M13" s="2310">
        <v>106082.23000000001</v>
      </c>
      <c r="N13" s="2310">
        <v>138332.13</v>
      </c>
      <c r="O13" s="2310">
        <v>170582.03000000003</v>
      </c>
      <c r="P13" s="1567">
        <f>SUM(D13:O13)</f>
        <v>1665426.5399999998</v>
      </c>
      <c r="Q13" s="561"/>
      <c r="R13" s="599"/>
    </row>
    <row r="14" spans="2:20" ht="15" thickBot="1">
      <c r="B14" s="1554" t="s">
        <v>1338</v>
      </c>
      <c r="C14" s="1754" t="s">
        <v>1345</v>
      </c>
      <c r="D14" s="1753">
        <f>+'Flujo Redco Brasil'!C20+'Flujo Redco Brasil'!C25+'Flujo Redco Brasil'!C27</f>
        <v>21023</v>
      </c>
      <c r="E14" s="1753">
        <f>+'Flujo Redco Brasil'!D20+'Flujo Redco Brasil'!D25+'Flujo Redco Brasil'!D27</f>
        <v>27812</v>
      </c>
      <c r="F14" s="1753">
        <f>+'Flujo Redco Brasil'!E20+'Flujo Redco Brasil'!E25+'Flujo Redco Brasil'!E27</f>
        <v>26425</v>
      </c>
      <c r="G14" s="1753">
        <f>+'Flujo Redco Brasil'!F20+'Flujo Redco Brasil'!F25+'Flujo Redco Brasil'!F27</f>
        <v>52004.4</v>
      </c>
      <c r="H14" s="1753">
        <f>+'Flujo Redco Brasil'!G20+'Flujo Redco Brasil'!G25+'Flujo Redco Brasil'!G27</f>
        <v>33329</v>
      </c>
      <c r="I14" s="1753">
        <f>+'Flujo Redco Brasil'!H20+'Flujo Redco Brasil'!H25+'Flujo Redco Brasil'!H27</f>
        <v>76286</v>
      </c>
      <c r="J14" s="1753">
        <f>+'Flujo Redco Brasil'!I20+'Flujo Redco Brasil'!I25+'Flujo Redco Brasil'!I27</f>
        <v>31019</v>
      </c>
      <c r="K14" s="1753">
        <f>+'Flujo Redco Brasil'!J20+'Flujo Redco Brasil'!J25+'Flujo Redco Brasil'!J27</f>
        <v>21475</v>
      </c>
      <c r="L14" s="1753">
        <f>+'Flujo Redco Brasil'!K20+'Flujo Redco Brasil'!K25+'Flujo Redco Brasil'!K27</f>
        <v>77323</v>
      </c>
      <c r="M14" s="2310">
        <f>+'Flujo Redco Brasil'!L20+'Flujo Redco Brasil'!L25+'Flujo Redco Brasil'!L27</f>
        <v>14049</v>
      </c>
      <c r="N14" s="2310">
        <f>+'Flujo Redco Brasil'!M20+'Flujo Redco Brasil'!M25+'Flujo Redco Brasil'!M27</f>
        <v>47971</v>
      </c>
      <c r="O14" s="2310">
        <f>+'Flujo Redco Brasil'!N20+'Flujo Redco Brasil'!N25+'Flujo Redco Brasil'!N27</f>
        <v>23001</v>
      </c>
      <c r="P14" s="1567">
        <f>SUM(D14:O14)</f>
        <v>451717.4</v>
      </c>
      <c r="Q14" s="561"/>
    </row>
    <row r="15" spans="2:20" ht="15" thickBot="1">
      <c r="B15" s="1558" t="s">
        <v>790</v>
      </c>
      <c r="C15" s="1754" t="s">
        <v>1345</v>
      </c>
      <c r="D15" s="1753">
        <f>+'Flujo Redco USA'!C19+'Flujo Redco USA'!C27+'Flujo Redco USA'!C29</f>
        <v>15</v>
      </c>
      <c r="E15" s="1753">
        <f>+'Flujo Redco USA'!D19+'Flujo Redco USA'!D27+'Flujo Redco USA'!D29</f>
        <v>2025</v>
      </c>
      <c r="F15" s="1753">
        <f>+'Flujo Redco USA'!E19+'Flujo Redco USA'!E27+'Flujo Redco USA'!E29</f>
        <v>58728</v>
      </c>
      <c r="G15" s="1753">
        <f>+'Flujo Redco USA'!F19+'Flujo Redco USA'!F27+'Flujo Redco USA'!F29</f>
        <v>9898</v>
      </c>
      <c r="H15" s="1753">
        <f>+'Flujo Redco USA'!G19+'Flujo Redco USA'!G27+'Flujo Redco USA'!G29</f>
        <v>47666</v>
      </c>
      <c r="I15" s="1753">
        <f>+'Flujo Redco USA'!H19+'Flujo Redco USA'!H27+'Flujo Redco USA'!H29</f>
        <v>4178</v>
      </c>
      <c r="J15" s="1753">
        <f>+'Flujo Redco USA'!I19+'Flujo Redco USA'!I27+'Flujo Redco USA'!I29</f>
        <v>10017</v>
      </c>
      <c r="K15" s="1753">
        <f>+'Flujo Redco USA'!J19+'Flujo Redco USA'!J27+'Flujo Redco USA'!J29</f>
        <v>1015</v>
      </c>
      <c r="L15" s="1753">
        <f>+'Flujo Redco USA'!K19+'Flujo Redco USA'!K27+'Flujo Redco USA'!K29</f>
        <v>1000</v>
      </c>
      <c r="M15" s="2310">
        <f>+'Flujo Redco USA'!L19+'Flujo Redco USA'!L27+'Flujo Redco USA'!L29</f>
        <v>88411</v>
      </c>
      <c r="N15" s="2310">
        <f>+'Flujo Redco USA'!M19+'Flujo Redco USA'!M27+'Flujo Redco USA'!M29</f>
        <v>1000</v>
      </c>
      <c r="O15" s="2310">
        <f>+'Flujo Redco USA'!N19+'Flujo Redco USA'!N27+'Flujo Redco USA'!N29</f>
        <v>218410</v>
      </c>
      <c r="P15" s="1567">
        <f t="shared" ref="P15:P24" si="2">SUM(D15:O15)</f>
        <v>442363</v>
      </c>
      <c r="Q15" s="1747"/>
    </row>
    <row r="16" spans="2:20" ht="15" thickBot="1">
      <c r="B16" s="1558" t="s">
        <v>1573</v>
      </c>
      <c r="C16" s="1754" t="s">
        <v>1345</v>
      </c>
      <c r="D16" s="2307">
        <f>+'Flujo Redco BVI'!C19+'Flujo Redco BVI'!C27+'Flujo Redco BVI'!C29</f>
        <v>14044</v>
      </c>
      <c r="E16" s="2307">
        <f>+'Flujo Redco BVI'!D19+'Flujo Redco BVI'!D27+'Flujo Redco BVI'!D29</f>
        <v>0</v>
      </c>
      <c r="F16" s="2307">
        <f>+'Flujo Redco BVI'!E19+'Flujo Redco BVI'!E27+'Flujo Redco BVI'!E29</f>
        <v>0</v>
      </c>
      <c r="G16" s="2307">
        <f>+'Flujo Redco BVI'!F19+'Flujo Redco BVI'!F27+'Flujo Redco BVI'!F29</f>
        <v>14380</v>
      </c>
      <c r="H16" s="2307">
        <f>+'Flujo Redco BVI'!G19+'Flujo Redco BVI'!G27+'Flujo Redco BVI'!G29</f>
        <v>16000</v>
      </c>
      <c r="I16" s="2307">
        <f>+'Flujo Redco BVI'!H19+'Flujo Redco BVI'!H27+'Flujo Redco BVI'!H29</f>
        <v>15094</v>
      </c>
      <c r="J16" s="2307">
        <f>+'Flujo Redco BVI'!I19+'Flujo Redco BVI'!I27+'Flujo Redco BVI'!I29</f>
        <v>5684.8</v>
      </c>
      <c r="K16" s="2307">
        <f>+'Flujo Redco BVI'!J19+'Flujo Redco BVI'!J27+'Flujo Redco BVI'!J29</f>
        <v>5684.8</v>
      </c>
      <c r="L16" s="2307">
        <f>+'Flujo Redco BVI'!K19+'Flujo Redco BVI'!K27+'Flujo Redco BVI'!K29</f>
        <v>5684.8</v>
      </c>
      <c r="M16" s="2310">
        <f>+'Flujo Redco BVI'!L19+'Flujo Redco BVI'!L27+'Flujo Redco BVI'!L29</f>
        <v>5684.8</v>
      </c>
      <c r="N16" s="2310">
        <f>+'Flujo Redco BVI'!M19+'Flujo Redco BVI'!M27+'Flujo Redco BVI'!M29</f>
        <v>5684.8</v>
      </c>
      <c r="O16" s="2310">
        <f>+'Flujo Redco BVI'!N19+'Flujo Redco BVI'!N27+'Flujo Redco BVI'!N29</f>
        <v>5684.8</v>
      </c>
      <c r="P16" s="1567">
        <f t="shared" si="2"/>
        <v>93626.800000000017</v>
      </c>
      <c r="Q16" s="1747"/>
    </row>
    <row r="17" spans="2:21" ht="20.25" customHeight="1" thickBot="1">
      <c r="B17" s="1568" t="s">
        <v>212</v>
      </c>
      <c r="C17" s="1755" t="s">
        <v>1345</v>
      </c>
      <c r="D17" s="1755">
        <f>SUM(D12:D16)</f>
        <v>521821.49806866958</v>
      </c>
      <c r="E17" s="1755">
        <f t="shared" ref="E17:O17" si="3">SUM(E12:E16)</f>
        <v>533560.63733905577</v>
      </c>
      <c r="F17" s="1755">
        <f t="shared" si="3"/>
        <v>617807.17918454937</v>
      </c>
      <c r="G17" s="1755">
        <f t="shared" si="3"/>
        <v>555462.04656652361</v>
      </c>
      <c r="H17" s="1755">
        <f t="shared" si="3"/>
        <v>566053.8036480688</v>
      </c>
      <c r="I17" s="1755">
        <f t="shared" si="3"/>
        <v>644119.16845493554</v>
      </c>
      <c r="J17" s="1755">
        <f t="shared" si="3"/>
        <v>641802.98562231765</v>
      </c>
      <c r="K17" s="1755">
        <f t="shared" si="3"/>
        <v>678995.70557939913</v>
      </c>
      <c r="L17" s="1755">
        <f t="shared" si="3"/>
        <v>666976.12510729628</v>
      </c>
      <c r="M17" s="1755">
        <f t="shared" si="3"/>
        <v>639227.03</v>
      </c>
      <c r="N17" s="1755">
        <f t="shared" si="3"/>
        <v>617987.93000000005</v>
      </c>
      <c r="O17" s="1755">
        <f t="shared" si="3"/>
        <v>842677.83000000007</v>
      </c>
      <c r="P17" s="1755">
        <f t="shared" si="2"/>
        <v>7526491.9395708153</v>
      </c>
      <c r="Q17" s="600"/>
      <c r="R17" s="1748"/>
    </row>
    <row r="18" spans="2:21" ht="20.25" customHeight="1" thickBot="1">
      <c r="B18" s="1763"/>
      <c r="C18" s="1764" t="s">
        <v>1397</v>
      </c>
      <c r="D18" s="1765">
        <f>+SUM($D$17:D17)</f>
        <v>521821.49806866958</v>
      </c>
      <c r="E18" s="1765">
        <f>+SUM($D$17:E17)</f>
        <v>1055382.1354077253</v>
      </c>
      <c r="F18" s="1765">
        <f>+SUM($D$17:F17)</f>
        <v>1673189.3145922748</v>
      </c>
      <c r="G18" s="1765">
        <f>+SUM($D$17:G17)</f>
        <v>2228651.3611587984</v>
      </c>
      <c r="H18" s="1765">
        <f>+SUM($D$17:H17)</f>
        <v>2794705.164806867</v>
      </c>
      <c r="I18" s="1765">
        <f>+SUM($D$17:I17)</f>
        <v>3438824.3332618028</v>
      </c>
      <c r="J18" s="1765">
        <f>+SUM($D$17:J17)</f>
        <v>4080627.3188841203</v>
      </c>
      <c r="K18" s="1765">
        <f>+SUM($D$17:K17)</f>
        <v>4759623.0244635195</v>
      </c>
      <c r="L18" s="2305">
        <f>+SUM($D$17:L17)</f>
        <v>5426599.1495708153</v>
      </c>
      <c r="M18" s="1765">
        <f>+SUM($D$17:M17)</f>
        <v>6065826.1795708155</v>
      </c>
      <c r="N18" s="1765">
        <f>+SUM($D$17:N17)</f>
        <v>6683814.1095708152</v>
      </c>
      <c r="O18" s="1765">
        <f>+SUM($D$17:O17)</f>
        <v>7526491.9395708153</v>
      </c>
      <c r="P18" s="1765"/>
      <c r="Q18" s="600"/>
      <c r="R18" s="1748"/>
    </row>
    <row r="19" spans="2:21" ht="20.25" customHeight="1" thickBot="1">
      <c r="B19" s="1551" t="s">
        <v>1335</v>
      </c>
      <c r="C19" s="1552" t="s">
        <v>1395</v>
      </c>
      <c r="D19" s="1552">
        <v>45658</v>
      </c>
      <c r="E19" s="1552">
        <v>45689</v>
      </c>
      <c r="F19" s="1552">
        <v>45717</v>
      </c>
      <c r="G19" s="1552">
        <v>45748</v>
      </c>
      <c r="H19" s="1552">
        <v>45778</v>
      </c>
      <c r="I19" s="1552">
        <v>45809</v>
      </c>
      <c r="J19" s="1552">
        <v>45839</v>
      </c>
      <c r="K19" s="1552">
        <v>45870</v>
      </c>
      <c r="L19" s="1552">
        <v>45901</v>
      </c>
      <c r="M19" s="1552">
        <v>45931</v>
      </c>
      <c r="N19" s="1552">
        <v>45962</v>
      </c>
      <c r="O19" s="1552">
        <v>45992</v>
      </c>
      <c r="P19" s="1553" t="s">
        <v>734</v>
      </c>
      <c r="Q19" s="600"/>
      <c r="R19" s="1748"/>
    </row>
    <row r="20" spans="2:21" ht="15" thickBot="1">
      <c r="B20" s="1554" t="s">
        <v>1336</v>
      </c>
      <c r="C20" s="1567" t="s">
        <v>1343</v>
      </c>
      <c r="D20" s="1756">
        <f>+D4-D12</f>
        <v>-34913.914163090114</v>
      </c>
      <c r="E20" s="1756">
        <f t="shared" ref="E20:O20" si="4">+E4-E12</f>
        <v>125183.98175965669</v>
      </c>
      <c r="F20" s="1756">
        <f t="shared" si="4"/>
        <v>-50171.722103004286</v>
      </c>
      <c r="G20" s="1756">
        <f t="shared" si="4"/>
        <v>-104072.86158798289</v>
      </c>
      <c r="H20" s="1756">
        <f t="shared" si="4"/>
        <v>-67503.71888412023</v>
      </c>
      <c r="I20" s="1756">
        <f t="shared" si="4"/>
        <v>-103147.09549356223</v>
      </c>
      <c r="J20" s="1756">
        <f t="shared" si="4"/>
        <v>79843.563304721029</v>
      </c>
      <c r="K20" s="1756">
        <f t="shared" si="4"/>
        <v>-273766.16845493566</v>
      </c>
      <c r="L20" s="1756">
        <f t="shared" si="4"/>
        <v>-157946.2746781116</v>
      </c>
      <c r="M20" s="1756">
        <f t="shared" si="4"/>
        <v>-266733.53969957086</v>
      </c>
      <c r="N20" s="1756">
        <f t="shared" si="4"/>
        <v>-176211.07403433477</v>
      </c>
      <c r="O20" s="1756">
        <f t="shared" si="4"/>
        <v>-251792.44957081546</v>
      </c>
      <c r="P20" s="1757">
        <f t="shared" si="2"/>
        <v>-1281231.2736051504</v>
      </c>
      <c r="Q20" s="600"/>
      <c r="R20" s="599"/>
    </row>
    <row r="21" spans="2:21" ht="15" thickBot="1">
      <c r="B21" s="1554" t="s">
        <v>1337</v>
      </c>
      <c r="C21" s="1567" t="s">
        <v>1343</v>
      </c>
      <c r="D21" s="1756">
        <f t="shared" ref="D21:O24" si="5">+D5-D13</f>
        <v>34385.149999999994</v>
      </c>
      <c r="E21" s="1756">
        <f t="shared" si="5"/>
        <v>-19143</v>
      </c>
      <c r="F21" s="1756">
        <f t="shared" si="5"/>
        <v>12622</v>
      </c>
      <c r="G21" s="1756">
        <f t="shared" si="5"/>
        <v>-27595.299999999988</v>
      </c>
      <c r="H21" s="1756">
        <f t="shared" si="5"/>
        <v>13686</v>
      </c>
      <c r="I21" s="1756">
        <f t="shared" si="5"/>
        <v>61593</v>
      </c>
      <c r="J21" s="1756">
        <f t="shared" si="5"/>
        <v>52347</v>
      </c>
      <c r="K21" s="1756">
        <f t="shared" si="5"/>
        <v>416001</v>
      </c>
      <c r="L21" s="1756">
        <f t="shared" si="5"/>
        <v>-7964</v>
      </c>
      <c r="M21" s="1756">
        <f t="shared" si="5"/>
        <v>159366.76999999999</v>
      </c>
      <c r="N21" s="1756">
        <f t="shared" si="5"/>
        <v>-42222.130000000005</v>
      </c>
      <c r="O21" s="1756">
        <f t="shared" si="5"/>
        <v>98849.969999999972</v>
      </c>
      <c r="P21" s="1758">
        <f t="shared" si="2"/>
        <v>751926.46</v>
      </c>
    </row>
    <row r="22" spans="2:21" ht="15" thickBot="1">
      <c r="B22" s="1554" t="s">
        <v>1338</v>
      </c>
      <c r="C22" s="1567" t="s">
        <v>1343</v>
      </c>
      <c r="D22" s="1756">
        <f t="shared" si="5"/>
        <v>59479</v>
      </c>
      <c r="E22" s="1756">
        <f t="shared" si="5"/>
        <v>31871</v>
      </c>
      <c r="F22" s="1756">
        <f t="shared" si="5"/>
        <v>69897</v>
      </c>
      <c r="G22" s="1756">
        <f t="shared" si="5"/>
        <v>45205.299999999996</v>
      </c>
      <c r="H22" s="1756">
        <f t="shared" si="5"/>
        <v>3745</v>
      </c>
      <c r="I22" s="1756">
        <f t="shared" si="5"/>
        <v>-9723</v>
      </c>
      <c r="J22" s="1756">
        <f t="shared" si="5"/>
        <v>16698</v>
      </c>
      <c r="K22" s="1756">
        <f t="shared" si="5"/>
        <v>98177</v>
      </c>
      <c r="L22" s="1756">
        <f t="shared" si="5"/>
        <v>126265</v>
      </c>
      <c r="M22" s="1756">
        <f t="shared" si="5"/>
        <v>311013</v>
      </c>
      <c r="N22" s="1756">
        <f t="shared" si="5"/>
        <v>191632</v>
      </c>
      <c r="O22" s="1756">
        <f t="shared" si="5"/>
        <v>201115.50999999998</v>
      </c>
      <c r="P22" s="1758">
        <f t="shared" si="2"/>
        <v>1145374.81</v>
      </c>
      <c r="Q22" s="599"/>
    </row>
    <row r="23" spans="2:21" ht="15" thickBot="1">
      <c r="B23" s="1558" t="s">
        <v>790</v>
      </c>
      <c r="C23" s="1567" t="s">
        <v>1343</v>
      </c>
      <c r="D23" s="1756">
        <f t="shared" si="5"/>
        <v>150438</v>
      </c>
      <c r="E23" s="1756">
        <f t="shared" si="5"/>
        <v>241440.21</v>
      </c>
      <c r="F23" s="1756">
        <f t="shared" si="5"/>
        <v>82798</v>
      </c>
      <c r="G23" s="1756">
        <f t="shared" si="5"/>
        <v>159302</v>
      </c>
      <c r="H23" s="1756">
        <f t="shared" si="5"/>
        <v>147424</v>
      </c>
      <c r="I23" s="1756">
        <f t="shared" si="5"/>
        <v>57618</v>
      </c>
      <c r="J23" s="1756">
        <f t="shared" si="5"/>
        <v>-10017</v>
      </c>
      <c r="K23" s="1756">
        <f t="shared" si="5"/>
        <v>18985</v>
      </c>
      <c r="L23" s="1756">
        <f t="shared" si="5"/>
        <v>-1000</v>
      </c>
      <c r="M23" s="1756">
        <f t="shared" si="5"/>
        <v>-43411</v>
      </c>
      <c r="N23" s="1756">
        <f t="shared" si="5"/>
        <v>-1000</v>
      </c>
      <c r="O23" s="1756">
        <f t="shared" si="5"/>
        <v>-39625</v>
      </c>
      <c r="P23" s="1744">
        <f t="shared" si="2"/>
        <v>762952.21</v>
      </c>
      <c r="Q23" s="600"/>
    </row>
    <row r="24" spans="2:21" ht="15" thickBot="1">
      <c r="B24" s="1558" t="s">
        <v>1573</v>
      </c>
      <c r="C24" s="1567" t="s">
        <v>1343</v>
      </c>
      <c r="D24" s="1756">
        <f t="shared" si="5"/>
        <v>-14044</v>
      </c>
      <c r="E24" s="1756">
        <f t="shared" si="5"/>
        <v>21682</v>
      </c>
      <c r="F24" s="1756">
        <f t="shared" si="5"/>
        <v>45478</v>
      </c>
      <c r="G24" s="1756">
        <f t="shared" si="5"/>
        <v>-14380</v>
      </c>
      <c r="H24" s="1756">
        <f t="shared" si="5"/>
        <v>-16000</v>
      </c>
      <c r="I24" s="1756">
        <f t="shared" si="5"/>
        <v>156951</v>
      </c>
      <c r="J24" s="1756">
        <f t="shared" si="5"/>
        <v>-5684.8</v>
      </c>
      <c r="K24" s="1756">
        <f t="shared" si="5"/>
        <v>93839.2</v>
      </c>
      <c r="L24" s="1756">
        <f t="shared" si="5"/>
        <v>-5684.8</v>
      </c>
      <c r="M24" s="1756">
        <f t="shared" si="5"/>
        <v>-5684.8</v>
      </c>
      <c r="N24" s="1756">
        <f t="shared" si="5"/>
        <v>-5684.8</v>
      </c>
      <c r="O24" s="1756">
        <f t="shared" si="5"/>
        <v>-5684.8</v>
      </c>
      <c r="P24" s="1744">
        <f t="shared" si="2"/>
        <v>245102.20000000007</v>
      </c>
      <c r="Q24" s="600"/>
    </row>
    <row r="25" spans="2:21" ht="18.75" customHeight="1" thickBot="1">
      <c r="B25" s="1568" t="s">
        <v>212</v>
      </c>
      <c r="C25" s="1560" t="s">
        <v>1343</v>
      </c>
      <c r="D25" s="1569">
        <f>SUM(D20:D24)</f>
        <v>195344.23583690988</v>
      </c>
      <c r="E25" s="1569">
        <f t="shared" ref="E25:O25" si="6">SUM(E20:E24)</f>
        <v>401034.19175965665</v>
      </c>
      <c r="F25" s="1569">
        <f t="shared" si="6"/>
        <v>160623.27789699571</v>
      </c>
      <c r="G25" s="1569">
        <f t="shared" si="6"/>
        <v>58459.138412017113</v>
      </c>
      <c r="H25" s="1569">
        <f t="shared" si="6"/>
        <v>81351.28111587977</v>
      </c>
      <c r="I25" s="1569">
        <f t="shared" si="6"/>
        <v>163291.90450643777</v>
      </c>
      <c r="J25" s="1569">
        <f t="shared" si="6"/>
        <v>133186.76330472104</v>
      </c>
      <c r="K25" s="1569">
        <f t="shared" si="6"/>
        <v>353236.03154506435</v>
      </c>
      <c r="L25" s="1569">
        <f t="shared" si="6"/>
        <v>-46330.074678111603</v>
      </c>
      <c r="M25" s="1569">
        <f t="shared" si="6"/>
        <v>154550.43030042914</v>
      </c>
      <c r="N25" s="1569">
        <f t="shared" si="6"/>
        <v>-33486.004034334779</v>
      </c>
      <c r="O25" s="1569">
        <f t="shared" si="6"/>
        <v>2863.2304291844948</v>
      </c>
      <c r="P25" s="1569">
        <f>SUM(P20:P24)</f>
        <v>1624124.4063948495</v>
      </c>
      <c r="Q25" s="599"/>
      <c r="R25" s="1748"/>
      <c r="T25" s="1547"/>
      <c r="U25" s="1547"/>
    </row>
    <row r="26" spans="2:21" ht="18.75" customHeight="1" thickBot="1">
      <c r="B26" s="1763"/>
      <c r="C26" s="1764"/>
      <c r="D26" s="1765">
        <f>+SUM($D$25:D25)</f>
        <v>195344.23583690988</v>
      </c>
      <c r="E26" s="1765">
        <f>+SUM($D$25:E25)</f>
        <v>596378.4275965665</v>
      </c>
      <c r="F26" s="1765">
        <f>+SUM($D$25:F25)</f>
        <v>757001.70549356216</v>
      </c>
      <c r="G26" s="1765">
        <f>+SUM($D$25:G25)</f>
        <v>815460.8439055793</v>
      </c>
      <c r="H26" s="1765">
        <f>+SUM($D$25:H25)</f>
        <v>896812.12502145907</v>
      </c>
      <c r="I26" s="1765">
        <f>+SUM($D$25:I25)</f>
        <v>1060104.0295278968</v>
      </c>
      <c r="J26" s="1765">
        <f>+SUM($D$25:J25)</f>
        <v>1193290.7928326179</v>
      </c>
      <c r="K26" s="1765">
        <f>+SUM($D$25:K25)</f>
        <v>1546526.8243776823</v>
      </c>
      <c r="L26" s="2305">
        <f>+SUM($D$25:L25)</f>
        <v>1500196.7496995707</v>
      </c>
      <c r="M26" s="2336">
        <f>+L26/L10</f>
        <v>0.21657874311809727</v>
      </c>
      <c r="N26" s="1765"/>
      <c r="O26" s="1765"/>
      <c r="P26" s="1765"/>
      <c r="Q26" s="599"/>
      <c r="R26" s="599"/>
      <c r="T26" s="1547"/>
      <c r="U26" s="1547"/>
    </row>
    <row r="27" spans="2:21" ht="18.75" customHeight="1" thickBot="1">
      <c r="B27" s="1551" t="s">
        <v>1335</v>
      </c>
      <c r="C27" s="1552" t="s">
        <v>1395</v>
      </c>
      <c r="D27" s="1552">
        <v>45658</v>
      </c>
      <c r="E27" s="1552">
        <v>45689</v>
      </c>
      <c r="F27" s="1552">
        <v>45717</v>
      </c>
      <c r="G27" s="1552">
        <v>45748</v>
      </c>
      <c r="H27" s="1552">
        <v>45778</v>
      </c>
      <c r="I27" s="1552">
        <v>45809</v>
      </c>
      <c r="J27" s="1552">
        <v>45839</v>
      </c>
      <c r="K27" s="1552">
        <v>45870</v>
      </c>
      <c r="L27" s="1552">
        <v>45901</v>
      </c>
      <c r="M27" s="1552">
        <v>45931</v>
      </c>
      <c r="N27" s="1552">
        <v>45962</v>
      </c>
      <c r="O27" s="1552">
        <v>45992</v>
      </c>
      <c r="P27" s="1553" t="s">
        <v>734</v>
      </c>
      <c r="Q27" s="599"/>
      <c r="R27" s="599"/>
      <c r="T27" s="1547"/>
      <c r="U27" s="1547"/>
    </row>
    <row r="28" spans="2:21" ht="15" thickBot="1">
      <c r="B28" s="1554" t="s">
        <v>1336</v>
      </c>
      <c r="C28" s="1749" t="s">
        <v>1347</v>
      </c>
      <c r="D28" s="1566">
        <f>+'Flujo Redco Chile'!C31</f>
        <v>69432.939914163086</v>
      </c>
      <c r="E28" s="1566">
        <f>+'Flujo Redco Chile'!D31</f>
        <v>104811.89592274679</v>
      </c>
      <c r="F28" s="1566">
        <f>+'Flujo Redco Chile'!E31</f>
        <v>75208.023605150214</v>
      </c>
      <c r="G28" s="1566">
        <f>+'Flujo Redco Chile'!F31</f>
        <v>47094.724248927036</v>
      </c>
      <c r="H28" s="1566">
        <f>+'Flujo Redco Chile'!G31</f>
        <v>62773.512875536479</v>
      </c>
      <c r="I28" s="1566">
        <f>+'Flujo Redco Chile'!H31+'Flujo Redco Chile'!H34</f>
        <v>53789.214592274679</v>
      </c>
      <c r="J28" s="1566">
        <f>+'Flujo Redco Chile'!I31</f>
        <v>103658.78433476394</v>
      </c>
      <c r="K28" s="1566">
        <f>+'Flujo Redco Chile'!J31</f>
        <v>35825.605150214593</v>
      </c>
      <c r="L28" s="1566">
        <f>+'Flujo Redco Chile'!K31</f>
        <v>57280.831545064379</v>
      </c>
      <c r="M28" s="2314">
        <f>+'Flujo Redco Chile'!L31</f>
        <v>32498.942060085836</v>
      </c>
      <c r="N28" s="2314">
        <f>+'Flujo Redco Chile'!M31</f>
        <v>37753.159871244636</v>
      </c>
      <c r="O28" s="2314">
        <f>+'Flujo Redco Chile'!N31</f>
        <v>32909.43347639485</v>
      </c>
      <c r="P28" s="1559">
        <f>SUM(D28:O28)</f>
        <v>713037.06759656651</v>
      </c>
      <c r="S28" s="1547"/>
      <c r="T28" s="1547"/>
      <c r="U28" s="1547"/>
    </row>
    <row r="29" spans="2:21" ht="15" thickBot="1">
      <c r="B29" s="1554" t="s">
        <v>1337</v>
      </c>
      <c r="C29" s="1749" t="s">
        <v>1347</v>
      </c>
      <c r="D29" s="1750">
        <f>+'Flujo Redco Perú'!C35</f>
        <v>11907</v>
      </c>
      <c r="E29" s="1750">
        <f>+'Flujo Redco Perú'!D35</f>
        <v>16500</v>
      </c>
      <c r="F29" s="1750">
        <f>+'Flujo Redco Perú'!E35</f>
        <v>20068</v>
      </c>
      <c r="G29" s="1750">
        <f>+'Flujo Redco Perú'!F35</f>
        <v>28529</v>
      </c>
      <c r="H29" s="1750">
        <f>+'Flujo Redco Perú'!G35</f>
        <v>31304</v>
      </c>
      <c r="I29" s="1750">
        <f>+'Flujo Redco Perú'!H35</f>
        <v>36127</v>
      </c>
      <c r="J29" s="1750">
        <f>+'Flujo Redco Perú'!I35</f>
        <v>34183</v>
      </c>
      <c r="K29" s="1750">
        <f>+'Flujo Redco Perú'!J35</f>
        <v>126435</v>
      </c>
      <c r="L29" s="1750">
        <f>+'Flujo Redco Perú'!K35</f>
        <v>16037</v>
      </c>
      <c r="M29" s="2315">
        <f>+'Flujo Redco Perú'!L35</f>
        <v>42117</v>
      </c>
      <c r="N29" s="2315">
        <f>+'Flujo Redco Perú'!M35</f>
        <v>105093</v>
      </c>
      <c r="O29" s="2315">
        <f>+'Flujo Redco Perú'!N35</f>
        <v>75885</v>
      </c>
      <c r="P29" s="1559">
        <f t="shared" ref="P29:P36" si="7">SUM(D29:O29)</f>
        <v>544185</v>
      </c>
      <c r="T29" s="1547"/>
      <c r="U29" s="1547"/>
    </row>
    <row r="30" spans="2:21" ht="15" thickBot="1">
      <c r="B30" s="1554" t="s">
        <v>1336</v>
      </c>
      <c r="C30" s="1749" t="s">
        <v>1346</v>
      </c>
      <c r="D30" s="1750">
        <f>+'Flujo Redco Chile'!C38+'Flujo Redco Chile'!C39+'Flujo Redco Chile'!E42+'Flujo Redco Chile'!C34</f>
        <v>703.28540772532187</v>
      </c>
      <c r="E30" s="1750">
        <f>+'Flujo Redco Chile'!D38+'Flujo Redco Chile'!D39+'Flujo Redco Chile'!D34</f>
        <v>10399.31652360515</v>
      </c>
      <c r="F30" s="1750">
        <f>+'Flujo Redco Chile'!E38+'Flujo Redco Chile'!E39+'Flujo Redco Chile'!E34</f>
        <v>5265.8025751072964</v>
      </c>
      <c r="G30" s="1750">
        <f>+'Flujo Redco Chile'!F38+'Flujo Redco Chile'!F39+'Flujo Redco Chile'!F34</f>
        <v>21747.625536480686</v>
      </c>
      <c r="H30" s="1750">
        <f>+'Flujo Redco Chile'!G38+'Flujo Redco Chile'!G39+'Flujo Redco Chile'!G34</f>
        <v>55661.028969957079</v>
      </c>
      <c r="I30" s="1750">
        <f>+'Flujo Redco Chile'!H38+'Flujo Redco Chile'!H39+'Flujo Redco Chile'!H34+'Flujo Redco Chile'!H40</f>
        <v>89784.033261802571</v>
      </c>
      <c r="J30" s="1750">
        <f>+'Flujo Redco Chile'!I38+'Flujo Redco Chile'!I39+'Flujo Redco Chile'!I34</f>
        <v>68680.615879828329</v>
      </c>
      <c r="K30" s="1750">
        <f>+'Flujo Redco Chile'!J38+'Flujo Redco Chile'!J39+'Flujo Redco Chile'!J34</f>
        <v>37073.081545064379</v>
      </c>
      <c r="L30" s="1750">
        <f>+'Flujo Redco Chile'!K38+'Flujo Redco Chile'!K39+'Flujo Redco Chile'!K34</f>
        <v>4069.947424892704</v>
      </c>
      <c r="M30" s="2315">
        <f>+'Flujo Redco Chile'!L38+'Flujo Redco Chile'!L39</f>
        <v>13.927038626609441</v>
      </c>
      <c r="N30" s="2315">
        <f>+'Flujo Redco Chile'!M38+'Flujo Redco Chile'!M39</f>
        <v>415.80686695278968</v>
      </c>
      <c r="O30" s="2315">
        <f>+'Flujo Redco Chile'!N38+'Flujo Redco Chile'!N39</f>
        <v>119.83583690987125</v>
      </c>
      <c r="P30" s="1559">
        <f>SUM(D30:O30)</f>
        <v>293934.30686695286</v>
      </c>
      <c r="T30" s="1547"/>
      <c r="U30" s="1547"/>
    </row>
    <row r="31" spans="2:21" ht="15" thickBot="1">
      <c r="B31" s="1554" t="s">
        <v>1338</v>
      </c>
      <c r="C31" s="1749" t="s">
        <v>1346</v>
      </c>
      <c r="D31" s="1750">
        <f>+'Flujo Redco Brasil'!C34</f>
        <v>6388</v>
      </c>
      <c r="E31" s="1750">
        <f>+'Flujo Redco Brasil'!D34</f>
        <v>363</v>
      </c>
      <c r="F31" s="1750">
        <f>+'Flujo Redco Brasil'!E34</f>
        <v>0</v>
      </c>
      <c r="G31" s="1750">
        <f>+'Flujo Redco Brasil'!F34</f>
        <v>0</v>
      </c>
      <c r="H31" s="1750">
        <f>+'Flujo Redco Brasil'!G34</f>
        <v>1526</v>
      </c>
      <c r="I31" s="1750">
        <f>+'Flujo Redco Brasil'!H34</f>
        <v>0</v>
      </c>
      <c r="J31" s="1750">
        <f>+'Flujo Redco Brasil'!I34</f>
        <v>0</v>
      </c>
      <c r="K31" s="1750">
        <f>+'Flujo Redco Brasil'!J34</f>
        <v>0</v>
      </c>
      <c r="L31" s="1750">
        <f>+'Flujo Redco Brasil'!K34</f>
        <v>0</v>
      </c>
      <c r="M31" s="2315">
        <f>+'Flujo Redco Brasil'!L34</f>
        <v>1803</v>
      </c>
      <c r="N31" s="2315">
        <f>+'Flujo Redco Brasil'!M34</f>
        <v>1622</v>
      </c>
      <c r="O31" s="2315">
        <f>+'Flujo Redco Brasil'!N34</f>
        <v>0</v>
      </c>
      <c r="P31" s="1559">
        <f t="shared" si="7"/>
        <v>11702</v>
      </c>
      <c r="Q31" s="1546"/>
      <c r="T31" s="1547"/>
      <c r="U31" s="1547"/>
    </row>
    <row r="32" spans="2:21" ht="15" thickBot="1">
      <c r="B32" s="1554" t="s">
        <v>1336</v>
      </c>
      <c r="C32" s="1749" t="s">
        <v>1355</v>
      </c>
      <c r="D32" s="1750">
        <f>+'Flujo Redco Chile'!C35+'Flujo Redco Chile'!C36+'Flujo Redco Chile'!C37</f>
        <v>134087.98497854077</v>
      </c>
      <c r="E32" s="1750">
        <f>+'Flujo Redco Chile'!D35+'Flujo Redco Chile'!D36+'Flujo Redco Chile'!D37</f>
        <v>0</v>
      </c>
      <c r="F32" s="1750">
        <f>+'Flujo Redco Chile'!E35+'Flujo Redco Chile'!E36+'Flujo Redco Chile'!E37</f>
        <v>19816.289699570814</v>
      </c>
      <c r="G32" s="1750">
        <f>+'Flujo Redco Chile'!F35+'Flujo Redco Chile'!F36+'Flujo Redco Chile'!F37</f>
        <v>48275.159871244636</v>
      </c>
      <c r="H32" s="1750">
        <f>+'Flujo Redco Chile'!G35+'Flujo Redco Chile'!G36+'Flujo Redco Chile'!G37</f>
        <v>32259.953862660943</v>
      </c>
      <c r="I32" s="1750">
        <f>+'Flujo Redco Chile'!H35+'Flujo Redco Chile'!H36+'Flujo Redco Chile'!H37</f>
        <v>0</v>
      </c>
      <c r="J32" s="1750">
        <f>+'Flujo Redco Chile'!I35+'Flujo Redco Chile'!I36+'Flujo Redco Chile'!I37</f>
        <v>46679.405579399143</v>
      </c>
      <c r="K32" s="1750">
        <f>+'Flujo Redco Chile'!J35+'Flujo Redco Chile'!J36+'Flujo Redco Chile'!J37</f>
        <v>459872.82296137337</v>
      </c>
      <c r="L32" s="1750">
        <f>+'Flujo Redco Chile'!K35+'Flujo Redco Chile'!K36+'Flujo Redco Chile'!K37</f>
        <v>0</v>
      </c>
      <c r="M32" s="2315">
        <f>+'Flujo Redco Chile'!L35+'Flujo Redco Chile'!L36+'Flujo Redco Chile'!L37</f>
        <v>154199.13735515022</v>
      </c>
      <c r="N32" s="2315">
        <f>+'Flujo Redco Chile'!M35+'Flujo Redco Chile'!M36+'Flujo Redco Chile'!M37</f>
        <v>120289.84012875537</v>
      </c>
      <c r="O32" s="2315">
        <f>+'Flujo Redco Chile'!N35+'Flujo Redco Chile'!N36+'Flujo Redco Chile'!N37</f>
        <v>390966.73819742491</v>
      </c>
      <c r="P32" s="1559">
        <f t="shared" si="7"/>
        <v>1406447.3326341202</v>
      </c>
      <c r="Q32" s="1546"/>
    </row>
    <row r="33" spans="2:29" ht="15" thickBot="1">
      <c r="B33" s="1554" t="s">
        <v>1336</v>
      </c>
      <c r="C33" s="1751" t="s">
        <v>1353</v>
      </c>
      <c r="D33" s="1750">
        <f>+'Flujo Redco Chile'!C32</f>
        <v>57052.603004291843</v>
      </c>
      <c r="E33" s="1750">
        <f>+'Flujo Redco Chile'!D32</f>
        <v>113524.19957081546</v>
      </c>
      <c r="F33" s="1750">
        <f>+'Flujo Redco Chile'!E32</f>
        <v>0</v>
      </c>
      <c r="G33" s="1750">
        <f>+'Flujo Redco Chile'!F32</f>
        <v>146563.30150214591</v>
      </c>
      <c r="H33" s="1750">
        <f>+'Flujo Redco Chile'!G32</f>
        <v>9291.9935622317589</v>
      </c>
      <c r="I33" s="1750">
        <f>+'Flujo Redco Chile'!H32</f>
        <v>0</v>
      </c>
      <c r="J33" s="1750">
        <f>+'Flujo Redco Chile'!I32</f>
        <v>0</v>
      </c>
      <c r="K33" s="1750">
        <f>+'Flujo Redco Chile'!J32</f>
        <v>0</v>
      </c>
      <c r="L33" s="1750">
        <f>+'Flujo Redco Chile'!K32</f>
        <v>27214.363733905579</v>
      </c>
      <c r="M33" s="2315">
        <f>+'Flujo Redco Chile'!L32</f>
        <v>0</v>
      </c>
      <c r="N33" s="2315">
        <f>+'Flujo Redco Chile'!M32</f>
        <v>0</v>
      </c>
      <c r="O33" s="2315">
        <f>+'Flujo Redco Chile'!N32</f>
        <v>0</v>
      </c>
      <c r="P33" s="1559">
        <f t="shared" si="7"/>
        <v>353646.46137339063</v>
      </c>
      <c r="Q33" s="1546"/>
      <c r="R33" s="599"/>
    </row>
    <row r="34" spans="2:29" ht="15" thickBot="1">
      <c r="B34" s="1554" t="s">
        <v>1337</v>
      </c>
      <c r="C34" s="1751" t="s">
        <v>1353</v>
      </c>
      <c r="D34" s="1750">
        <f>+'Flujo Redco Perú'!C36</f>
        <v>0</v>
      </c>
      <c r="E34" s="1750">
        <f>+'Flujo Redco Perú'!D36</f>
        <v>0</v>
      </c>
      <c r="F34" s="1750">
        <f>+'Flujo Redco Perú'!E36</f>
        <v>51893</v>
      </c>
      <c r="G34" s="1750">
        <f>+'Flujo Redco Perú'!F36</f>
        <v>0</v>
      </c>
      <c r="H34" s="1750">
        <f>+'Flujo Redco Perú'!G36</f>
        <v>0</v>
      </c>
      <c r="I34" s="1750">
        <f>+'Flujo Redco Perú'!H36</f>
        <v>0</v>
      </c>
      <c r="J34" s="1750">
        <f>+'Flujo Redco Perú'!I36</f>
        <v>0</v>
      </c>
      <c r="K34" s="1750">
        <f>+'Flujo Redco Perú'!J36</f>
        <v>0</v>
      </c>
      <c r="L34" s="1750">
        <f>+'Flujo Redco Perú'!K36</f>
        <v>0</v>
      </c>
      <c r="M34" s="2315">
        <f>+'Flujo Redco Perú'!L36</f>
        <v>0</v>
      </c>
      <c r="N34" s="2315">
        <f>+'Flujo Redco Perú'!M36</f>
        <v>0</v>
      </c>
      <c r="O34" s="2315">
        <f>+'Flujo Redco Perú'!N36</f>
        <v>0</v>
      </c>
      <c r="P34" s="1559">
        <f t="shared" si="7"/>
        <v>51893</v>
      </c>
      <c r="Q34" s="1546"/>
    </row>
    <row r="35" spans="2:29" ht="15" thickBot="1">
      <c r="B35" s="1554" t="s">
        <v>1336</v>
      </c>
      <c r="C35" s="1848" t="s">
        <v>882</v>
      </c>
      <c r="D35" s="1750"/>
      <c r="E35" s="1750"/>
      <c r="F35" s="1750"/>
      <c r="G35" s="1750"/>
      <c r="H35" s="1750"/>
      <c r="I35" s="1750"/>
      <c r="J35" s="1750"/>
      <c r="K35" s="1750"/>
      <c r="L35" s="1750"/>
      <c r="M35" s="2315"/>
      <c r="N35" s="2315"/>
      <c r="O35" s="2315"/>
      <c r="P35" s="1559">
        <f t="shared" si="7"/>
        <v>0</v>
      </c>
      <c r="Q35" s="1546"/>
    </row>
    <row r="36" spans="2:29" ht="15" thickBot="1">
      <c r="B36" s="1554" t="s">
        <v>1573</v>
      </c>
      <c r="C36" s="1848" t="s">
        <v>1355</v>
      </c>
      <c r="D36" s="2309">
        <f>+'Flujo Redco BVI'!C36</f>
        <v>0</v>
      </c>
      <c r="E36" s="2309">
        <f>+'Flujo Redco BVI'!D36</f>
        <v>0</v>
      </c>
      <c r="F36" s="2309">
        <f>+'Flujo Redco BVI'!E36</f>
        <v>0</v>
      </c>
      <c r="G36" s="2309">
        <f>+'Flujo Redco BVI'!F36</f>
        <v>0</v>
      </c>
      <c r="H36" s="2309">
        <f>+'Flujo Redco BVI'!G36</f>
        <v>415568</v>
      </c>
      <c r="I36" s="2309">
        <f>+'Flujo Redco BVI'!H36</f>
        <v>0</v>
      </c>
      <c r="J36" s="2309">
        <f>+'Flujo Redco BVI'!I36</f>
        <v>0</v>
      </c>
      <c r="K36" s="2309">
        <f>+'Flujo Redco BVI'!J36</f>
        <v>0</v>
      </c>
      <c r="L36" s="2309">
        <f>+'Flujo Redco BVI'!K36</f>
        <v>0</v>
      </c>
      <c r="M36" s="2315">
        <f>+'Flujo Redco BVI'!L36</f>
        <v>110754</v>
      </c>
      <c r="N36" s="2315">
        <f>+'Flujo Redco BVI'!M36</f>
        <v>278213</v>
      </c>
      <c r="O36" s="2315">
        <f>+'Flujo Redco BVI'!N36</f>
        <v>349514</v>
      </c>
      <c r="P36" s="1559">
        <f t="shared" si="7"/>
        <v>1154049</v>
      </c>
      <c r="Q36" s="1546"/>
    </row>
    <row r="37" spans="2:29" ht="18.75" customHeight="1" thickBot="1">
      <c r="B37" s="1568" t="s">
        <v>212</v>
      </c>
      <c r="C37" s="1560" t="s">
        <v>1350</v>
      </c>
      <c r="D37" s="1569">
        <f t="shared" ref="D37:P37" si="8">SUM(D28:D36)</f>
        <v>279571.81330472103</v>
      </c>
      <c r="E37" s="1569">
        <f t="shared" si="8"/>
        <v>245598.4120171674</v>
      </c>
      <c r="F37" s="1569">
        <f t="shared" si="8"/>
        <v>172251.11587982834</v>
      </c>
      <c r="G37" s="1569">
        <f t="shared" si="8"/>
        <v>292209.81115879829</v>
      </c>
      <c r="H37" s="1569">
        <f t="shared" si="8"/>
        <v>608384.48927038629</v>
      </c>
      <c r="I37" s="1569">
        <f t="shared" si="8"/>
        <v>179700.24785407726</v>
      </c>
      <c r="J37" s="1569">
        <f t="shared" si="8"/>
        <v>253201.80579399143</v>
      </c>
      <c r="K37" s="1569">
        <f t="shared" si="8"/>
        <v>659206.50965665234</v>
      </c>
      <c r="L37" s="1569">
        <f t="shared" si="8"/>
        <v>104602.14270386266</v>
      </c>
      <c r="M37" s="1569">
        <f t="shared" si="8"/>
        <v>341386.00645386265</v>
      </c>
      <c r="N37" s="1569">
        <f t="shared" si="8"/>
        <v>543386.8068669528</v>
      </c>
      <c r="O37" s="1569">
        <f t="shared" si="8"/>
        <v>849395.0075107296</v>
      </c>
      <c r="P37" s="1569">
        <f t="shared" si="8"/>
        <v>4528894.16847103</v>
      </c>
      <c r="Q37" s="599"/>
      <c r="R37" s="599"/>
      <c r="V37" s="599"/>
      <c r="W37" s="599"/>
      <c r="X37" s="599"/>
      <c r="Y37" s="599"/>
      <c r="Z37" s="599"/>
      <c r="AA37" s="599"/>
      <c r="AB37" s="599"/>
      <c r="AC37" s="599"/>
    </row>
    <row r="38" spans="2:29" ht="18.75" customHeight="1" thickBot="1">
      <c r="B38" s="1763"/>
      <c r="C38" s="1764"/>
      <c r="D38" s="1765"/>
      <c r="E38" s="1765"/>
      <c r="F38" s="1765"/>
      <c r="G38" s="1765"/>
      <c r="H38" s="1765"/>
      <c r="I38" s="1765"/>
      <c r="J38" s="1765"/>
      <c r="K38" s="1765"/>
      <c r="L38" s="1765"/>
      <c r="M38" s="1765"/>
      <c r="N38" s="1765"/>
      <c r="O38" s="1765"/>
      <c r="P38" s="1765"/>
      <c r="Q38" s="599"/>
      <c r="R38" s="599"/>
      <c r="V38" s="599"/>
      <c r="W38" s="599"/>
      <c r="X38" s="599"/>
      <c r="Y38" s="599"/>
      <c r="Z38" s="599"/>
      <c r="AA38" s="599"/>
      <c r="AB38" s="599"/>
      <c r="AC38" s="599"/>
    </row>
    <row r="39" spans="2:29" ht="15" thickBot="1">
      <c r="B39" s="1558" t="s">
        <v>1336</v>
      </c>
      <c r="C39" s="1759" t="s">
        <v>1348</v>
      </c>
      <c r="D39" s="1562">
        <f>+'Flujo Redco Chile'!C44*-1</f>
        <v>-34979.333690987121</v>
      </c>
      <c r="E39" s="1562">
        <f>+'Flujo Redco Chile'!D44*-1</f>
        <v>-63266.4517167382</v>
      </c>
      <c r="F39" s="1562">
        <f>+'Flujo Redco Chile'!E44*-1</f>
        <v>-11946.347639484979</v>
      </c>
      <c r="G39" s="1562">
        <f>+'Flujo Redco Chile'!F44*-1</f>
        <v>-31666.326180257511</v>
      </c>
      <c r="H39" s="1562">
        <f>+'Flujo Redco Chile'!G44*-1</f>
        <v>-65886.450643776829</v>
      </c>
      <c r="I39" s="1562">
        <f>+'Flujo Redco Chile'!H44*-1</f>
        <v>-41468.2660944206</v>
      </c>
      <c r="J39" s="1562">
        <f>+'Flujo Redco Chile'!I44*-1</f>
        <v>-8884.0879828326179</v>
      </c>
      <c r="K39" s="1562">
        <f>+'Flujo Redco Chile'!J44*-1</f>
        <v>-86387.474248927043</v>
      </c>
      <c r="L39" s="1562">
        <f>+'Flujo Redco Chile'!K44*-1</f>
        <v>-27284.614806866954</v>
      </c>
      <c r="M39" s="2316">
        <f>+'Flujo Redco Chile'!L44*-1</f>
        <v>-47891.938841201714</v>
      </c>
      <c r="N39" s="2316">
        <f>+'Flujo Redco Chile'!M44*-1</f>
        <v>-45200.180257510729</v>
      </c>
      <c r="O39" s="2316">
        <f>+'Flujo Redco Chile'!N44*-1</f>
        <v>-24253.625536480686</v>
      </c>
      <c r="P39" s="1562">
        <f t="shared" ref="P39:P47" si="9">SUM(D39:O39)</f>
        <v>-489115.09763948503</v>
      </c>
      <c r="Q39" s="599"/>
      <c r="R39" s="599"/>
      <c r="S39" s="599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</row>
    <row r="40" spans="2:29" ht="15" thickBot="1">
      <c r="B40" s="1554" t="s">
        <v>1336</v>
      </c>
      <c r="C40" s="1759" t="s">
        <v>1383</v>
      </c>
      <c r="D40" s="1557">
        <f>(+'Flujo Redco Chile'!C45+'Flujo Redco Chile'!C46+'Flujo Redco Chile'!C47)*-1</f>
        <v>-27599.535407725321</v>
      </c>
      <c r="E40" s="1557">
        <f>(+'Flujo Redco Chile'!D45+'Flujo Redco Chile'!D46+'Flujo Redco Chile'!D47)*-1</f>
        <v>-38631.281115879829</v>
      </c>
      <c r="F40" s="1557">
        <f>(+'Flujo Redco Chile'!E45+'Flujo Redco Chile'!E46+'Flujo Redco Chile'!E47)*-1</f>
        <v>-30686.726394849786</v>
      </c>
      <c r="G40" s="1557">
        <f>(+'Flujo Redco Chile'!F45+'Flujo Redco Chile'!F46+'Flujo Redco Chile'!F47)*-1</f>
        <v>-31866.890557939911</v>
      </c>
      <c r="H40" s="1557">
        <f>(+'Flujo Redco Chile'!G45+'Flujo Redco Chile'!G46+'Flujo Redco Chile'!G47)*-1</f>
        <v>-32660.930257510732</v>
      </c>
      <c r="I40" s="1557">
        <f>(+'Flujo Redco Chile'!H45+'Flujo Redco Chile'!H46+'Flujo Redco Chile'!H47)*-1</f>
        <v>-27706.253218884121</v>
      </c>
      <c r="J40" s="1557">
        <f>(+'Flujo Redco Chile'!I45+'Flujo Redco Chile'!I46+'Flujo Redco Chile'!I47)*-1</f>
        <v>-31882.783261802575</v>
      </c>
      <c r="K40" s="1557">
        <f>(+'Flujo Redco Chile'!J45+'Flujo Redco Chile'!J46+'Flujo Redco Chile'!J47)*-1</f>
        <v>-30717.742489270389</v>
      </c>
      <c r="L40" s="1557">
        <f>(+'Flujo Redco Chile'!K45+'Flujo Redco Chile'!K46+'Flujo Redco Chile'!K47)*-1</f>
        <v>-29655.451716738193</v>
      </c>
      <c r="M40" s="2315">
        <f>(+'Flujo Redco Chile'!L45+'Flujo Redco Chile'!L46+'Flujo Redco Chile'!L47)*-1</f>
        <v>-31895.060085836911</v>
      </c>
      <c r="N40" s="2315">
        <f>(+'Flujo Redco Chile'!M45+'Flujo Redco Chile'!M46+'Flujo Redco Chile'!M47)*-1</f>
        <v>-29668.006437768239</v>
      </c>
      <c r="O40" s="2315">
        <f>(+'Flujo Redco Chile'!N45+'Flujo Redco Chile'!N46+'Flujo Redco Chile'!N47)*-1</f>
        <v>-30784.118025751071</v>
      </c>
      <c r="P40" s="1557">
        <f t="shared" si="9"/>
        <v>-373754.77896995709</v>
      </c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</row>
    <row r="41" spans="2:29" ht="15" thickBot="1">
      <c r="B41" s="1554" t="s">
        <v>1336</v>
      </c>
      <c r="C41" s="1759" t="s">
        <v>1342</v>
      </c>
      <c r="D41" s="1557">
        <f>(+'Flujo Redco Chile'!C52+'Flujo Redco Chile'!C54+'Flujo Redco Chile'!C55+'Flujo Redco Chile'!C56+'Flujo Redco Chile'!C57)*-1</f>
        <v>-21128.810085836911</v>
      </c>
      <c r="E41" s="1557">
        <f>(+'Flujo Redco Chile'!D52+'Flujo Redco Chile'!D54+'Flujo Redco Chile'!D55+'Flujo Redco Chile'!D56+'Flujo Redco Chile'!D57)*-1</f>
        <v>-5335.2929184549357</v>
      </c>
      <c r="F41" s="1557">
        <f>(+'Flujo Redco Chile'!E52+'Flujo Redco Chile'!E54+'Flujo Redco Chile'!E55+'Flujo Redco Chile'!E56+'Flujo Redco Chile'!E57)*-1</f>
        <v>-20323.139484978543</v>
      </c>
      <c r="G41" s="1557">
        <f>(+'Flujo Redco Chile'!F52+'Flujo Redco Chile'!F54+'Flujo Redco Chile'!F55+'Flujo Redco Chile'!F56+'Flujo Redco Chile'!F57)*-1</f>
        <v>-68310.75</v>
      </c>
      <c r="H41" s="1557">
        <f>(+'Flujo Redco Chile'!G52+'Flujo Redco Chile'!G54+'Flujo Redco Chile'!G55+'Flujo Redco Chile'!G56+'Flujo Redco Chile'!G57)*-1</f>
        <v>-25408.953862660943</v>
      </c>
      <c r="I41" s="1557">
        <f>(+'Flujo Redco Chile'!H52+'Flujo Redco Chile'!H54+'Flujo Redco Chile'!H55+'Flujo Redco Chile'!H56+'Flujo Redco Chile'!H57)*-1</f>
        <v>-19313.304721030043</v>
      </c>
      <c r="J41" s="1557">
        <f>(+'Flujo Redco Chile'!I52+'Flujo Redco Chile'!I54+'Flujo Redco Chile'!I55+'Flujo Redco Chile'!I56+'Flujo Redco Chile'!I57)*-1</f>
        <v>-66329.1448497854</v>
      </c>
      <c r="K41" s="1557">
        <f>(+'Flujo Redco Chile'!J52+'Flujo Redco Chile'!J54+'Flujo Redco Chile'!J55+'Flujo Redco Chile'!J56+'Flujo Redco Chile'!J57)*-1</f>
        <v>-7645.622317596567</v>
      </c>
      <c r="L41" s="1557">
        <f>(+'Flujo Redco Chile'!K52+'Flujo Redco Chile'!K54+'Flujo Redco Chile'!K55+'Flujo Redco Chile'!K56+'Flujo Redco Chile'!K57)*-1</f>
        <v>-2990.3272532188839</v>
      </c>
      <c r="M41" s="2315">
        <f>(+'Flujo Redco Chile'!L52+'Flujo Redco Chile'!L54+'Flujo Redco Chile'!L55+'Flujo Redco Chile'!L56+'Flujo Redco Chile'!L57)*-1</f>
        <v>-2382.5965665236054</v>
      </c>
      <c r="N41" s="2315">
        <f>(+'Flujo Redco Chile'!M52+'Flujo Redco Chile'!M54+'Flujo Redco Chile'!M55+'Flujo Redco Chile'!M56+'Flujo Redco Chile'!M57)*-1</f>
        <v>-2631.8969957081545</v>
      </c>
      <c r="O41" s="2315">
        <f>(+'Flujo Redco Chile'!N52+'Flujo Redco Chile'!N54+'Flujo Redco Chile'!N55+'Flujo Redco Chile'!N56+'Flujo Redco Chile'!N57)*-1</f>
        <v>-47905.396995708157</v>
      </c>
      <c r="P41" s="1557">
        <f t="shared" si="9"/>
        <v>-289705.23605150211</v>
      </c>
      <c r="Q41" s="1752"/>
      <c r="R41" s="599"/>
    </row>
    <row r="42" spans="2:29" ht="15" thickBot="1">
      <c r="B42" s="1554" t="s">
        <v>1336</v>
      </c>
      <c r="C42" s="1760" t="s">
        <v>1353</v>
      </c>
      <c r="D42" s="1557">
        <f>+'Flujo Redco Chile'!C53*-1</f>
        <v>-24259.656652360514</v>
      </c>
      <c r="E42" s="1557">
        <f>+'Flujo Redco Chile'!D53*-1</f>
        <v>-113524.19957081546</v>
      </c>
      <c r="F42" s="1557">
        <f>+'Flujo Redco Chile'!E53*-1</f>
        <v>-57052.603004291843</v>
      </c>
      <c r="G42" s="1557">
        <f>+'Flujo Redco Chile'!F53*-1</f>
        <v>-140964.7092274678</v>
      </c>
      <c r="H42" s="1557">
        <f>+'Flujo Redco Chile'!G53*-1</f>
        <v>-9291.9935622317589</v>
      </c>
      <c r="I42" s="1557">
        <f>+'Flujo Redco Chile'!H53*-1</f>
        <v>0</v>
      </c>
      <c r="J42" s="1557">
        <f>+'Flujo Redco Chile'!I53*-1</f>
        <v>0</v>
      </c>
      <c r="K42" s="1557">
        <f>+'Flujo Redco Chile'!J53*-1</f>
        <v>0</v>
      </c>
      <c r="L42" s="1557">
        <f>+'Flujo Redco Chile'!K53*-1</f>
        <v>-27214.363733905579</v>
      </c>
      <c r="M42" s="2315">
        <f>+'Flujo Redco Chile'!L53*-1</f>
        <v>0</v>
      </c>
      <c r="N42" s="2315">
        <f>+'Flujo Redco Chile'!M53*-1</f>
        <v>0</v>
      </c>
      <c r="O42" s="2315">
        <f>+'Flujo Redco Chile'!N53*-1</f>
        <v>-388.0772532188841</v>
      </c>
      <c r="P42" s="1557">
        <f t="shared" si="9"/>
        <v>-372695.60300429189</v>
      </c>
      <c r="Q42" s="1752"/>
      <c r="R42" s="599"/>
    </row>
    <row r="43" spans="2:29" ht="15" thickBot="1">
      <c r="B43" s="1554" t="s">
        <v>1337</v>
      </c>
      <c r="C43" s="1749" t="s">
        <v>1348</v>
      </c>
      <c r="D43" s="1557">
        <f>+'Flujo Redco Perú'!C44*-1</f>
        <v>-42494</v>
      </c>
      <c r="E43" s="1557">
        <f>+'Flujo Redco Perú'!D44*-1</f>
        <v>0</v>
      </c>
      <c r="F43" s="1557">
        <f>+'Flujo Redco Perú'!E44*-1</f>
        <v>-5448</v>
      </c>
      <c r="G43" s="1557">
        <f>+'Flujo Redco Perú'!F44*-1</f>
        <v>-1998</v>
      </c>
      <c r="H43" s="1557">
        <f>+'Flujo Redco Perú'!G44*-1</f>
        <v>-49989</v>
      </c>
      <c r="I43" s="1557">
        <f>+'Flujo Redco Perú'!H44*-1</f>
        <v>-41625</v>
      </c>
      <c r="J43" s="1557">
        <f>+'Flujo Redco Perú'!I44*-1</f>
        <v>-37651</v>
      </c>
      <c r="K43" s="1557">
        <f>+'Flujo Redco Perú'!J44*-1</f>
        <v>-102790</v>
      </c>
      <c r="L43" s="1557">
        <f>+'Flujo Redco Perú'!K44*-1</f>
        <v>-18776</v>
      </c>
      <c r="M43" s="2315">
        <f>+'Flujo Redco Perú'!L44*-1</f>
        <v>-33704</v>
      </c>
      <c r="N43" s="2315">
        <f>+'Flujo Redco Perú'!M44*-1</f>
        <v>-38341</v>
      </c>
      <c r="O43" s="2315">
        <f>+'Flujo Redco Perú'!N44*-1</f>
        <v>-36493</v>
      </c>
      <c r="P43" s="1557">
        <f t="shared" si="9"/>
        <v>-409309</v>
      </c>
      <c r="Q43" s="599"/>
      <c r="R43" s="599"/>
    </row>
    <row r="44" spans="2:29" ht="15" thickBot="1">
      <c r="B44" s="1554" t="s">
        <v>1337</v>
      </c>
      <c r="C44" s="1767" t="s">
        <v>1342</v>
      </c>
      <c r="D44" s="1557">
        <f>+'Flujo Redco Perú'!C54*-1</f>
        <v>0</v>
      </c>
      <c r="E44" s="1557">
        <f>+'Flujo Redco Perú'!D54*-1</f>
        <v>0</v>
      </c>
      <c r="F44" s="1557">
        <f>+'Flujo Redco Perú'!E54*-1</f>
        <v>-14000</v>
      </c>
      <c r="G44" s="1557">
        <f>+'Flujo Redco Perú'!F54*-1</f>
        <v>0</v>
      </c>
      <c r="H44" s="1557">
        <f>+'Flujo Redco Perú'!G54*-1</f>
        <v>0</v>
      </c>
      <c r="I44" s="1557">
        <f>+'Flujo Redco Perú'!H54*-1</f>
        <v>-14000</v>
      </c>
      <c r="J44" s="1557">
        <f>+'Flujo Redco Perú'!I54*-1</f>
        <v>0</v>
      </c>
      <c r="K44" s="1557">
        <f>+'Flujo Redco Perú'!J54*-1</f>
        <v>-472152</v>
      </c>
      <c r="L44" s="1557">
        <f>+'Flujo Redco Perú'!K54*-1</f>
        <v>-28000</v>
      </c>
      <c r="M44" s="2315">
        <f>+'Flujo Redco Perú'!L54*-1</f>
        <v>-152335</v>
      </c>
      <c r="N44" s="2315">
        <f>+'Flujo Redco Perú'!M54*-1</f>
        <v>-147722</v>
      </c>
      <c r="O44" s="2315">
        <f>+'Flujo Redco Perú'!N54*-1</f>
        <v>-100000</v>
      </c>
      <c r="P44" s="1557">
        <f t="shared" si="9"/>
        <v>-928209</v>
      </c>
      <c r="Q44" s="1752"/>
      <c r="R44" s="1752"/>
      <c r="S44" s="1752"/>
      <c r="T44" s="1752"/>
      <c r="U44" s="1752"/>
      <c r="V44" s="1752"/>
      <c r="W44" s="1752"/>
      <c r="X44" s="1752"/>
      <c r="Y44" s="1752"/>
      <c r="Z44" s="1752"/>
      <c r="AA44" s="1752"/>
      <c r="AB44" s="1752"/>
    </row>
    <row r="45" spans="2:29" ht="15" thickBot="1">
      <c r="B45" s="1554" t="s">
        <v>1338</v>
      </c>
      <c r="C45" s="1749" t="s">
        <v>1348</v>
      </c>
      <c r="D45" s="1557">
        <f>+'Flujo Redco Brasil'!C37*-1</f>
        <v>-13957</v>
      </c>
      <c r="E45" s="1557">
        <f>+'Flujo Redco Brasil'!D37*-1</f>
        <v>-15243</v>
      </c>
      <c r="F45" s="1557">
        <f>+'Flujo Redco Brasil'!E37*-1</f>
        <v>-7945</v>
      </c>
      <c r="G45" s="1557">
        <f>+'Flujo Redco Brasil'!F37*-1</f>
        <v>-26398</v>
      </c>
      <c r="H45" s="1557">
        <f>+'Flujo Redco Brasil'!G37*-1</f>
        <v>-9411</v>
      </c>
      <c r="I45" s="1557">
        <f>+'Flujo Redco Brasil'!H37*-1</f>
        <v>-12454</v>
      </c>
      <c r="J45" s="1557">
        <f>+'Flujo Redco Brasil'!I37*-1</f>
        <v>-18530</v>
      </c>
      <c r="K45" s="1557">
        <f>+'Flujo Redco Brasil'!J37*-1</f>
        <v>-27561</v>
      </c>
      <c r="L45" s="1557">
        <f>+'Flujo Redco Brasil'!K37*-1</f>
        <v>-21983</v>
      </c>
      <c r="M45" s="2315">
        <f>+'Flujo Redco Brasil'!L37*-1</f>
        <v>-67960</v>
      </c>
      <c r="N45" s="2315">
        <f>+'Flujo Redco Brasil'!M37*-1</f>
        <v>-58112</v>
      </c>
      <c r="O45" s="2315">
        <f>+'Flujo Redco Brasil'!N37*-1</f>
        <v>-95607</v>
      </c>
      <c r="P45" s="1557">
        <f t="shared" si="9"/>
        <v>-375161</v>
      </c>
      <c r="Q45" s="1752"/>
      <c r="R45" s="599"/>
    </row>
    <row r="46" spans="2:29" ht="15" thickBot="1">
      <c r="B46" s="1554" t="s">
        <v>1338</v>
      </c>
      <c r="C46" s="1767" t="s">
        <v>1342</v>
      </c>
      <c r="D46" s="1557"/>
      <c r="E46" s="1557"/>
      <c r="F46" s="1557"/>
      <c r="G46" s="1557"/>
      <c r="H46" s="1557">
        <f>+'Flujo Redco Brasil'!G43*-1</f>
        <v>-133710</v>
      </c>
      <c r="I46" s="1557">
        <f>+'Flujo Redco Brasil'!H43*-1</f>
        <v>0</v>
      </c>
      <c r="J46" s="1557"/>
      <c r="K46" s="1557"/>
      <c r="L46" s="1557"/>
      <c r="M46" s="2315"/>
      <c r="N46" s="2315"/>
      <c r="O46" s="2315"/>
      <c r="P46" s="1557">
        <f t="shared" si="9"/>
        <v>-133710</v>
      </c>
      <c r="Q46" s="1752"/>
      <c r="R46" s="599"/>
    </row>
    <row r="47" spans="2:29" ht="15" thickBot="1">
      <c r="B47" s="1554" t="s">
        <v>790</v>
      </c>
      <c r="C47" s="1767" t="s">
        <v>1342</v>
      </c>
      <c r="D47" s="1557"/>
      <c r="E47" s="1557"/>
      <c r="F47" s="1557"/>
      <c r="G47" s="1557"/>
      <c r="H47" s="1557">
        <f>+'Flujo Redco USA'!G46*-1</f>
        <v>-281858</v>
      </c>
      <c r="I47" s="1557"/>
      <c r="J47" s="1557"/>
      <c r="K47" s="1557"/>
      <c r="L47" s="1557"/>
      <c r="M47" s="2315"/>
      <c r="N47" s="2315"/>
      <c r="O47" s="2315"/>
      <c r="P47" s="1557">
        <f t="shared" si="9"/>
        <v>-281858</v>
      </c>
      <c r="Q47" s="1752"/>
      <c r="R47" s="599"/>
    </row>
    <row r="48" spans="2:29" ht="15" thickBot="1">
      <c r="B48" s="1568" t="s">
        <v>212</v>
      </c>
      <c r="C48" s="1560" t="s">
        <v>1351</v>
      </c>
      <c r="D48" s="1570">
        <f>SUM(D39:D47)</f>
        <v>-164418.33583690989</v>
      </c>
      <c r="E48" s="1570">
        <f t="shared" ref="E48:O48" si="10">SUM(E39:E47)</f>
        <v>-236000.22532188843</v>
      </c>
      <c r="F48" s="1570">
        <f t="shared" si="10"/>
        <v>-147401.81652360514</v>
      </c>
      <c r="G48" s="1570">
        <f t="shared" si="10"/>
        <v>-301204.67596566526</v>
      </c>
      <c r="H48" s="1570">
        <f t="shared" si="10"/>
        <v>-608216.32832618023</v>
      </c>
      <c r="I48" s="1570">
        <f t="shared" si="10"/>
        <v>-156566.82403433474</v>
      </c>
      <c r="J48" s="1570">
        <f t="shared" si="10"/>
        <v>-163277.0160944206</v>
      </c>
      <c r="K48" s="1570">
        <f t="shared" si="10"/>
        <v>-727253.83905579406</v>
      </c>
      <c r="L48" s="1570">
        <f t="shared" si="10"/>
        <v>-155903.7575107296</v>
      </c>
      <c r="M48" s="1570">
        <f t="shared" si="10"/>
        <v>-336168.59549356223</v>
      </c>
      <c r="N48" s="1570">
        <f t="shared" si="10"/>
        <v>-321675.08369098714</v>
      </c>
      <c r="O48" s="1570">
        <f t="shared" si="10"/>
        <v>-335431.2178111588</v>
      </c>
      <c r="P48" s="1570">
        <f>SUM(P39:P47)</f>
        <v>-3653517.7156652361</v>
      </c>
      <c r="Q48" s="599"/>
      <c r="R48" s="599"/>
      <c r="S48" s="599"/>
      <c r="T48" s="599"/>
      <c r="U48" s="599"/>
      <c r="V48" s="599"/>
      <c r="W48" s="599"/>
      <c r="X48" s="599"/>
      <c r="Y48" s="599"/>
      <c r="Z48" s="599"/>
      <c r="AA48" s="599"/>
      <c r="AB48" s="599"/>
    </row>
    <row r="49" spans="2:28" ht="15" thickBot="1">
      <c r="B49" s="1763"/>
      <c r="C49" s="1764"/>
      <c r="D49" s="1766"/>
      <c r="E49" s="1766"/>
      <c r="F49" s="1766"/>
      <c r="G49" s="1766"/>
      <c r="H49" s="1766"/>
      <c r="I49" s="1766"/>
      <c r="J49" s="1766"/>
      <c r="K49" s="1766"/>
      <c r="L49" s="1766"/>
      <c r="M49" s="1766"/>
      <c r="N49" s="1766"/>
      <c r="O49" s="1766"/>
      <c r="P49" s="1766"/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</row>
    <row r="50" spans="2:28" ht="15" thickBot="1">
      <c r="B50" s="1551" t="s">
        <v>1335</v>
      </c>
      <c r="C50" s="1552" t="s">
        <v>1395</v>
      </c>
      <c r="D50" s="1552">
        <v>45658</v>
      </c>
      <c r="E50" s="1552">
        <v>45689</v>
      </c>
      <c r="F50" s="1552">
        <v>45717</v>
      </c>
      <c r="G50" s="1552">
        <v>45748</v>
      </c>
      <c r="H50" s="1552">
        <v>45778</v>
      </c>
      <c r="I50" s="1552">
        <v>45809</v>
      </c>
      <c r="J50" s="1552">
        <v>45839</v>
      </c>
      <c r="K50" s="1552">
        <v>45870</v>
      </c>
      <c r="L50" s="1552">
        <v>45901</v>
      </c>
      <c r="M50" s="1552">
        <v>45931</v>
      </c>
      <c r="N50" s="1552">
        <v>45962</v>
      </c>
      <c r="O50" s="1552">
        <v>45992</v>
      </c>
      <c r="P50" s="1553" t="s">
        <v>734</v>
      </c>
      <c r="Q50" s="599"/>
      <c r="R50" s="599"/>
      <c r="S50" s="599"/>
      <c r="T50" s="599"/>
      <c r="U50" s="599"/>
      <c r="W50" s="599"/>
      <c r="X50" s="599"/>
      <c r="Y50" s="599"/>
      <c r="Z50" s="599"/>
      <c r="AA50" s="599"/>
      <c r="AB50" s="599"/>
    </row>
    <row r="51" spans="2:28" ht="15" thickBot="1">
      <c r="B51" s="1554" t="s">
        <v>1336</v>
      </c>
      <c r="C51" s="1745" t="s">
        <v>1340</v>
      </c>
      <c r="D51" s="1756">
        <f t="shared" ref="D51:O51" si="11">SUM(D20+D28+D30+D32+D33+D35+D39+D41+D42+D40)</f>
        <v>118395.56330472106</v>
      </c>
      <c r="E51" s="1756">
        <f t="shared" si="11"/>
        <v>133162.16845493575</v>
      </c>
      <c r="F51" s="1756">
        <f t="shared" si="11"/>
        <v>-69890.422746781114</v>
      </c>
      <c r="G51" s="1756">
        <f t="shared" si="11"/>
        <v>-113200.72639484986</v>
      </c>
      <c r="H51" s="1756">
        <f t="shared" si="11"/>
        <v>-40765.557939914237</v>
      </c>
      <c r="I51" s="1756">
        <f t="shared" si="11"/>
        <v>-48061.671673819743</v>
      </c>
      <c r="J51" s="1756">
        <f t="shared" si="11"/>
        <v>191766.35300429186</v>
      </c>
      <c r="K51" s="1756">
        <f t="shared" si="11"/>
        <v>134254.50214592268</v>
      </c>
      <c r="L51" s="1756">
        <f t="shared" si="11"/>
        <v>-156525.88948497857</v>
      </c>
      <c r="M51" s="1756">
        <f t="shared" si="11"/>
        <v>-162191.12873927044</v>
      </c>
      <c r="N51" s="1756">
        <f t="shared" si="11"/>
        <v>-95252.3508583691</v>
      </c>
      <c r="O51" s="1756">
        <f t="shared" si="11"/>
        <v>68872.340128755372</v>
      </c>
      <c r="P51" s="1756">
        <f t="shared" ref="P51:P56" si="12">SUM(D51:O51)</f>
        <v>-39436.820799356341</v>
      </c>
      <c r="Q51" s="599"/>
      <c r="R51" s="599">
        <f>+SUM(D51:L51)</f>
        <v>149134.31866952783</v>
      </c>
      <c r="S51" s="599"/>
      <c r="W51" s="599"/>
    </row>
    <row r="52" spans="2:28" ht="15" thickBot="1">
      <c r="B52" s="1554" t="s">
        <v>1337</v>
      </c>
      <c r="C52" s="1751" t="s">
        <v>1340</v>
      </c>
      <c r="D52" s="1756">
        <f t="shared" ref="D52:O52" si="13">+D21+D29+D34+D43+D44</f>
        <v>3798.1499999999942</v>
      </c>
      <c r="E52" s="1756">
        <f t="shared" si="13"/>
        <v>-2643</v>
      </c>
      <c r="F52" s="1756">
        <f t="shared" si="13"/>
        <v>65135</v>
      </c>
      <c r="G52" s="1756">
        <f t="shared" si="13"/>
        <v>-1064.2999999999884</v>
      </c>
      <c r="H52" s="1756">
        <f t="shared" si="13"/>
        <v>-4999</v>
      </c>
      <c r="I52" s="1756">
        <f t="shared" si="13"/>
        <v>42095</v>
      </c>
      <c r="J52" s="1756">
        <f t="shared" si="13"/>
        <v>48879</v>
      </c>
      <c r="K52" s="1756">
        <f t="shared" si="13"/>
        <v>-32506</v>
      </c>
      <c r="L52" s="1756">
        <f t="shared" si="13"/>
        <v>-38703</v>
      </c>
      <c r="M52" s="1756">
        <f t="shared" si="13"/>
        <v>15444.76999999999</v>
      </c>
      <c r="N52" s="1756">
        <f t="shared" si="13"/>
        <v>-123192.13</v>
      </c>
      <c r="O52" s="1756">
        <f t="shared" si="13"/>
        <v>38241.969999999972</v>
      </c>
      <c r="P52" s="1756">
        <f t="shared" si="12"/>
        <v>10486.459999999963</v>
      </c>
      <c r="Q52" s="599"/>
      <c r="R52" s="599">
        <f t="shared" ref="R52:R55" si="14">+SUM(D52:L52)</f>
        <v>79991.850000000006</v>
      </c>
      <c r="W52" s="599"/>
    </row>
    <row r="53" spans="2:28" ht="15" thickBot="1">
      <c r="B53" s="1554" t="s">
        <v>1338</v>
      </c>
      <c r="C53" s="1751" t="s">
        <v>1340</v>
      </c>
      <c r="D53" s="1756">
        <f>+D22+D31+D45</f>
        <v>51910</v>
      </c>
      <c r="E53" s="1756">
        <f>+E22+E31+E45</f>
        <v>16991</v>
      </c>
      <c r="F53" s="1756">
        <f>+F22+F31+F45</f>
        <v>61952</v>
      </c>
      <c r="G53" s="1756">
        <f>+G22+G31+G45</f>
        <v>18807.299999999996</v>
      </c>
      <c r="H53" s="1756">
        <f t="shared" ref="H53:O53" si="15">+H22+H31+H45+H46</f>
        <v>-137850</v>
      </c>
      <c r="I53" s="1756">
        <f t="shared" si="15"/>
        <v>-22177</v>
      </c>
      <c r="J53" s="1756">
        <f t="shared" si="15"/>
        <v>-1832</v>
      </c>
      <c r="K53" s="1756">
        <f t="shared" si="15"/>
        <v>70616</v>
      </c>
      <c r="L53" s="1756">
        <f t="shared" si="15"/>
        <v>104282</v>
      </c>
      <c r="M53" s="1756">
        <f t="shared" si="15"/>
        <v>244856</v>
      </c>
      <c r="N53" s="1756">
        <f t="shared" si="15"/>
        <v>135142</v>
      </c>
      <c r="O53" s="1756">
        <f t="shared" si="15"/>
        <v>105508.50999999998</v>
      </c>
      <c r="P53" s="1756">
        <f t="shared" si="12"/>
        <v>648205.81000000006</v>
      </c>
      <c r="Q53" s="599"/>
      <c r="R53" s="599">
        <f t="shared" si="14"/>
        <v>162699.29999999999</v>
      </c>
      <c r="W53" s="599"/>
    </row>
    <row r="54" spans="2:28" ht="15" thickBot="1">
      <c r="B54" s="1558" t="s">
        <v>790</v>
      </c>
      <c r="C54" s="1751" t="s">
        <v>1340</v>
      </c>
      <c r="D54" s="1756">
        <f>SUM(D23)</f>
        <v>150438</v>
      </c>
      <c r="E54" s="1756">
        <f>SUM(E23)</f>
        <v>241440.21</v>
      </c>
      <c r="F54" s="1756">
        <f>SUM(F23)</f>
        <v>82798</v>
      </c>
      <c r="G54" s="1756">
        <f>SUM(G23)</f>
        <v>159302</v>
      </c>
      <c r="H54" s="1756">
        <f>SUM(H23+H47)</f>
        <v>-134434</v>
      </c>
      <c r="I54" s="1756">
        <f>SUM(I23+I47)</f>
        <v>57618</v>
      </c>
      <c r="J54" s="1756">
        <f t="shared" ref="J54:O54" si="16">SUM(J23)</f>
        <v>-10017</v>
      </c>
      <c r="K54" s="1756">
        <f t="shared" si="16"/>
        <v>18985</v>
      </c>
      <c r="L54" s="1756">
        <f t="shared" si="16"/>
        <v>-1000</v>
      </c>
      <c r="M54" s="1756">
        <f t="shared" si="16"/>
        <v>-43411</v>
      </c>
      <c r="N54" s="1756">
        <f t="shared" si="16"/>
        <v>-1000</v>
      </c>
      <c r="O54" s="1756">
        <f t="shared" si="16"/>
        <v>-39625</v>
      </c>
      <c r="P54" s="1756">
        <f t="shared" si="12"/>
        <v>481094.20999999996</v>
      </c>
      <c r="Q54" s="599"/>
      <c r="R54" s="599">
        <f t="shared" si="14"/>
        <v>565130.21</v>
      </c>
      <c r="V54" s="599"/>
      <c r="W54" s="599"/>
    </row>
    <row r="55" spans="2:28" ht="15" thickBot="1">
      <c r="B55" s="1558" t="s">
        <v>1573</v>
      </c>
      <c r="C55" s="1751" t="s">
        <v>1340</v>
      </c>
      <c r="D55" s="1756">
        <f t="shared" ref="D55:O55" si="17">+D24+D36</f>
        <v>-14044</v>
      </c>
      <c r="E55" s="1756">
        <f t="shared" si="17"/>
        <v>21682</v>
      </c>
      <c r="F55" s="1756">
        <f t="shared" si="17"/>
        <v>45478</v>
      </c>
      <c r="G55" s="1756">
        <f t="shared" si="17"/>
        <v>-14380</v>
      </c>
      <c r="H55" s="1756">
        <f t="shared" si="17"/>
        <v>399568</v>
      </c>
      <c r="I55" s="1756">
        <f t="shared" si="17"/>
        <v>156951</v>
      </c>
      <c r="J55" s="1756">
        <f t="shared" si="17"/>
        <v>-5684.8</v>
      </c>
      <c r="K55" s="1756">
        <f t="shared" si="17"/>
        <v>93839.2</v>
      </c>
      <c r="L55" s="1756">
        <f t="shared" si="17"/>
        <v>-5684.8</v>
      </c>
      <c r="M55" s="1756">
        <f t="shared" si="17"/>
        <v>105069.2</v>
      </c>
      <c r="N55" s="1756">
        <f t="shared" si="17"/>
        <v>272528.2</v>
      </c>
      <c r="O55" s="1756">
        <f t="shared" si="17"/>
        <v>343829.2</v>
      </c>
      <c r="P55" s="1756">
        <f t="shared" si="12"/>
        <v>1399151.1999999997</v>
      </c>
      <c r="Q55" s="599"/>
      <c r="R55" s="599">
        <f t="shared" si="14"/>
        <v>677724.59999999986</v>
      </c>
      <c r="W55" s="599"/>
    </row>
    <row r="56" spans="2:28" ht="18.75" customHeight="1" thickBot="1">
      <c r="B56" s="1571" t="s">
        <v>212</v>
      </c>
      <c r="C56" s="1556" t="s">
        <v>1340</v>
      </c>
      <c r="D56" s="1556">
        <f>SUM(D51:D55)</f>
        <v>310497.71330472105</v>
      </c>
      <c r="E56" s="1556">
        <f t="shared" ref="E56:O56" si="18">SUM(E51:E55)</f>
        <v>410632.37845493574</v>
      </c>
      <c r="F56" s="1556">
        <f t="shared" si="18"/>
        <v>185472.57725321889</v>
      </c>
      <c r="G56" s="1556">
        <f t="shared" si="18"/>
        <v>49464.273605150142</v>
      </c>
      <c r="H56" s="1556">
        <f t="shared" si="18"/>
        <v>81519.44206008577</v>
      </c>
      <c r="I56" s="1556">
        <f t="shared" si="18"/>
        <v>186425.32832618026</v>
      </c>
      <c r="J56" s="1556">
        <f t="shared" si="18"/>
        <v>223111.55300429187</v>
      </c>
      <c r="K56" s="1556">
        <f t="shared" si="18"/>
        <v>285188.7021459227</v>
      </c>
      <c r="L56" s="1556">
        <f t="shared" si="18"/>
        <v>-97631.689484978575</v>
      </c>
      <c r="M56" s="1556">
        <f t="shared" si="18"/>
        <v>159767.84126072953</v>
      </c>
      <c r="N56" s="1556">
        <f t="shared" si="18"/>
        <v>188225.71914163092</v>
      </c>
      <c r="O56" s="1556">
        <f t="shared" si="18"/>
        <v>516827.02012875536</v>
      </c>
      <c r="P56" s="1556">
        <f t="shared" si="12"/>
        <v>2499500.8592006438</v>
      </c>
      <c r="Q56" s="599"/>
      <c r="R56" s="599">
        <f>SUM(R51:R55)</f>
        <v>1634680.2786695277</v>
      </c>
    </row>
    <row r="57" spans="2:28" ht="18.75" customHeight="1" thickBot="1">
      <c r="B57" s="1765"/>
      <c r="C57" s="1765"/>
      <c r="D57" s="1765"/>
      <c r="E57" s="1765"/>
      <c r="F57" s="1765"/>
      <c r="G57" s="1765"/>
      <c r="H57" s="1765"/>
      <c r="I57" s="1765"/>
      <c r="J57" s="1765"/>
      <c r="K57" s="1765"/>
      <c r="L57" s="1765"/>
      <c r="M57" s="1765"/>
      <c r="N57" s="1765"/>
      <c r="O57" s="1765"/>
      <c r="P57" s="1765"/>
      <c r="Q57" s="599"/>
      <c r="R57" s="599"/>
    </row>
    <row r="58" spans="2:28" ht="18.75" customHeight="1" thickBot="1">
      <c r="B58" s="1555" t="s">
        <v>1349</v>
      </c>
      <c r="C58" s="1555" t="s">
        <v>1349</v>
      </c>
      <c r="D58" s="1556">
        <f>+D56+T9</f>
        <v>564489.87415642303</v>
      </c>
      <c r="E58" s="1556">
        <f>+D58+E56</f>
        <v>975122.25261135877</v>
      </c>
      <c r="F58" s="1556">
        <f t="shared" ref="F58:O58" si="19">+E58+F56</f>
        <v>1160594.8298645776</v>
      </c>
      <c r="G58" s="1556">
        <f t="shared" si="19"/>
        <v>1210059.1034697278</v>
      </c>
      <c r="H58" s="1556">
        <f t="shared" si="19"/>
        <v>1291578.5455298135</v>
      </c>
      <c r="I58" s="1556">
        <f t="shared" si="19"/>
        <v>1478003.8738559939</v>
      </c>
      <c r="J58" s="1556">
        <f t="shared" si="19"/>
        <v>1701115.4268602857</v>
      </c>
      <c r="K58" s="1556">
        <f t="shared" si="19"/>
        <v>1986304.1290062084</v>
      </c>
      <c r="L58" s="1556">
        <f t="shared" si="19"/>
        <v>1888672.4395212298</v>
      </c>
      <c r="M58" s="1556">
        <f t="shared" si="19"/>
        <v>2048440.2807819594</v>
      </c>
      <c r="N58" s="1556">
        <f t="shared" si="19"/>
        <v>2236665.9999235906</v>
      </c>
      <c r="O58" s="1556">
        <f t="shared" si="19"/>
        <v>2753493.0200523459</v>
      </c>
      <c r="P58" s="1556">
        <f>+O58</f>
        <v>2753493.0200523459</v>
      </c>
      <c r="Q58" s="599"/>
      <c r="R58" s="599"/>
    </row>
    <row r="59" spans="2:28" ht="15" thickBot="1">
      <c r="B59" s="599"/>
      <c r="C59" s="599"/>
      <c r="D59" s="599"/>
      <c r="E59" s="599"/>
      <c r="F59" s="599"/>
      <c r="G59" s="599"/>
      <c r="H59" s="599"/>
      <c r="I59" s="599"/>
      <c r="J59" s="599"/>
      <c r="K59" s="599"/>
      <c r="L59" s="599"/>
      <c r="M59" s="599"/>
      <c r="N59" s="599"/>
      <c r="O59" s="599"/>
      <c r="P59" s="599"/>
      <c r="Q59" s="1547"/>
      <c r="S59" s="1547"/>
    </row>
    <row r="60" spans="2:28" ht="15" thickBot="1">
      <c r="B60" s="1551" t="s">
        <v>1335</v>
      </c>
      <c r="C60" s="1552" t="s">
        <v>1395</v>
      </c>
      <c r="D60" s="1552">
        <v>45658</v>
      </c>
      <c r="E60" s="1552">
        <v>45689</v>
      </c>
      <c r="F60" s="1552">
        <v>45717</v>
      </c>
      <c r="G60" s="1552">
        <v>45748</v>
      </c>
      <c r="H60" s="1552">
        <v>45778</v>
      </c>
      <c r="I60" s="1552">
        <v>45809</v>
      </c>
      <c r="J60" s="1552">
        <v>45839</v>
      </c>
      <c r="K60" s="1552">
        <v>45870</v>
      </c>
      <c r="L60" s="1552">
        <v>45901</v>
      </c>
      <c r="M60" s="1552">
        <v>45931</v>
      </c>
      <c r="N60" s="1552">
        <v>45962</v>
      </c>
      <c r="O60" s="1552">
        <v>45992</v>
      </c>
      <c r="P60" s="1553" t="s">
        <v>734</v>
      </c>
      <c r="Q60" s="1547"/>
      <c r="R60" s="1551" t="s">
        <v>1335</v>
      </c>
      <c r="S60" s="1553" t="s">
        <v>734</v>
      </c>
    </row>
    <row r="61" spans="2:28" ht="15" thickBot="1">
      <c r="B61" s="1554" t="s">
        <v>1336</v>
      </c>
      <c r="C61" s="1568" t="s">
        <v>1352</v>
      </c>
      <c r="D61" s="1566">
        <f>+D51+T4</f>
        <v>170652.70064377686</v>
      </c>
      <c r="E61" s="1566">
        <f>+D61+E51</f>
        <v>303814.86909871257</v>
      </c>
      <c r="F61" s="1566">
        <f t="shared" ref="F61:O61" si="20">+E61+F51</f>
        <v>233924.44635193146</v>
      </c>
      <c r="G61" s="1566">
        <f t="shared" si="20"/>
        <v>120723.7199570816</v>
      </c>
      <c r="H61" s="1566">
        <f t="shared" si="20"/>
        <v>79958.162017167371</v>
      </c>
      <c r="I61" s="1566">
        <f t="shared" si="20"/>
        <v>31896.490343347628</v>
      </c>
      <c r="J61" s="1566">
        <f t="shared" si="20"/>
        <v>223662.84334763949</v>
      </c>
      <c r="K61" s="1566">
        <f t="shared" si="20"/>
        <v>357917.34549356217</v>
      </c>
      <c r="L61" s="1566">
        <f t="shared" si="20"/>
        <v>201391.4560085836</v>
      </c>
      <c r="M61" s="1566">
        <f t="shared" si="20"/>
        <v>39200.327269313158</v>
      </c>
      <c r="N61" s="1566">
        <f t="shared" si="20"/>
        <v>-56052.023589055942</v>
      </c>
      <c r="O61" s="1566">
        <f t="shared" si="20"/>
        <v>12820.31653969943</v>
      </c>
      <c r="P61" s="1561">
        <f>+O61</f>
        <v>12820.31653969943</v>
      </c>
      <c r="Q61" s="1547"/>
      <c r="R61" s="1554" t="s">
        <v>790</v>
      </c>
      <c r="S61" s="1561">
        <v>1202.5410099999999</v>
      </c>
    </row>
    <row r="62" spans="2:28" ht="15" thickBot="1">
      <c r="B62" s="1554" t="s">
        <v>1337</v>
      </c>
      <c r="C62" s="1568" t="s">
        <v>1352</v>
      </c>
      <c r="D62" s="1559">
        <f>+D52+T5</f>
        <v>140565.84351264618</v>
      </c>
      <c r="E62" s="1559">
        <f>+D62+E52</f>
        <v>137922.84351264618</v>
      </c>
      <c r="F62" s="1559">
        <f t="shared" ref="F62:O62" si="21">+E62+F52</f>
        <v>203057.84351264618</v>
      </c>
      <c r="G62" s="1559">
        <f t="shared" si="21"/>
        <v>201993.5435126462</v>
      </c>
      <c r="H62" s="1559">
        <f t="shared" si="21"/>
        <v>196994.5435126462</v>
      </c>
      <c r="I62" s="1559">
        <f t="shared" si="21"/>
        <v>239089.5435126462</v>
      </c>
      <c r="J62" s="1559">
        <f t="shared" si="21"/>
        <v>287968.54351264623</v>
      </c>
      <c r="K62" s="1559">
        <f t="shared" si="21"/>
        <v>255462.54351264623</v>
      </c>
      <c r="L62" s="1559">
        <f t="shared" si="21"/>
        <v>216759.54351264623</v>
      </c>
      <c r="M62" s="1559">
        <f t="shared" si="21"/>
        <v>232204.31351264621</v>
      </c>
      <c r="N62" s="1559">
        <f t="shared" si="21"/>
        <v>109012.18351264621</v>
      </c>
      <c r="O62" s="1559">
        <f t="shared" si="21"/>
        <v>147254.15351264618</v>
      </c>
      <c r="P62" s="1561">
        <f>+O62</f>
        <v>147254.15351264618</v>
      </c>
      <c r="Q62" s="1547"/>
      <c r="R62" s="1554" t="s">
        <v>1338</v>
      </c>
      <c r="S62" s="1561">
        <v>741.72932851376152</v>
      </c>
    </row>
    <row r="63" spans="2:28" ht="15" thickBot="1">
      <c r="B63" s="1554" t="s">
        <v>1338</v>
      </c>
      <c r="C63" s="1568" t="s">
        <v>1352</v>
      </c>
      <c r="D63" s="1750">
        <f>+D53+T6</f>
        <v>61532.33</v>
      </c>
      <c r="E63" s="1750">
        <f>+D63+E53</f>
        <v>78523.33</v>
      </c>
      <c r="F63" s="1750">
        <f t="shared" ref="F63:O63" si="22">+E63+F53</f>
        <v>140475.33000000002</v>
      </c>
      <c r="G63" s="1750">
        <f t="shared" si="22"/>
        <v>159282.63</v>
      </c>
      <c r="H63" s="1750">
        <f t="shared" si="22"/>
        <v>21432.630000000005</v>
      </c>
      <c r="I63" s="1750">
        <f t="shared" si="22"/>
        <v>-744.36999999999534</v>
      </c>
      <c r="J63" s="1750">
        <f t="shared" si="22"/>
        <v>-2576.3699999999953</v>
      </c>
      <c r="K63" s="1750">
        <f t="shared" si="22"/>
        <v>68039.63</v>
      </c>
      <c r="L63" s="1750">
        <f t="shared" si="22"/>
        <v>172321.63</v>
      </c>
      <c r="M63" s="1750">
        <f t="shared" si="22"/>
        <v>417177.63</v>
      </c>
      <c r="N63" s="1750">
        <f t="shared" si="22"/>
        <v>552319.63</v>
      </c>
      <c r="O63" s="1750">
        <f t="shared" si="22"/>
        <v>657828.14</v>
      </c>
      <c r="P63" s="1572">
        <f>+O63</f>
        <v>657828.14</v>
      </c>
      <c r="Q63" s="1547"/>
      <c r="R63" s="1554" t="s">
        <v>1573</v>
      </c>
      <c r="S63" s="1572">
        <v>670.07939999999962</v>
      </c>
    </row>
    <row r="64" spans="2:28" ht="15" thickBot="1">
      <c r="B64" s="1558" t="s">
        <v>790</v>
      </c>
      <c r="C64" s="1568" t="s">
        <v>1352</v>
      </c>
      <c r="D64" s="1559">
        <f>+D54+T7</f>
        <v>205783</v>
      </c>
      <c r="E64" s="1559">
        <f>+D64+E54</f>
        <v>447223.20999999996</v>
      </c>
      <c r="F64" s="1559">
        <f t="shared" ref="F64:O64" si="23">+E64+F54</f>
        <v>530021.21</v>
      </c>
      <c r="G64" s="1559">
        <f t="shared" si="23"/>
        <v>689323.21</v>
      </c>
      <c r="H64" s="1559">
        <f t="shared" si="23"/>
        <v>554889.21</v>
      </c>
      <c r="I64" s="1559">
        <f t="shared" si="23"/>
        <v>612507.21</v>
      </c>
      <c r="J64" s="1559">
        <f t="shared" si="23"/>
        <v>602490.21</v>
      </c>
      <c r="K64" s="1559">
        <f t="shared" si="23"/>
        <v>621475.21</v>
      </c>
      <c r="L64" s="1559">
        <f t="shared" si="23"/>
        <v>620475.21</v>
      </c>
      <c r="M64" s="1559">
        <f t="shared" si="23"/>
        <v>577064.21</v>
      </c>
      <c r="N64" s="1559">
        <f t="shared" si="23"/>
        <v>576064.21</v>
      </c>
      <c r="O64" s="1559">
        <f t="shared" si="23"/>
        <v>536439.21</v>
      </c>
      <c r="P64" s="1561">
        <f>+O64</f>
        <v>536439.21</v>
      </c>
      <c r="Q64" s="1547"/>
      <c r="R64" s="1558" t="s">
        <v>1337</v>
      </c>
      <c r="S64" s="1561">
        <v>384.33119351264611</v>
      </c>
    </row>
    <row r="65" spans="2:19" ht="15" thickBot="1">
      <c r="B65" s="1558" t="s">
        <v>1573</v>
      </c>
      <c r="C65" s="1568" t="s">
        <v>1352</v>
      </c>
      <c r="D65" s="1559">
        <f>+D55+T8</f>
        <v>-14044</v>
      </c>
      <c r="E65" s="1559">
        <f>+D65+E55</f>
        <v>7638</v>
      </c>
      <c r="F65" s="1559">
        <f t="shared" ref="F65:O65" si="24">+E65+F55</f>
        <v>53116</v>
      </c>
      <c r="G65" s="1559">
        <f t="shared" si="24"/>
        <v>38736</v>
      </c>
      <c r="H65" s="1559">
        <f t="shared" si="24"/>
        <v>438304</v>
      </c>
      <c r="I65" s="1559">
        <f t="shared" si="24"/>
        <v>595255</v>
      </c>
      <c r="J65" s="1559">
        <f t="shared" si="24"/>
        <v>589570.19999999995</v>
      </c>
      <c r="K65" s="1559">
        <f t="shared" si="24"/>
        <v>683409.39999999991</v>
      </c>
      <c r="L65" s="1559">
        <f t="shared" si="24"/>
        <v>677724.59999999986</v>
      </c>
      <c r="M65" s="1559">
        <f t="shared" si="24"/>
        <v>782793.79999999981</v>
      </c>
      <c r="N65" s="1559">
        <f t="shared" si="24"/>
        <v>1055321.9999999998</v>
      </c>
      <c r="O65" s="1559">
        <f t="shared" si="24"/>
        <v>1399151.1999999997</v>
      </c>
      <c r="P65" s="1561">
        <f>+O65</f>
        <v>1399151.1999999997</v>
      </c>
      <c r="Q65" s="1547"/>
      <c r="R65" s="1558" t="s">
        <v>1336</v>
      </c>
      <c r="S65" s="1561">
        <v>-407.13954399141642</v>
      </c>
    </row>
    <row r="66" spans="2:19" ht="15" thickBot="1">
      <c r="B66" s="1555" t="s">
        <v>1339</v>
      </c>
      <c r="C66" s="1555" t="s">
        <v>1339</v>
      </c>
      <c r="D66" s="1556">
        <f>SUM(D61:D65)</f>
        <v>564489.87415642315</v>
      </c>
      <c r="E66" s="1556">
        <f t="shared" ref="E66:O66" si="25">SUM(E61:E65)</f>
        <v>975122.25261135865</v>
      </c>
      <c r="F66" s="1556">
        <f t="shared" si="25"/>
        <v>1160594.8298645776</v>
      </c>
      <c r="G66" s="1556">
        <f t="shared" si="25"/>
        <v>1210059.1034697278</v>
      </c>
      <c r="H66" s="1556">
        <f t="shared" si="25"/>
        <v>1291578.5455298135</v>
      </c>
      <c r="I66" s="1556">
        <f t="shared" si="25"/>
        <v>1478003.8738559939</v>
      </c>
      <c r="J66" s="1556">
        <f t="shared" si="25"/>
        <v>1701115.4268602857</v>
      </c>
      <c r="K66" s="1556">
        <f t="shared" si="25"/>
        <v>1986304.1290062084</v>
      </c>
      <c r="L66" s="1556">
        <f>SUM(L61:L65)</f>
        <v>1888672.4395212296</v>
      </c>
      <c r="M66" s="1556">
        <f t="shared" si="25"/>
        <v>2048440.2807819592</v>
      </c>
      <c r="N66" s="1556">
        <f t="shared" si="25"/>
        <v>2236665.9999235896</v>
      </c>
      <c r="O66" s="1556">
        <f t="shared" si="25"/>
        <v>2753493.0200523455</v>
      </c>
      <c r="P66" s="1556">
        <f>SUM(P61:P65)</f>
        <v>2753493.0200523455</v>
      </c>
      <c r="Q66" s="1547"/>
      <c r="R66" s="1556" t="s">
        <v>734</v>
      </c>
      <c r="S66" s="1556">
        <f>SUM(S61:S65)</f>
        <v>2591.5413880349911</v>
      </c>
    </row>
    <row r="67" spans="2:19">
      <c r="B67" s="1546"/>
      <c r="C67" s="1546"/>
      <c r="D67" s="1546"/>
      <c r="E67" s="1546"/>
      <c r="F67" s="1546"/>
      <c r="G67" s="1546"/>
      <c r="H67" s="1546"/>
      <c r="I67" s="1546"/>
      <c r="J67" s="1546"/>
      <c r="K67" s="1546"/>
      <c r="L67" s="1546"/>
      <c r="M67" s="1546"/>
      <c r="N67" s="1546"/>
      <c r="O67" s="1546"/>
      <c r="P67" s="1546"/>
      <c r="Q67" s="1547"/>
    </row>
    <row r="68" spans="2:19"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1547"/>
    </row>
    <row r="69" spans="2:19">
      <c r="D69" s="599"/>
      <c r="E69" s="599"/>
      <c r="F69" s="599"/>
      <c r="G69" s="599"/>
      <c r="H69" s="599"/>
      <c r="I69" s="599"/>
      <c r="J69" s="599"/>
      <c r="K69" s="599"/>
      <c r="L69" s="599"/>
      <c r="M69" s="599"/>
      <c r="N69" s="599"/>
      <c r="O69" s="599"/>
      <c r="P69" s="599"/>
      <c r="Q69" s="1547"/>
    </row>
    <row r="70" spans="2:19">
      <c r="D70" s="1547"/>
      <c r="P70" s="599"/>
    </row>
    <row r="71" spans="2:19">
      <c r="D71" s="1547"/>
    </row>
    <row r="72" spans="2:19">
      <c r="D72" s="599"/>
      <c r="E72" s="599"/>
      <c r="F72" s="599"/>
      <c r="G72" s="599"/>
      <c r="H72" s="599"/>
      <c r="I72" s="599"/>
      <c r="J72" s="599"/>
      <c r="K72" s="599"/>
      <c r="L72" s="599"/>
    </row>
    <row r="74" spans="2:19">
      <c r="D74" s="599"/>
      <c r="E74" s="599"/>
      <c r="F74" s="599"/>
      <c r="G74" s="599"/>
      <c r="H74" s="599"/>
      <c r="I74" s="599"/>
      <c r="J74" s="599"/>
      <c r="K74" s="599"/>
      <c r="L74" s="599"/>
    </row>
    <row r="128" spans="8:15">
      <c r="H128" s="1546"/>
      <c r="I128" s="1546"/>
      <c r="J128" s="1546"/>
      <c r="K128" s="1546"/>
      <c r="L128" s="1546"/>
      <c r="M128" s="1546"/>
      <c r="N128" s="1546"/>
      <c r="O128" s="1546"/>
    </row>
    <row r="130" spans="4:12">
      <c r="D130" s="637"/>
      <c r="J130" s="599"/>
    </row>
    <row r="132" spans="4:12">
      <c r="D132" s="637"/>
      <c r="E132" s="637"/>
      <c r="F132" s="637"/>
      <c r="G132" s="637"/>
      <c r="H132" s="637"/>
      <c r="I132" s="637"/>
      <c r="J132" s="637"/>
      <c r="K132" s="637"/>
      <c r="L132" s="637"/>
    </row>
    <row r="137" spans="4:12">
      <c r="D137" s="637"/>
      <c r="E137" s="637"/>
      <c r="F137" s="637"/>
      <c r="G137" s="637"/>
      <c r="H137" s="637"/>
      <c r="I137" s="637"/>
      <c r="J137" s="637"/>
      <c r="K137" s="637"/>
      <c r="L137" s="637"/>
    </row>
  </sheetData>
  <sortState xmlns:xlrd2="http://schemas.microsoft.com/office/spreadsheetml/2017/richdata2" ref="R61:S65">
    <sortCondition descending="1" ref="S61:S65"/>
  </sortState>
  <conditionalFormatting sqref="D20:P24">
    <cfRule type="cellIs" dxfId="343" priority="5" operator="lessThan">
      <formula>0</formula>
    </cfRule>
  </conditionalFormatting>
  <conditionalFormatting sqref="D51:P55">
    <cfRule type="cellIs" dxfId="342" priority="4" operator="lessThan">
      <formula>0</formula>
    </cfRule>
  </conditionalFormatting>
  <conditionalFormatting sqref="D61:P65">
    <cfRule type="cellIs" dxfId="341" priority="3" operator="lessThan">
      <formula>0</formula>
    </cfRule>
  </conditionalFormatting>
  <conditionalFormatting sqref="S61:S65">
    <cfRule type="cellIs" dxfId="340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FC66-6A12-41D1-9F5B-30C9B0820A63}">
  <sheetPr codeName="Hoja7">
    <tabColor rgb="FFFFFF00"/>
  </sheetPr>
  <dimension ref="B1:AF137"/>
  <sheetViews>
    <sheetView topLeftCell="A32" zoomScale="80" zoomScaleNormal="80" workbookViewId="0">
      <selection activeCell="L63" sqref="L63"/>
    </sheetView>
  </sheetViews>
  <sheetFormatPr baseColWidth="10" defaultColWidth="11.5" defaultRowHeight="14"/>
  <cols>
    <col min="1" max="1" width="11.5" style="13"/>
    <col min="2" max="2" width="19.83203125" style="13" bestFit="1" customWidth="1"/>
    <col min="3" max="3" width="28.5" style="13" customWidth="1"/>
    <col min="4" max="15" width="12" style="13" customWidth="1"/>
    <col min="16" max="17" width="11.5" style="13"/>
    <col min="18" max="18" width="12.5" style="13" bestFit="1" customWidth="1"/>
    <col min="19" max="19" width="14.5" style="13" bestFit="1" customWidth="1"/>
    <col min="20" max="22" width="11.5" style="13"/>
    <col min="23" max="23" width="20" style="13" customWidth="1"/>
    <col min="24" max="16384" width="11.5" style="13"/>
  </cols>
  <sheetData>
    <row r="1" spans="2:24" ht="15" thickBot="1">
      <c r="D1" s="1547"/>
      <c r="E1" s="1547"/>
      <c r="F1" s="1547"/>
      <c r="G1" s="1547"/>
      <c r="H1" s="1547"/>
      <c r="I1" s="1547"/>
      <c r="J1" s="1547"/>
      <c r="K1" s="1547"/>
      <c r="L1" s="1547">
        <v>6853202.4746723399</v>
      </c>
      <c r="M1" s="1547">
        <f>+L10-L1</f>
        <v>73593.424598046578</v>
      </c>
      <c r="N1" s="2304">
        <f>+M1/L10</f>
        <v>1.0624454028708761E-2</v>
      </c>
      <c r="O1" s="1547"/>
    </row>
    <row r="2" spans="2:24" ht="15.75" customHeight="1" thickBot="1">
      <c r="D2" s="1547"/>
      <c r="E2" s="1547"/>
      <c r="F2" s="1547"/>
      <c r="G2" s="1547"/>
      <c r="H2" s="1547"/>
      <c r="I2" s="1547"/>
      <c r="J2" s="1547">
        <f t="shared" ref="J2:O2" si="0">+J17/1000</f>
        <v>641.80298562231769</v>
      </c>
      <c r="K2" s="1547">
        <f t="shared" si="0"/>
        <v>678.9957055793991</v>
      </c>
      <c r="L2" s="1547">
        <f t="shared" si="0"/>
        <v>666.9761251072963</v>
      </c>
      <c r="M2" s="1547">
        <f t="shared" si="0"/>
        <v>729.50445987124465</v>
      </c>
      <c r="N2" s="1547">
        <f t="shared" si="0"/>
        <v>586.01155373390577</v>
      </c>
      <c r="O2" s="1547">
        <f t="shared" si="0"/>
        <v>976.72233540772527</v>
      </c>
      <c r="V2" s="2500" t="s">
        <v>1805</v>
      </c>
      <c r="W2" s="2501"/>
      <c r="X2" s="2502"/>
    </row>
    <row r="3" spans="2:24" ht="15" thickBot="1">
      <c r="B3" s="1551" t="s">
        <v>1335</v>
      </c>
      <c r="C3" s="1552" t="s">
        <v>1395</v>
      </c>
      <c r="D3" s="1552">
        <v>45658</v>
      </c>
      <c r="E3" s="1552">
        <v>45689</v>
      </c>
      <c r="F3" s="1552">
        <v>45717</v>
      </c>
      <c r="G3" s="1552">
        <v>45748</v>
      </c>
      <c r="H3" s="1552">
        <v>45778</v>
      </c>
      <c r="I3" s="1552">
        <v>45809</v>
      </c>
      <c r="J3" s="1552">
        <v>45839</v>
      </c>
      <c r="K3" s="1552">
        <v>45870</v>
      </c>
      <c r="L3" s="1552">
        <v>45901</v>
      </c>
      <c r="M3" s="1552">
        <v>45931</v>
      </c>
      <c r="N3" s="1552">
        <v>45962</v>
      </c>
      <c r="O3" s="1552">
        <v>45992</v>
      </c>
      <c r="P3" s="1553" t="s">
        <v>734</v>
      </c>
      <c r="R3" s="1551" t="s">
        <v>1335</v>
      </c>
      <c r="S3" s="1552" t="s">
        <v>1395</v>
      </c>
      <c r="T3" s="1552">
        <v>45658</v>
      </c>
      <c r="V3" s="2283" t="s">
        <v>1803</v>
      </c>
      <c r="W3" s="2283" t="s">
        <v>1804</v>
      </c>
      <c r="X3" s="2283" t="s">
        <v>769</v>
      </c>
    </row>
    <row r="4" spans="2:24" ht="15" thickBot="1">
      <c r="B4" s="1558" t="s">
        <v>1336</v>
      </c>
      <c r="C4" s="1567" t="s">
        <v>1344</v>
      </c>
      <c r="D4" s="1566">
        <f>+'Flujo Redco Chile'!C12</f>
        <v>362362.73390557943</v>
      </c>
      <c r="E4" s="1566">
        <f>+'Flujo Redco Chile'!D12</f>
        <v>547310.61909871246</v>
      </c>
      <c r="F4" s="1566">
        <f>+'Flujo Redco Chile'!E12</f>
        <v>389727.45708154509</v>
      </c>
      <c r="G4" s="1566">
        <f>+'Flujo Redco Chile'!F12</f>
        <v>237434.48497854077</v>
      </c>
      <c r="H4" s="1566">
        <f>+'Flujo Redco Chile'!G12</f>
        <v>272631.08476394851</v>
      </c>
      <c r="I4" s="1566">
        <f>+'Flujo Redco Chile'!H12</f>
        <v>277419.07296137337</v>
      </c>
      <c r="J4" s="1566">
        <f>+'Flujo Redco Chile'!I12</f>
        <v>475570.74892703863</v>
      </c>
      <c r="K4" s="1566">
        <f>+'Flujo Redco Chile'!J12</f>
        <v>151482.73712446351</v>
      </c>
      <c r="L4" s="1566">
        <f>+'Flujo Redco Chile'!K12</f>
        <v>297925.05042918457</v>
      </c>
      <c r="M4" s="2384">
        <f>+'Flujo Redco Chile'!L12</f>
        <v>158266.46030042917</v>
      </c>
      <c r="N4" s="2310">
        <f>+'Flujo Redco Chile'!M12</f>
        <v>248788.92596566523</v>
      </c>
      <c r="O4" s="2310">
        <f>+'Flujo Redco Chile'!N12</f>
        <v>173207.55042918454</v>
      </c>
      <c r="P4" s="1744">
        <f>SUM(D4:O4)</f>
        <v>3592126.9259656654</v>
      </c>
      <c r="R4" s="1554" t="s">
        <v>1336</v>
      </c>
      <c r="S4" s="1745" t="s">
        <v>1341</v>
      </c>
      <c r="T4" s="1768">
        <f>+'Flujo Redco Chile'!C8</f>
        <v>52257.137339055793</v>
      </c>
      <c r="V4" s="2280" t="s">
        <v>1336</v>
      </c>
      <c r="W4" s="2281" t="s">
        <v>1802</v>
      </c>
      <c r="X4" s="2282">
        <f>SUM(D4:L4)</f>
        <v>3011863.9892703863</v>
      </c>
    </row>
    <row r="5" spans="2:24" ht="15" thickBot="1">
      <c r="B5" s="1558" t="s">
        <v>1337</v>
      </c>
      <c r="C5" s="1567" t="s">
        <v>1344</v>
      </c>
      <c r="D5" s="1566">
        <f>+'Flujo Redco Perú'!C13</f>
        <v>123848</v>
      </c>
      <c r="E5" s="1566">
        <f>+'Flujo Redco Perú'!D13</f>
        <v>62454</v>
      </c>
      <c r="F5" s="1566">
        <f>+'Flujo Redco Perú'!E13</f>
        <v>105377</v>
      </c>
      <c r="G5" s="1566">
        <f>+'Flujo Redco Perú'!F13</f>
        <v>110077</v>
      </c>
      <c r="H5" s="1566">
        <f>+'Flujo Redco Perú'!G13</f>
        <v>142610</v>
      </c>
      <c r="I5" s="1566">
        <f>+'Flujo Redco Perú'!H13</f>
        <v>229588</v>
      </c>
      <c r="J5" s="1566">
        <f>+'Flujo Redco Perú'!I13</f>
        <v>251702</v>
      </c>
      <c r="K5" s="1566">
        <f>+'Flujo Redco Perú'!J13</f>
        <v>641573</v>
      </c>
      <c r="L5" s="1566">
        <f>+'Flujo Redco Perú'!K13</f>
        <v>119133</v>
      </c>
      <c r="M5" s="2384">
        <f>+'Flujo Redco Perú'!L13</f>
        <v>265449</v>
      </c>
      <c r="N5" s="2310">
        <f>+'Flujo Redco Perú'!M13</f>
        <v>96110</v>
      </c>
      <c r="O5" s="2310">
        <f>+'Flujo Redco Perú'!N13</f>
        <v>269432</v>
      </c>
      <c r="P5" s="1744">
        <f>SUM(D5:O5)</f>
        <v>2417353</v>
      </c>
      <c r="R5" s="1554" t="s">
        <v>1337</v>
      </c>
      <c r="S5" s="1751" t="s">
        <v>1341</v>
      </c>
      <c r="T5" s="1744">
        <f>+'Flujo Redco Perú'!C9</f>
        <v>136767.69351264619</v>
      </c>
      <c r="V5" s="2280" t="s">
        <v>1337</v>
      </c>
      <c r="W5" s="1767" t="s">
        <v>1802</v>
      </c>
      <c r="X5" s="2282">
        <f>SUM(D5:L5)</f>
        <v>1786362</v>
      </c>
    </row>
    <row r="6" spans="2:24" ht="15" thickBot="1">
      <c r="B6" s="1558" t="s">
        <v>1338</v>
      </c>
      <c r="C6" s="1567" t="s">
        <v>1344</v>
      </c>
      <c r="D6" s="1566">
        <f>+'Flujo Redco Brasil'!C14</f>
        <v>80502</v>
      </c>
      <c r="E6" s="1566">
        <f>+'Flujo Redco Brasil'!D14</f>
        <v>59683</v>
      </c>
      <c r="F6" s="1566">
        <f>+'Flujo Redco Brasil'!E14</f>
        <v>96322</v>
      </c>
      <c r="G6" s="1566">
        <f>+'Flujo Redco Brasil'!F14</f>
        <v>97209.7</v>
      </c>
      <c r="H6" s="1566">
        <f>+'Flujo Redco Brasil'!G14</f>
        <v>37074</v>
      </c>
      <c r="I6" s="1566">
        <f>+'Flujo Redco Brasil'!H14</f>
        <v>66563</v>
      </c>
      <c r="J6" s="1566">
        <f>+'Flujo Redco Brasil'!I14</f>
        <v>47717</v>
      </c>
      <c r="K6" s="1566">
        <f>+'Flujo Redco Brasil'!J14</f>
        <v>119652</v>
      </c>
      <c r="L6" s="1566">
        <f>+'Flujo Redco Brasil'!K14</f>
        <v>203588</v>
      </c>
      <c r="M6" s="2384">
        <f>+'Flujo Redco Brasil'!L14</f>
        <v>325062</v>
      </c>
      <c r="N6" s="2310">
        <f>+'Flujo Redco Brasil'!M14</f>
        <v>239603</v>
      </c>
      <c r="O6" s="2310">
        <f>+'Flujo Redco Brasil'!N14</f>
        <v>224116.50999999998</v>
      </c>
      <c r="P6" s="1744">
        <f>SUM(D6:O6)</f>
        <v>1597092.21</v>
      </c>
      <c r="R6" s="1554" t="s">
        <v>1338</v>
      </c>
      <c r="S6" s="1751" t="s">
        <v>1341</v>
      </c>
      <c r="T6" s="1744">
        <f>+'Flujo Redco Brasil'!C9</f>
        <v>9622.33</v>
      </c>
      <c r="W6" s="2281" t="s">
        <v>230</v>
      </c>
      <c r="X6" s="2284">
        <f>SUM(X4:X5)</f>
        <v>4798225.9892703863</v>
      </c>
    </row>
    <row r="7" spans="2:24" ht="15" thickBot="1">
      <c r="B7" s="1558" t="s">
        <v>790</v>
      </c>
      <c r="C7" s="1567" t="s">
        <v>1344</v>
      </c>
      <c r="D7" s="1566">
        <f>+'Flujo Redco USA'!C13</f>
        <v>150453</v>
      </c>
      <c r="E7" s="1566">
        <f>+'Flujo Redco USA'!D13</f>
        <v>243465.21</v>
      </c>
      <c r="F7" s="1566">
        <f>+'Flujo Redco USA'!E13</f>
        <v>141526</v>
      </c>
      <c r="G7" s="1566">
        <f>+'Flujo Redco USA'!F13</f>
        <v>169200</v>
      </c>
      <c r="H7" s="1566">
        <f>+'Flujo Redco USA'!G13</f>
        <v>195090</v>
      </c>
      <c r="I7" s="1566">
        <f>+'Flujo Redco USA'!H13</f>
        <v>61796</v>
      </c>
      <c r="J7" s="1566">
        <f>+'Flujo Redco USA'!I13</f>
        <v>0</v>
      </c>
      <c r="K7" s="1566">
        <f>+'Flujo Redco USA'!J13</f>
        <v>20000</v>
      </c>
      <c r="L7" s="1566">
        <f>+'Flujo Redco USA'!K13</f>
        <v>0</v>
      </c>
      <c r="M7" s="2399">
        <f>+'Flujo Redco USA'!L13</f>
        <v>45000</v>
      </c>
      <c r="N7" s="2310">
        <f>+'Flujo Redco USA'!M13</f>
        <v>0</v>
      </c>
      <c r="O7" s="2310">
        <f>+'Flujo Redco USA'!N13</f>
        <v>178785</v>
      </c>
      <c r="P7" s="1744">
        <f>SUM(D7:O7)</f>
        <v>1205315.21</v>
      </c>
      <c r="Q7" s="600"/>
      <c r="R7" s="1558" t="s">
        <v>790</v>
      </c>
      <c r="S7" s="1751" t="s">
        <v>1341</v>
      </c>
      <c r="T7" s="1744">
        <f>+'Flujo Redco USA'!C9</f>
        <v>55345</v>
      </c>
      <c r="W7" s="1763"/>
      <c r="X7" s="2285"/>
    </row>
    <row r="8" spans="2:24" ht="15" thickBot="1">
      <c r="B8" s="1558" t="s">
        <v>1388</v>
      </c>
      <c r="C8" s="1567" t="s">
        <v>1344</v>
      </c>
      <c r="D8" s="2308">
        <f>+'Flujo Redco BVI'!C13</f>
        <v>0</v>
      </c>
      <c r="E8" s="2308">
        <f>+'Flujo Redco BVI'!D13</f>
        <v>21682</v>
      </c>
      <c r="F8" s="2308">
        <f>+'Flujo Redco BVI'!E13</f>
        <v>45478</v>
      </c>
      <c r="G8" s="2308">
        <f>+'Flujo Redco BVI'!F13</f>
        <v>0</v>
      </c>
      <c r="H8" s="2308">
        <f>+'Flujo Redco BVI'!G13</f>
        <v>0</v>
      </c>
      <c r="I8" s="2308">
        <f>+'Flujo Redco BVI'!H13</f>
        <v>172045</v>
      </c>
      <c r="J8" s="2308">
        <f>+'Flujo Redco BVI'!I13</f>
        <v>0</v>
      </c>
      <c r="K8" s="2308">
        <f>+'Flujo Redco BVI'!J13</f>
        <v>99524</v>
      </c>
      <c r="L8" s="2308">
        <f>+'Flujo Redco BVI'!K13</f>
        <v>0</v>
      </c>
      <c r="M8" s="2308">
        <f>+'Flujo Redco BVI'!L13</f>
        <v>0</v>
      </c>
      <c r="N8" s="2310">
        <f>+'Flujo Redco BVI'!M13</f>
        <v>0</v>
      </c>
      <c r="O8" s="2310">
        <f>+'Flujo Redco BVI'!N13</f>
        <v>0</v>
      </c>
      <c r="P8" s="1744">
        <f>SUM(D8:O8)</f>
        <v>338729</v>
      </c>
      <c r="Q8" s="600"/>
      <c r="R8" s="1558" t="s">
        <v>1388</v>
      </c>
      <c r="S8" s="1751" t="s">
        <v>1341</v>
      </c>
      <c r="T8" s="1566">
        <f>+'Flujo Redco BVI'!S13</f>
        <v>0</v>
      </c>
    </row>
    <row r="9" spans="2:24" ht="18.75" customHeight="1" thickBot="1">
      <c r="B9" s="1568" t="s">
        <v>212</v>
      </c>
      <c r="C9" s="1560" t="s">
        <v>1344</v>
      </c>
      <c r="D9" s="1569">
        <f>SUM(D4:D8)</f>
        <v>717165.73390557943</v>
      </c>
      <c r="E9" s="1569">
        <f t="shared" ref="E9:O9" si="1">SUM(E4:E8)</f>
        <v>934594.82909871242</v>
      </c>
      <c r="F9" s="1569">
        <f t="shared" si="1"/>
        <v>778430.45708154514</v>
      </c>
      <c r="G9" s="1569">
        <f t="shared" si="1"/>
        <v>613921.18497854075</v>
      </c>
      <c r="H9" s="1569">
        <f t="shared" si="1"/>
        <v>647405.08476394857</v>
      </c>
      <c r="I9" s="1569">
        <f t="shared" si="1"/>
        <v>807411.07296137337</v>
      </c>
      <c r="J9" s="1569">
        <f t="shared" si="1"/>
        <v>774989.74892703863</v>
      </c>
      <c r="K9" s="1569">
        <f t="shared" si="1"/>
        <v>1032231.7371244635</v>
      </c>
      <c r="L9" s="1569">
        <f t="shared" si="1"/>
        <v>620646.05042918457</v>
      </c>
      <c r="M9" s="1569">
        <f t="shared" si="1"/>
        <v>793777.46030042914</v>
      </c>
      <c r="N9" s="1569">
        <f t="shared" si="1"/>
        <v>584501.92596566526</v>
      </c>
      <c r="O9" s="1569">
        <f t="shared" si="1"/>
        <v>845541.06042918458</v>
      </c>
      <c r="P9" s="1569">
        <f>SUM(P4:P8)</f>
        <v>9150616.3459656648</v>
      </c>
      <c r="Q9" s="600"/>
      <c r="R9" s="1555" t="s">
        <v>1349</v>
      </c>
      <c r="S9" s="1555" t="s">
        <v>1349</v>
      </c>
      <c r="T9" s="1556">
        <f>SUM(T4:T8)</f>
        <v>253992.16085170198</v>
      </c>
    </row>
    <row r="10" spans="2:24" ht="18.75" customHeight="1" thickBot="1">
      <c r="B10" s="1763"/>
      <c r="C10" s="1764" t="s">
        <v>1396</v>
      </c>
      <c r="D10" s="1765">
        <f>+SUM($D$9:D9)</f>
        <v>717165.73390557943</v>
      </c>
      <c r="E10" s="1765">
        <f>+SUM($D$9:E9)</f>
        <v>1651760.5630042918</v>
      </c>
      <c r="F10" s="1765">
        <f>+SUM($D$9:F9)</f>
        <v>2430191.0200858368</v>
      </c>
      <c r="G10" s="1765">
        <f>+SUM($D$9:G9)</f>
        <v>3044112.2050643777</v>
      </c>
      <c r="H10" s="1765">
        <f>+SUM($D$9:H9)</f>
        <v>3691517.2898283266</v>
      </c>
      <c r="I10" s="1765">
        <f>+SUM($D$9:I9)</f>
        <v>4498928.3627896998</v>
      </c>
      <c r="J10" s="1765">
        <f>+SUM($D$9:J9)</f>
        <v>5273918.111716738</v>
      </c>
      <c r="K10" s="1765">
        <f>+SUM($D$9:K9)</f>
        <v>6306149.8488412015</v>
      </c>
      <c r="L10" s="2305">
        <f>+SUM($D$9:L9)</f>
        <v>6926795.8992703864</v>
      </c>
      <c r="M10" s="1765">
        <f>+SUM($D$9:M9)</f>
        <v>7720573.3595708152</v>
      </c>
      <c r="N10" s="1765">
        <f>+SUM($D$9:N9)</f>
        <v>8305075.2855364801</v>
      </c>
      <c r="O10" s="1765">
        <f>+SUM($D$9:O9)</f>
        <v>9150616.3459656648</v>
      </c>
      <c r="P10" s="1765"/>
      <c r="Q10" s="600"/>
      <c r="R10" s="599"/>
    </row>
    <row r="11" spans="2:24" ht="18.75" customHeight="1" thickBot="1">
      <c r="B11" s="1551" t="s">
        <v>1335</v>
      </c>
      <c r="C11" s="1552" t="s">
        <v>1395</v>
      </c>
      <c r="D11" s="1552">
        <v>45658</v>
      </c>
      <c r="E11" s="1552">
        <v>45689</v>
      </c>
      <c r="F11" s="1552">
        <v>45717</v>
      </c>
      <c r="G11" s="1552">
        <v>45748</v>
      </c>
      <c r="H11" s="1552">
        <v>45778</v>
      </c>
      <c r="I11" s="1552">
        <v>45809</v>
      </c>
      <c r="J11" s="1552">
        <v>45839</v>
      </c>
      <c r="K11" s="1552">
        <v>45870</v>
      </c>
      <c r="L11" s="1552">
        <v>45901</v>
      </c>
      <c r="M11" s="1552">
        <v>45931</v>
      </c>
      <c r="N11" s="1552">
        <v>45962</v>
      </c>
      <c r="O11" s="1552">
        <v>45992</v>
      </c>
      <c r="P11" s="1553" t="s">
        <v>734</v>
      </c>
      <c r="Q11" s="600"/>
      <c r="R11" s="599"/>
    </row>
    <row r="12" spans="2:24" ht="15" thickBot="1">
      <c r="B12" s="1554" t="s">
        <v>1336</v>
      </c>
      <c r="C12" s="1761" t="s">
        <v>1345</v>
      </c>
      <c r="D12" s="1762">
        <f>+'Flujo Redco Chile'!C18+'Flujo Redco Chile'!C23+'Flujo Redco Chile'!C25</f>
        <v>397276.64806866954</v>
      </c>
      <c r="E12" s="1762">
        <f>+'Flujo Redco Chile'!D18+'Flujo Redco Chile'!D23+'Flujo Redco Chile'!D25</f>
        <v>422126.63733905577</v>
      </c>
      <c r="F12" s="1762">
        <f>+'Flujo Redco Chile'!E18+'Flujo Redco Chile'!E23+'Flujo Redco Chile'!E25</f>
        <v>439899.17918454937</v>
      </c>
      <c r="G12" s="1762">
        <f>+'Flujo Redco Chile'!F18+'Flujo Redco Chile'!F23+'Flujo Redco Chile'!F25</f>
        <v>341507.34656652366</v>
      </c>
      <c r="H12" s="1762">
        <f>+'Flujo Redco Chile'!G18+'Flujo Redco Chile'!G23+'Flujo Redco Chile'!G25</f>
        <v>340134.80364806874</v>
      </c>
      <c r="I12" s="1762">
        <f>+'Flujo Redco Chile'!H18+'Flujo Redco Chile'!H23+'Flujo Redco Chile'!H25</f>
        <v>380566.1684549356</v>
      </c>
      <c r="J12" s="1762">
        <f>+'Flujo Redco Chile'!I18+'Flujo Redco Chile'!I23+'Flujo Redco Chile'!I25</f>
        <v>395727.1856223176</v>
      </c>
      <c r="K12" s="1762">
        <f>+'Flujo Redco Chile'!J18+'Flujo Redco Chile'!J23+'Flujo Redco Chile'!J25</f>
        <v>425248.90557939914</v>
      </c>
      <c r="L12" s="1762">
        <f>+'Flujo Redco Chile'!K18+'Flujo Redco Chile'!K23+'Flujo Redco Chile'!K25</f>
        <v>455871.32510729617</v>
      </c>
      <c r="M12" s="2386">
        <f>+'Flujo Redco Chile'!L18+'Flujo Redco Chile'!L23+'Flujo Redco Chile'!L25</f>
        <v>513185.65987124463</v>
      </c>
      <c r="N12" s="1952">
        <f>+'Flujo Redco Chile'!M18+'Flujo Redco Chile'!M23+'Flujo Redco Chile'!M25</f>
        <v>392218.11373390566</v>
      </c>
      <c r="O12" s="1952">
        <f>+'Flujo Redco Chile'!N18+'Flujo Redco Chile'!N23+'Flujo Redco Chile'!N25</f>
        <v>495505.53540772531</v>
      </c>
      <c r="P12" s="1757">
        <f>SUM(D12:O12)</f>
        <v>4999267.5085836919</v>
      </c>
      <c r="Q12" s="1746"/>
    </row>
    <row r="13" spans="2:24" ht="15" thickBot="1">
      <c r="B13" s="1554" t="s">
        <v>1337</v>
      </c>
      <c r="C13" s="1754" t="s">
        <v>1345</v>
      </c>
      <c r="D13" s="1753">
        <f>+'Flujo Redco Perú'!C19+'Flujo Redco Perú'!C26+'Flujo Redco Perú'!C28</f>
        <v>89462.85</v>
      </c>
      <c r="E13" s="1753">
        <f>+'Flujo Redco Perú'!D19+'Flujo Redco Perú'!D26+'Flujo Redco Perú'!D28</f>
        <v>81597</v>
      </c>
      <c r="F13" s="1753">
        <f>+'Flujo Redco Perú'!E19+'Flujo Redco Perú'!E26+'Flujo Redco Perú'!E28</f>
        <v>92755</v>
      </c>
      <c r="G13" s="1753">
        <f>+'Flujo Redco Perú'!F19+'Flujo Redco Perú'!F26+'Flujo Redco Perú'!F28</f>
        <v>137672.29999999999</v>
      </c>
      <c r="H13" s="1753">
        <f>+'Flujo Redco Perú'!G19+'Flujo Redco Perú'!G26+'Flujo Redco Perú'!G28</f>
        <v>128924</v>
      </c>
      <c r="I13" s="1753">
        <f>+'Flujo Redco Perú'!H19+'Flujo Redco Perú'!H26+'Flujo Redco Perú'!H28</f>
        <v>167995</v>
      </c>
      <c r="J13" s="1753">
        <f>+'Flujo Redco Perú'!I19+'Flujo Redco Perú'!I26+'Flujo Redco Perú'!I28</f>
        <v>199355</v>
      </c>
      <c r="K13" s="1753">
        <f>+'Flujo Redco Perú'!J19+'Flujo Redco Perú'!J26+'Flujo Redco Perú'!J28</f>
        <v>225572</v>
      </c>
      <c r="L13" s="1753">
        <f>+'Flujo Redco Perú'!K19+'Flujo Redco Perú'!K26+'Flujo Redco Perú'!K28</f>
        <v>127097</v>
      </c>
      <c r="M13" s="2387">
        <f>+'Flujo Redco Perú'!L19+'Flujo Redco Perú'!L26+'Flujo Redco Perú'!L28</f>
        <v>108174</v>
      </c>
      <c r="N13" s="1839">
        <f>+'Flujo Redco Perú'!M19+'Flujo Redco Perú'!M26+'Flujo Redco Perú'!M28</f>
        <v>139137.64000000001</v>
      </c>
      <c r="O13" s="1839">
        <f>+'Flujo Redco Perú'!N19+'Flujo Redco Perú'!N26+'Flujo Redco Perú'!N28</f>
        <v>234121</v>
      </c>
      <c r="P13" s="1567">
        <f>SUM(D13:O13)</f>
        <v>1731862.79</v>
      </c>
      <c r="Q13" s="561"/>
      <c r="R13" s="599"/>
    </row>
    <row r="14" spans="2:24" ht="15" thickBot="1">
      <c r="B14" s="1554" t="s">
        <v>1338</v>
      </c>
      <c r="C14" s="1754" t="s">
        <v>1345</v>
      </c>
      <c r="D14" s="1753">
        <f>+'Flujo Redco Brasil'!C20+'Flujo Redco Brasil'!C25+'Flujo Redco Brasil'!C27</f>
        <v>21023</v>
      </c>
      <c r="E14" s="1753">
        <f>+'Flujo Redco Brasil'!D20+'Flujo Redco Brasil'!D25+'Flujo Redco Brasil'!D27</f>
        <v>27812</v>
      </c>
      <c r="F14" s="1753">
        <f>+'Flujo Redco Brasil'!E20+'Flujo Redco Brasil'!E25+'Flujo Redco Brasil'!E27</f>
        <v>26425</v>
      </c>
      <c r="G14" s="1753">
        <f>+'Flujo Redco Brasil'!F20+'Flujo Redco Brasil'!F25+'Flujo Redco Brasil'!F27</f>
        <v>52004.4</v>
      </c>
      <c r="H14" s="1753">
        <f>+'Flujo Redco Brasil'!G20+'Flujo Redco Brasil'!G25+'Flujo Redco Brasil'!G27</f>
        <v>33329</v>
      </c>
      <c r="I14" s="1753">
        <f>+'Flujo Redco Brasil'!H20+'Flujo Redco Brasil'!H25+'Flujo Redco Brasil'!H27</f>
        <v>76286</v>
      </c>
      <c r="J14" s="1753">
        <f>+'Flujo Redco Brasil'!I20+'Flujo Redco Brasil'!I25+'Flujo Redco Brasil'!I27</f>
        <v>31019</v>
      </c>
      <c r="K14" s="1753">
        <f>+'Flujo Redco Brasil'!J20+'Flujo Redco Brasil'!J25+'Flujo Redco Brasil'!J27</f>
        <v>21475</v>
      </c>
      <c r="L14" s="1753">
        <f>+'Flujo Redco Brasil'!K20+'Flujo Redco Brasil'!K25+'Flujo Redco Brasil'!K27</f>
        <v>77323</v>
      </c>
      <c r="M14" s="2385">
        <f>+'Flujo Redco Brasil'!L20+'Flujo Redco Brasil'!L25+'Flujo Redco Brasil'!L27</f>
        <v>14049</v>
      </c>
      <c r="N14" s="1839">
        <f>+'Flujo Redco Brasil'!M20+'Flujo Redco Brasil'!M25+'Flujo Redco Brasil'!M27</f>
        <v>47971</v>
      </c>
      <c r="O14" s="1839">
        <f>+'Flujo Redco Brasil'!N20+'Flujo Redco Brasil'!N25+'Flujo Redco Brasil'!N27</f>
        <v>23001</v>
      </c>
      <c r="P14" s="1567">
        <f>SUM(D14:O14)</f>
        <v>451717.4</v>
      </c>
      <c r="Q14" s="561"/>
    </row>
    <row r="15" spans="2:24" ht="15" thickBot="1">
      <c r="B15" s="1558" t="s">
        <v>790</v>
      </c>
      <c r="C15" s="1754" t="s">
        <v>1345</v>
      </c>
      <c r="D15" s="1753">
        <f>+'Flujo Redco USA'!C19+'Flujo Redco USA'!C27+'Flujo Redco USA'!C29</f>
        <v>15</v>
      </c>
      <c r="E15" s="1753">
        <f>+'Flujo Redco USA'!D19+'Flujo Redco USA'!D27+'Flujo Redco USA'!D29</f>
        <v>2025</v>
      </c>
      <c r="F15" s="1753">
        <f>+'Flujo Redco USA'!E19+'Flujo Redco USA'!E27+'Flujo Redco USA'!E29</f>
        <v>58728</v>
      </c>
      <c r="G15" s="1753">
        <f>+'Flujo Redco USA'!F19+'Flujo Redco USA'!F27+'Flujo Redco USA'!F29</f>
        <v>9898</v>
      </c>
      <c r="H15" s="1753">
        <f>+'Flujo Redco USA'!G19+'Flujo Redco USA'!G27+'Flujo Redco USA'!G29</f>
        <v>47666</v>
      </c>
      <c r="I15" s="1753">
        <f>+'Flujo Redco USA'!H19+'Flujo Redco USA'!H27+'Flujo Redco USA'!H29</f>
        <v>4178</v>
      </c>
      <c r="J15" s="1753">
        <f>+'Flujo Redco USA'!I19+'Flujo Redco USA'!I27+'Flujo Redco USA'!I29</f>
        <v>10017</v>
      </c>
      <c r="K15" s="1753">
        <f>+'Flujo Redco USA'!J19+'Flujo Redco USA'!J27+'Flujo Redco USA'!J29</f>
        <v>1015</v>
      </c>
      <c r="L15" s="1753">
        <f>+'Flujo Redco USA'!K19+'Flujo Redco USA'!K27+'Flujo Redco USA'!K29</f>
        <v>1000</v>
      </c>
      <c r="M15" s="2400">
        <f>+'Flujo Redco USA'!L19+'Flujo Redco USA'!L27+'Flujo Redco USA'!L29</f>
        <v>88411</v>
      </c>
      <c r="N15" s="1839">
        <f>+'Flujo Redco USA'!M19+'Flujo Redco USA'!M27+'Flujo Redco USA'!M29</f>
        <v>1000</v>
      </c>
      <c r="O15" s="1839">
        <f>+'Flujo Redco USA'!N19+'Flujo Redco USA'!N27+'Flujo Redco USA'!N29</f>
        <v>218410</v>
      </c>
      <c r="P15" s="1567">
        <f t="shared" ref="P15:P24" si="2">SUM(D15:O15)</f>
        <v>442363</v>
      </c>
      <c r="Q15" s="1747"/>
    </row>
    <row r="16" spans="2:24" ht="15" thickBot="1">
      <c r="B16" s="1558" t="s">
        <v>1388</v>
      </c>
      <c r="C16" s="1754" t="s">
        <v>1345</v>
      </c>
      <c r="D16" s="2307">
        <f>+'Flujo Redco BVI'!C19+'Flujo Redco BVI'!C27+'Flujo Redco BVI'!C29</f>
        <v>14044</v>
      </c>
      <c r="E16" s="2307">
        <f>+'Flujo Redco BVI'!D19+'Flujo Redco BVI'!D27+'Flujo Redco BVI'!D29</f>
        <v>0</v>
      </c>
      <c r="F16" s="2307">
        <f>+'Flujo Redco BVI'!E19+'Flujo Redco BVI'!E27+'Flujo Redco BVI'!E29</f>
        <v>0</v>
      </c>
      <c r="G16" s="2307">
        <f>+'Flujo Redco BVI'!F19+'Flujo Redco BVI'!F27+'Flujo Redco BVI'!F29</f>
        <v>14380</v>
      </c>
      <c r="H16" s="2307">
        <f>+'Flujo Redco BVI'!G19+'Flujo Redco BVI'!G27+'Flujo Redco BVI'!G29</f>
        <v>16000</v>
      </c>
      <c r="I16" s="2307">
        <f>+'Flujo Redco BVI'!H19+'Flujo Redco BVI'!H27+'Flujo Redco BVI'!H29</f>
        <v>15094</v>
      </c>
      <c r="J16" s="2307">
        <f>+'Flujo Redco BVI'!I19+'Flujo Redco BVI'!I27+'Flujo Redco BVI'!I29</f>
        <v>5684.8</v>
      </c>
      <c r="K16" s="2307">
        <f>+'Flujo Redco BVI'!J19+'Flujo Redco BVI'!J27+'Flujo Redco BVI'!J29</f>
        <v>5684.8</v>
      </c>
      <c r="L16" s="2307">
        <f>+'Flujo Redco BVI'!K19+'Flujo Redco BVI'!K27+'Flujo Redco BVI'!K29</f>
        <v>5684.8</v>
      </c>
      <c r="M16" s="1839">
        <f>+'Flujo Redco BVI'!L19+'Flujo Redco BVI'!L27+'Flujo Redco BVI'!L29</f>
        <v>5684.8</v>
      </c>
      <c r="N16" s="1839">
        <f>+'Flujo Redco BVI'!M19+'Flujo Redco BVI'!M27+'Flujo Redco BVI'!M29</f>
        <v>5684.8</v>
      </c>
      <c r="O16" s="1839">
        <f>+'Flujo Redco BVI'!N19+'Flujo Redco BVI'!N27+'Flujo Redco BVI'!N29</f>
        <v>5684.8</v>
      </c>
      <c r="P16" s="1567">
        <f t="shared" si="2"/>
        <v>93626.800000000017</v>
      </c>
      <c r="Q16" s="1747"/>
    </row>
    <row r="17" spans="2:24" ht="20.25" customHeight="1" thickBot="1">
      <c r="B17" s="1568" t="s">
        <v>212</v>
      </c>
      <c r="C17" s="1755" t="s">
        <v>1345</v>
      </c>
      <c r="D17" s="1755">
        <f>SUM(D12:D16)</f>
        <v>521821.49806866958</v>
      </c>
      <c r="E17" s="1755">
        <f t="shared" ref="E17:O17" si="3">SUM(E12:E16)</f>
        <v>533560.63733905577</v>
      </c>
      <c r="F17" s="1755">
        <f t="shared" si="3"/>
        <v>617807.17918454937</v>
      </c>
      <c r="G17" s="1755">
        <f t="shared" si="3"/>
        <v>555462.04656652361</v>
      </c>
      <c r="H17" s="1755">
        <f t="shared" si="3"/>
        <v>566053.8036480688</v>
      </c>
      <c r="I17" s="1755">
        <f t="shared" si="3"/>
        <v>644119.16845493554</v>
      </c>
      <c r="J17" s="1755">
        <f t="shared" si="3"/>
        <v>641802.98562231765</v>
      </c>
      <c r="K17" s="1755">
        <f t="shared" si="3"/>
        <v>678995.70557939913</v>
      </c>
      <c r="L17" s="1755">
        <f t="shared" si="3"/>
        <v>666976.12510729628</v>
      </c>
      <c r="M17" s="1755">
        <f>SUM(M12:M16)</f>
        <v>729504.45987124462</v>
      </c>
      <c r="N17" s="1755">
        <f t="shared" si="3"/>
        <v>586011.55373390578</v>
      </c>
      <c r="O17" s="1755">
        <f t="shared" si="3"/>
        <v>976722.3354077253</v>
      </c>
      <c r="P17" s="1755">
        <f t="shared" si="2"/>
        <v>7718837.4985836912</v>
      </c>
      <c r="Q17" s="600"/>
      <c r="R17" s="2312"/>
      <c r="S17" s="599"/>
    </row>
    <row r="18" spans="2:24" ht="20.25" customHeight="1" thickBot="1">
      <c r="B18" s="1763"/>
      <c r="C18" s="1764" t="s">
        <v>1397</v>
      </c>
      <c r="D18" s="1765">
        <f>+SUM($D$17:D17)</f>
        <v>521821.49806866958</v>
      </c>
      <c r="E18" s="1765">
        <f>+SUM($D$17:E17)</f>
        <v>1055382.1354077253</v>
      </c>
      <c r="F18" s="1765">
        <f>+SUM($D$17:F17)</f>
        <v>1673189.3145922748</v>
      </c>
      <c r="G18" s="1765">
        <f>+SUM($D$17:G17)</f>
        <v>2228651.3611587984</v>
      </c>
      <c r="H18" s="1765">
        <f>+SUM($D$17:H17)</f>
        <v>2794705.164806867</v>
      </c>
      <c r="I18" s="1765">
        <f>+SUM($D$17:I17)</f>
        <v>3438824.3332618028</v>
      </c>
      <c r="J18" s="1765">
        <f>+SUM($D$17:J17)</f>
        <v>4080627.3188841203</v>
      </c>
      <c r="K18" s="1765">
        <f>+SUM($D$17:K17)</f>
        <v>4759623.0244635195</v>
      </c>
      <c r="L18" s="2305">
        <f>+SUM($D$17:L17)</f>
        <v>5426599.1495708153</v>
      </c>
      <c r="M18" s="1765">
        <f>+SUM($D$17:M17)</f>
        <v>6156103.6094420599</v>
      </c>
      <c r="N18" s="1765">
        <f>+SUM($D$17:N17)</f>
        <v>6742115.1631759657</v>
      </c>
      <c r="O18" s="1765">
        <f>+SUM($D$17:O17)</f>
        <v>7718837.4985836912</v>
      </c>
      <c r="P18" s="1765"/>
      <c r="Q18" s="600"/>
      <c r="R18" s="1748"/>
    </row>
    <row r="19" spans="2:24" ht="20.25" customHeight="1" thickBot="1">
      <c r="B19" s="1551" t="s">
        <v>1335</v>
      </c>
      <c r="C19" s="1552" t="s">
        <v>1395</v>
      </c>
      <c r="D19" s="1552">
        <v>45658</v>
      </c>
      <c r="E19" s="1552">
        <v>45689</v>
      </c>
      <c r="F19" s="1552">
        <v>45717</v>
      </c>
      <c r="G19" s="1552">
        <v>45748</v>
      </c>
      <c r="H19" s="1552">
        <v>45778</v>
      </c>
      <c r="I19" s="1552">
        <v>45809</v>
      </c>
      <c r="J19" s="1552">
        <v>45839</v>
      </c>
      <c r="K19" s="1552">
        <v>45870</v>
      </c>
      <c r="L19" s="1552">
        <v>45901</v>
      </c>
      <c r="M19" s="1552">
        <v>45931</v>
      </c>
      <c r="N19" s="1552">
        <v>45962</v>
      </c>
      <c r="O19" s="1552">
        <v>45992</v>
      </c>
      <c r="P19" s="1553" t="s">
        <v>734</v>
      </c>
      <c r="Q19" s="600"/>
      <c r="R19" s="1748"/>
    </row>
    <row r="20" spans="2:24" ht="15" thickBot="1">
      <c r="B20" s="1554" t="s">
        <v>1336</v>
      </c>
      <c r="C20" s="1567" t="s">
        <v>1343</v>
      </c>
      <c r="D20" s="1756">
        <f>+D4-D12</f>
        <v>-34913.914163090114</v>
      </c>
      <c r="E20" s="1756">
        <f t="shared" ref="E20:O20" si="4">+E4-E12</f>
        <v>125183.98175965669</v>
      </c>
      <c r="F20" s="1756">
        <f t="shared" si="4"/>
        <v>-50171.722103004286</v>
      </c>
      <c r="G20" s="1756">
        <f t="shared" si="4"/>
        <v>-104072.86158798289</v>
      </c>
      <c r="H20" s="1756">
        <f t="shared" si="4"/>
        <v>-67503.71888412023</v>
      </c>
      <c r="I20" s="1756">
        <f t="shared" si="4"/>
        <v>-103147.09549356223</v>
      </c>
      <c r="J20" s="1756">
        <f t="shared" si="4"/>
        <v>79843.563304721029</v>
      </c>
      <c r="K20" s="1756">
        <f t="shared" si="4"/>
        <v>-273766.16845493566</v>
      </c>
      <c r="L20" s="1756">
        <f t="shared" si="4"/>
        <v>-157946.2746781116</v>
      </c>
      <c r="M20" s="1756">
        <f t="shared" si="4"/>
        <v>-354919.19957081543</v>
      </c>
      <c r="N20" s="1756">
        <f t="shared" si="4"/>
        <v>-143429.18776824043</v>
      </c>
      <c r="O20" s="1756">
        <f t="shared" si="4"/>
        <v>-322297.9849785408</v>
      </c>
      <c r="P20" s="1757">
        <f t="shared" si="2"/>
        <v>-1407140.5826180258</v>
      </c>
      <c r="Q20" s="600"/>
      <c r="R20" s="599"/>
    </row>
    <row r="21" spans="2:24" ht="15" thickBot="1">
      <c r="B21" s="1554" t="s">
        <v>1337</v>
      </c>
      <c r="C21" s="1567" t="s">
        <v>1343</v>
      </c>
      <c r="D21" s="1756">
        <f t="shared" ref="D21:O21" si="5">+D5-D13</f>
        <v>34385.149999999994</v>
      </c>
      <c r="E21" s="1756">
        <f t="shared" si="5"/>
        <v>-19143</v>
      </c>
      <c r="F21" s="1756">
        <f t="shared" si="5"/>
        <v>12622</v>
      </c>
      <c r="G21" s="1756">
        <f t="shared" si="5"/>
        <v>-27595.299999999988</v>
      </c>
      <c r="H21" s="1756">
        <f t="shared" si="5"/>
        <v>13686</v>
      </c>
      <c r="I21" s="1756">
        <f t="shared" si="5"/>
        <v>61593</v>
      </c>
      <c r="J21" s="1756">
        <f t="shared" si="5"/>
        <v>52347</v>
      </c>
      <c r="K21" s="1756">
        <f t="shared" si="5"/>
        <v>416001</v>
      </c>
      <c r="L21" s="1756">
        <f t="shared" si="5"/>
        <v>-7964</v>
      </c>
      <c r="M21" s="1756">
        <f>+M5-M12</f>
        <v>-247736.65987124463</v>
      </c>
      <c r="N21" s="1756">
        <f t="shared" si="5"/>
        <v>-43027.640000000014</v>
      </c>
      <c r="O21" s="1756">
        <f t="shared" si="5"/>
        <v>35311</v>
      </c>
      <c r="P21" s="1758">
        <f t="shared" si="2"/>
        <v>280478.55012875533</v>
      </c>
    </row>
    <row r="22" spans="2:24" ht="15" thickBot="1">
      <c r="B22" s="1554" t="s">
        <v>1338</v>
      </c>
      <c r="C22" s="1567" t="s">
        <v>1343</v>
      </c>
      <c r="D22" s="1756">
        <f t="shared" ref="D22:O22" si="6">+D6-D14</f>
        <v>59479</v>
      </c>
      <c r="E22" s="1756">
        <f t="shared" si="6"/>
        <v>31871</v>
      </c>
      <c r="F22" s="1756">
        <f t="shared" si="6"/>
        <v>69897</v>
      </c>
      <c r="G22" s="1756">
        <f t="shared" si="6"/>
        <v>45205.299999999996</v>
      </c>
      <c r="H22" s="1756">
        <f t="shared" si="6"/>
        <v>3745</v>
      </c>
      <c r="I22" s="1756">
        <f t="shared" si="6"/>
        <v>-9723</v>
      </c>
      <c r="J22" s="1756">
        <f t="shared" si="6"/>
        <v>16698</v>
      </c>
      <c r="K22" s="1756">
        <f t="shared" si="6"/>
        <v>98177</v>
      </c>
      <c r="L22" s="1756">
        <f t="shared" si="6"/>
        <v>126265</v>
      </c>
      <c r="M22" s="1756">
        <f t="shared" si="6"/>
        <v>311013</v>
      </c>
      <c r="N22" s="1756">
        <f t="shared" si="6"/>
        <v>191632</v>
      </c>
      <c r="O22" s="1756">
        <f t="shared" si="6"/>
        <v>201115.50999999998</v>
      </c>
      <c r="P22" s="1758">
        <f t="shared" si="2"/>
        <v>1145374.81</v>
      </c>
      <c r="Q22" s="599"/>
    </row>
    <row r="23" spans="2:24" ht="15" thickBot="1">
      <c r="B23" s="1558" t="s">
        <v>790</v>
      </c>
      <c r="C23" s="1567" t="s">
        <v>1343</v>
      </c>
      <c r="D23" s="1756">
        <f t="shared" ref="D23:O23" si="7">+D7-D15</f>
        <v>150438</v>
      </c>
      <c r="E23" s="1756">
        <f t="shared" si="7"/>
        <v>241440.21</v>
      </c>
      <c r="F23" s="1756">
        <f t="shared" si="7"/>
        <v>82798</v>
      </c>
      <c r="G23" s="1756">
        <f t="shared" si="7"/>
        <v>159302</v>
      </c>
      <c r="H23" s="1756">
        <f t="shared" si="7"/>
        <v>147424</v>
      </c>
      <c r="I23" s="1756">
        <f t="shared" si="7"/>
        <v>57618</v>
      </c>
      <c r="J23" s="1756">
        <f t="shared" si="7"/>
        <v>-10017</v>
      </c>
      <c r="K23" s="1756">
        <f t="shared" si="7"/>
        <v>18985</v>
      </c>
      <c r="L23" s="1756">
        <f t="shared" si="7"/>
        <v>-1000</v>
      </c>
      <c r="M23" s="1756">
        <f t="shared" si="7"/>
        <v>-43411</v>
      </c>
      <c r="N23" s="1756">
        <f t="shared" si="7"/>
        <v>-1000</v>
      </c>
      <c r="O23" s="1756">
        <f t="shared" si="7"/>
        <v>-39625</v>
      </c>
      <c r="P23" s="1744">
        <f t="shared" si="2"/>
        <v>762952.21</v>
      </c>
      <c r="Q23" s="600"/>
    </row>
    <row r="24" spans="2:24" ht="15" thickBot="1">
      <c r="B24" s="1558" t="s">
        <v>1388</v>
      </c>
      <c r="C24" s="1567" t="s">
        <v>1343</v>
      </c>
      <c r="D24" s="1756">
        <f t="shared" ref="D24:O24" si="8">+D8-D16</f>
        <v>-14044</v>
      </c>
      <c r="E24" s="1756">
        <f t="shared" si="8"/>
        <v>21682</v>
      </c>
      <c r="F24" s="1756">
        <f t="shared" si="8"/>
        <v>45478</v>
      </c>
      <c r="G24" s="1756">
        <f t="shared" si="8"/>
        <v>-14380</v>
      </c>
      <c r="H24" s="1756">
        <f t="shared" si="8"/>
        <v>-16000</v>
      </c>
      <c r="I24" s="1756">
        <f t="shared" si="8"/>
        <v>156951</v>
      </c>
      <c r="J24" s="1756">
        <f t="shared" si="8"/>
        <v>-5684.8</v>
      </c>
      <c r="K24" s="1756">
        <f t="shared" si="8"/>
        <v>93839.2</v>
      </c>
      <c r="L24" s="1756">
        <f t="shared" si="8"/>
        <v>-5684.8</v>
      </c>
      <c r="M24" s="1756">
        <f t="shared" si="8"/>
        <v>-5684.8</v>
      </c>
      <c r="N24" s="1756">
        <f t="shared" si="8"/>
        <v>-5684.8</v>
      </c>
      <c r="O24" s="1756">
        <f t="shared" si="8"/>
        <v>-5684.8</v>
      </c>
      <c r="P24" s="1744">
        <f t="shared" si="2"/>
        <v>245102.20000000007</v>
      </c>
      <c r="Q24" s="600"/>
    </row>
    <row r="25" spans="2:24" ht="18.75" customHeight="1" thickBot="1">
      <c r="B25" s="1568" t="s">
        <v>212</v>
      </c>
      <c r="C25" s="1560" t="s">
        <v>1343</v>
      </c>
      <c r="D25" s="1569">
        <f>SUM(D20:D24)</f>
        <v>195344.23583690988</v>
      </c>
      <c r="E25" s="1569">
        <f t="shared" ref="E25:O25" si="9">SUM(E20:E24)</f>
        <v>401034.19175965665</v>
      </c>
      <c r="F25" s="1569">
        <f t="shared" si="9"/>
        <v>160623.27789699571</v>
      </c>
      <c r="G25" s="1569">
        <f t="shared" si="9"/>
        <v>58459.138412017113</v>
      </c>
      <c r="H25" s="1569">
        <f t="shared" si="9"/>
        <v>81351.28111587977</v>
      </c>
      <c r="I25" s="1569">
        <f t="shared" si="9"/>
        <v>163291.90450643777</v>
      </c>
      <c r="J25" s="1569">
        <f t="shared" si="9"/>
        <v>133186.76330472104</v>
      </c>
      <c r="K25" s="1569">
        <f t="shared" si="9"/>
        <v>353236.03154506435</v>
      </c>
      <c r="L25" s="1569">
        <f t="shared" si="9"/>
        <v>-46330.074678111603</v>
      </c>
      <c r="M25" s="1569">
        <f t="shared" si="9"/>
        <v>-340738.6594420601</v>
      </c>
      <c r="N25" s="1569">
        <f t="shared" si="9"/>
        <v>-1509.6277682404443</v>
      </c>
      <c r="O25" s="1569">
        <f t="shared" si="9"/>
        <v>-131181.27497854081</v>
      </c>
      <c r="P25" s="1569">
        <f>SUM(P20:P24)</f>
        <v>1026767.1875107297</v>
      </c>
      <c r="Q25" s="599"/>
      <c r="R25" s="599"/>
      <c r="T25" s="1547"/>
      <c r="U25" s="1547"/>
      <c r="V25" s="1547"/>
      <c r="W25" s="1547"/>
      <c r="X25" s="1547"/>
    </row>
    <row r="26" spans="2:24" ht="18.75" customHeight="1" thickBot="1">
      <c r="B26" s="1763"/>
      <c r="C26" s="1764"/>
      <c r="D26" s="2302">
        <f>+D25/D9</f>
        <v>0.27238367172549338</v>
      </c>
      <c r="E26" s="2302">
        <f t="shared" ref="E26:L26" si="10">+E25/E9</f>
        <v>0.42909951914285543</v>
      </c>
      <c r="F26" s="2302">
        <f t="shared" si="10"/>
        <v>0.20634248883220341</v>
      </c>
      <c r="G26" s="2302">
        <f t="shared" si="10"/>
        <v>9.5222546219936227E-2</v>
      </c>
      <c r="H26" s="2302">
        <f t="shared" si="10"/>
        <v>0.12565746397487965</v>
      </c>
      <c r="I26" s="2302">
        <f t="shared" si="10"/>
        <v>0.20224134889248624</v>
      </c>
      <c r="J26" s="2302">
        <f t="shared" si="10"/>
        <v>0.17185616130937997</v>
      </c>
      <c r="K26" s="2302">
        <f t="shared" si="10"/>
        <v>0.34220613341059497</v>
      </c>
      <c r="L26" s="2306">
        <f t="shared" si="10"/>
        <v>-7.464814228024777E-2</v>
      </c>
      <c r="M26" s="1765"/>
      <c r="N26" s="1765"/>
      <c r="O26" s="1765"/>
      <c r="P26" s="1765"/>
      <c r="Q26" s="599"/>
      <c r="R26" s="599"/>
      <c r="T26" s="1547"/>
      <c r="U26" s="1547"/>
      <c r="V26" s="1547"/>
      <c r="W26" s="1547"/>
      <c r="X26" s="1547"/>
    </row>
    <row r="27" spans="2:24" ht="18.75" customHeight="1" thickBot="1">
      <c r="B27" s="1551" t="s">
        <v>1335</v>
      </c>
      <c r="C27" s="1552" t="s">
        <v>1395</v>
      </c>
      <c r="D27" s="1552">
        <v>45658</v>
      </c>
      <c r="E27" s="1552">
        <v>45689</v>
      </c>
      <c r="F27" s="1552">
        <v>45717</v>
      </c>
      <c r="G27" s="1552">
        <v>45748</v>
      </c>
      <c r="H27" s="1552">
        <v>45778</v>
      </c>
      <c r="I27" s="1552">
        <v>45809</v>
      </c>
      <c r="J27" s="1552">
        <v>45839</v>
      </c>
      <c r="K27" s="1552">
        <v>45870</v>
      </c>
      <c r="L27" s="1552">
        <v>45901</v>
      </c>
      <c r="M27" s="1552">
        <v>45931</v>
      </c>
      <c r="N27" s="1552">
        <v>45962</v>
      </c>
      <c r="O27" s="1552">
        <v>45992</v>
      </c>
      <c r="P27" s="1553" t="s">
        <v>734</v>
      </c>
      <c r="Q27" s="599"/>
      <c r="R27" s="599"/>
      <c r="T27" s="1547"/>
      <c r="U27" s="1547"/>
      <c r="V27" s="1547"/>
      <c r="W27" s="1547"/>
      <c r="X27" s="1547"/>
    </row>
    <row r="28" spans="2:24" ht="15" thickBot="1">
      <c r="B28" s="1554" t="s">
        <v>1336</v>
      </c>
      <c r="C28" s="1749" t="s">
        <v>1347</v>
      </c>
      <c r="D28" s="1566">
        <f>+'Flujo Redco Chile'!C31</f>
        <v>69432.939914163086</v>
      </c>
      <c r="E28" s="1566">
        <f>+'Flujo Redco Chile'!D31</f>
        <v>104811.89592274679</v>
      </c>
      <c r="F28" s="1566">
        <f>+'Flujo Redco Chile'!E31</f>
        <v>75208.023605150214</v>
      </c>
      <c r="G28" s="1566">
        <f>+'Flujo Redco Chile'!F31</f>
        <v>47094.724248927036</v>
      </c>
      <c r="H28" s="1566">
        <f>+'Flujo Redco Chile'!G31</f>
        <v>62773.512875536479</v>
      </c>
      <c r="I28" s="1566">
        <f>+'Flujo Redco Chile'!H31+'Flujo Redco Chile'!H34</f>
        <v>53789.214592274679</v>
      </c>
      <c r="J28" s="1566">
        <f>+'Flujo Redco Chile'!I31</f>
        <v>103658.78433476394</v>
      </c>
      <c r="K28" s="1566">
        <f>+'Flujo Redco Chile'!J31</f>
        <v>35825.605150214593</v>
      </c>
      <c r="L28" s="1566">
        <f>+'Flujo Redco Chile'!K31</f>
        <v>57280.831545064379</v>
      </c>
      <c r="M28" s="2303">
        <f>+'Flujo Redco Chile'!L31</f>
        <v>32498.942060085836</v>
      </c>
      <c r="N28" s="2303">
        <f>+'Flujo Redco Chile'!M31</f>
        <v>37753.159871244636</v>
      </c>
      <c r="O28" s="2303">
        <f>+'Flujo Redco Chile'!N31</f>
        <v>32909.43347639485</v>
      </c>
      <c r="P28" s="1559">
        <f>SUM(D28:O28)</f>
        <v>713037.06759656651</v>
      </c>
      <c r="S28" s="1547"/>
      <c r="T28" s="1547"/>
      <c r="U28" s="1547"/>
      <c r="V28" s="1547"/>
      <c r="W28" s="1547"/>
    </row>
    <row r="29" spans="2:24" ht="15" thickBot="1">
      <c r="B29" s="1554" t="s">
        <v>1337</v>
      </c>
      <c r="C29" s="1749" t="s">
        <v>1347</v>
      </c>
      <c r="D29" s="1750">
        <f>+'Flujo Redco Perú'!C35</f>
        <v>11907</v>
      </c>
      <c r="E29" s="1750">
        <f>+'Flujo Redco Perú'!D35</f>
        <v>16500</v>
      </c>
      <c r="F29" s="1750">
        <f>+'Flujo Redco Perú'!E35</f>
        <v>20068</v>
      </c>
      <c r="G29" s="1750">
        <f>+'Flujo Redco Perú'!F35</f>
        <v>28529</v>
      </c>
      <c r="H29" s="1750">
        <f>+'Flujo Redco Perú'!G35</f>
        <v>31304</v>
      </c>
      <c r="I29" s="1750">
        <f>+'Flujo Redco Perú'!H35</f>
        <v>36127</v>
      </c>
      <c r="J29" s="1750">
        <f>+'Flujo Redco Perú'!I35</f>
        <v>34183</v>
      </c>
      <c r="K29" s="1750">
        <f>+'Flujo Redco Perú'!J35</f>
        <v>126435</v>
      </c>
      <c r="L29" s="1750">
        <f>+'Flujo Redco Perú'!K35</f>
        <v>16037</v>
      </c>
      <c r="M29" s="1557">
        <f>+'Flujo Redco Perú'!L35</f>
        <v>42117</v>
      </c>
      <c r="N29" s="1557">
        <f>+'Flujo Redco Perú'!M35</f>
        <v>105093</v>
      </c>
      <c r="O29" s="1557">
        <f>+'Flujo Redco Perú'!N35</f>
        <v>75885</v>
      </c>
      <c r="P29" s="1559">
        <f t="shared" ref="P29:P36" si="11">SUM(D29:O29)</f>
        <v>544185</v>
      </c>
      <c r="T29" s="1547"/>
      <c r="U29" s="1547"/>
      <c r="V29" s="1547"/>
      <c r="W29" s="1547"/>
      <c r="X29" s="1547"/>
    </row>
    <row r="30" spans="2:24" ht="15" thickBot="1">
      <c r="B30" s="1554" t="s">
        <v>1336</v>
      </c>
      <c r="C30" s="1749" t="s">
        <v>1346</v>
      </c>
      <c r="D30" s="1750">
        <f>+'Flujo Redco Chile'!C38+'Flujo Redco Chile'!C39+'Flujo Redco Chile'!E42+'Flujo Redco Chile'!C34</f>
        <v>703.28540772532187</v>
      </c>
      <c r="E30" s="1750">
        <f>+'Flujo Redco Chile'!D38+'Flujo Redco Chile'!D39+'Flujo Redco Chile'!D34</f>
        <v>10399.31652360515</v>
      </c>
      <c r="F30" s="1750">
        <f>+'Flujo Redco Chile'!E38+'Flujo Redco Chile'!E39+'Flujo Redco Chile'!E34</f>
        <v>5265.8025751072964</v>
      </c>
      <c r="G30" s="1750">
        <f>+'Flujo Redco Chile'!F38+'Flujo Redco Chile'!F39+'Flujo Redco Chile'!F34</f>
        <v>21747.625536480686</v>
      </c>
      <c r="H30" s="1750">
        <f>+'Flujo Redco Chile'!G38+'Flujo Redco Chile'!G39+'Flujo Redco Chile'!G34</f>
        <v>55661.028969957079</v>
      </c>
      <c r="I30" s="1750">
        <f>+'Flujo Redco Chile'!H38+'Flujo Redco Chile'!H39+'Flujo Redco Chile'!H34+'Flujo Redco Chile'!H40</f>
        <v>89784.033261802571</v>
      </c>
      <c r="J30" s="1750">
        <f>+'Flujo Redco Chile'!I38+'Flujo Redco Chile'!I39+'Flujo Redco Chile'!I34</f>
        <v>68680.615879828329</v>
      </c>
      <c r="K30" s="1750">
        <f>+'Flujo Redco Chile'!J38+'Flujo Redco Chile'!J39+'Flujo Redco Chile'!J34</f>
        <v>37073.081545064379</v>
      </c>
      <c r="L30" s="1750">
        <f>+'Flujo Redco Chile'!K38+'Flujo Redco Chile'!K39+'Flujo Redco Chile'!K34</f>
        <v>4069.947424892704</v>
      </c>
      <c r="M30" s="1557">
        <f>+'Flujo Redco Chile'!L38+'Flujo Redco Chile'!L39</f>
        <v>13.927038626609441</v>
      </c>
      <c r="N30" s="1557">
        <f>+'Flujo Redco Chile'!M38+'Flujo Redco Chile'!M39</f>
        <v>415.80686695278968</v>
      </c>
      <c r="O30" s="1557">
        <f>+'Flujo Redco Chile'!N38+'Flujo Redco Chile'!N39</f>
        <v>119.83583690987125</v>
      </c>
      <c r="P30" s="1559">
        <f>SUM(D30:O30)</f>
        <v>293934.30686695286</v>
      </c>
      <c r="T30" s="1547"/>
      <c r="U30" s="1547"/>
      <c r="V30" s="1547"/>
      <c r="W30" s="1547"/>
      <c r="X30" s="1547"/>
    </row>
    <row r="31" spans="2:24" ht="15" thickBot="1">
      <c r="B31" s="1554" t="s">
        <v>1338</v>
      </c>
      <c r="C31" s="1749" t="s">
        <v>1346</v>
      </c>
      <c r="D31" s="1750">
        <f>+'Flujo Redco Brasil'!C34</f>
        <v>6388</v>
      </c>
      <c r="E31" s="1750">
        <f>+'Flujo Redco Brasil'!D34</f>
        <v>363</v>
      </c>
      <c r="F31" s="1750">
        <f>+'Flujo Redco Brasil'!E34</f>
        <v>0</v>
      </c>
      <c r="G31" s="1750">
        <f>+'Flujo Redco Brasil'!F34</f>
        <v>0</v>
      </c>
      <c r="H31" s="1750">
        <f>+'Flujo Redco Brasil'!G34</f>
        <v>1526</v>
      </c>
      <c r="I31" s="1750">
        <f>+'Flujo Redco Brasil'!H34</f>
        <v>0</v>
      </c>
      <c r="J31" s="1750">
        <f>+'Flujo Redco Brasil'!I34</f>
        <v>0</v>
      </c>
      <c r="K31" s="1750">
        <f>+'Flujo Redco Brasil'!J34</f>
        <v>0</v>
      </c>
      <c r="L31" s="1750">
        <f>+'Flujo Redco Brasil'!K34</f>
        <v>0</v>
      </c>
      <c r="M31" s="1557">
        <f>+'Flujo Redco Brasil'!L34</f>
        <v>1803</v>
      </c>
      <c r="N31" s="1557">
        <f>+'Flujo Redco Brasil'!M34</f>
        <v>1622</v>
      </c>
      <c r="O31" s="1557">
        <f>+'Flujo Redco Brasil'!N34</f>
        <v>0</v>
      </c>
      <c r="P31" s="1559">
        <f t="shared" si="11"/>
        <v>11702</v>
      </c>
      <c r="Q31" s="1546"/>
      <c r="T31" s="1547"/>
      <c r="U31" s="1547"/>
      <c r="V31" s="1547"/>
      <c r="W31" s="1547"/>
      <c r="X31" s="1547"/>
    </row>
    <row r="32" spans="2:24" ht="15" thickBot="1">
      <c r="B32" s="1554" t="s">
        <v>1336</v>
      </c>
      <c r="C32" s="1749" t="s">
        <v>1355</v>
      </c>
      <c r="D32" s="1750">
        <f>+'Flujo Redco Chile'!C35+'Flujo Redco Chile'!C36+'Flujo Redco Chile'!C37</f>
        <v>134087.98497854077</v>
      </c>
      <c r="E32" s="1750">
        <f>+'Flujo Redco Chile'!D35+'Flujo Redco Chile'!D36+'Flujo Redco Chile'!D37</f>
        <v>0</v>
      </c>
      <c r="F32" s="1750">
        <f>+'Flujo Redco Chile'!E35+'Flujo Redco Chile'!E36+'Flujo Redco Chile'!E37</f>
        <v>19816.289699570814</v>
      </c>
      <c r="G32" s="1750">
        <f>+'Flujo Redco Chile'!F35+'Flujo Redco Chile'!F36+'Flujo Redco Chile'!F37</f>
        <v>48275.159871244636</v>
      </c>
      <c r="H32" s="1750">
        <f>+'Flujo Redco Chile'!G35+'Flujo Redco Chile'!G36+'Flujo Redco Chile'!G37</f>
        <v>32259.953862660943</v>
      </c>
      <c r="I32" s="1750">
        <f>+'Flujo Redco Chile'!H35+'Flujo Redco Chile'!H36+'Flujo Redco Chile'!H37</f>
        <v>0</v>
      </c>
      <c r="J32" s="1750">
        <f>+'Flujo Redco Chile'!I35+'Flujo Redco Chile'!I36+'Flujo Redco Chile'!I37</f>
        <v>46679.405579399143</v>
      </c>
      <c r="K32" s="1750">
        <f>+'Flujo Redco Chile'!J35+'Flujo Redco Chile'!J36+'Flujo Redco Chile'!J37</f>
        <v>459872.82296137337</v>
      </c>
      <c r="L32" s="1750">
        <f>+'Flujo Redco Chile'!K35+'Flujo Redco Chile'!K36+'Flujo Redco Chile'!K37</f>
        <v>0</v>
      </c>
      <c r="M32" s="1557">
        <f>+'Flujo Redco Chile'!L35+'Flujo Redco Chile'!L36+'Flujo Redco Chile'!L37</f>
        <v>154199.13735515022</v>
      </c>
      <c r="N32" s="1557">
        <f>+'Flujo Redco Chile'!M35+'Flujo Redco Chile'!M36+'Flujo Redco Chile'!M37</f>
        <v>120289.84012875537</v>
      </c>
      <c r="O32" s="1557">
        <f>+'Flujo Redco Chile'!N35+'Flujo Redco Chile'!N36+'Flujo Redco Chile'!N37</f>
        <v>390966.73819742491</v>
      </c>
      <c r="P32" s="1559">
        <f t="shared" si="11"/>
        <v>1406447.3326341202</v>
      </c>
      <c r="Q32" s="1546"/>
      <c r="V32" s="1547"/>
      <c r="W32" s="1547"/>
      <c r="X32" s="1547"/>
    </row>
    <row r="33" spans="2:32" ht="15" thickBot="1">
      <c r="B33" s="1554" t="s">
        <v>1336</v>
      </c>
      <c r="C33" s="1751" t="s">
        <v>1353</v>
      </c>
      <c r="D33" s="1750">
        <f>+'Flujo Redco Chile'!C32</f>
        <v>57052.603004291843</v>
      </c>
      <c r="E33" s="1750">
        <f>+'Flujo Redco Chile'!D32</f>
        <v>113524.19957081546</v>
      </c>
      <c r="F33" s="1750">
        <f>+'Flujo Redco Chile'!E32</f>
        <v>0</v>
      </c>
      <c r="G33" s="1750">
        <f>+'Flujo Redco Chile'!F32</f>
        <v>146563.30150214591</v>
      </c>
      <c r="H33" s="1750">
        <f>+'Flujo Redco Chile'!G32</f>
        <v>9291.9935622317589</v>
      </c>
      <c r="I33" s="1750">
        <f>+'Flujo Redco Chile'!H32</f>
        <v>0</v>
      </c>
      <c r="J33" s="1750">
        <f>+'Flujo Redco Chile'!I32</f>
        <v>0</v>
      </c>
      <c r="K33" s="1750">
        <f>+'Flujo Redco Chile'!J32</f>
        <v>0</v>
      </c>
      <c r="L33" s="1750">
        <f>+'Flujo Redco Chile'!K32</f>
        <v>27214.363733905579</v>
      </c>
      <c r="M33" s="1557">
        <f>+'Flujo Redco Chile'!L32</f>
        <v>0</v>
      </c>
      <c r="N33" s="1557">
        <f>+'Flujo Redco Chile'!M32</f>
        <v>0</v>
      </c>
      <c r="O33" s="1557">
        <f>+'Flujo Redco Chile'!N32</f>
        <v>0</v>
      </c>
      <c r="P33" s="1559">
        <f t="shared" si="11"/>
        <v>353646.46137339063</v>
      </c>
      <c r="Q33" s="1546"/>
      <c r="R33" s="599"/>
      <c r="V33" s="1547"/>
      <c r="W33" s="1547"/>
      <c r="X33" s="1547"/>
    </row>
    <row r="34" spans="2:32" ht="15" thickBot="1">
      <c r="B34" s="1554" t="s">
        <v>1337</v>
      </c>
      <c r="C34" s="1751" t="s">
        <v>1353</v>
      </c>
      <c r="D34" s="1750">
        <f>+'Flujo Redco Perú'!C36</f>
        <v>0</v>
      </c>
      <c r="E34" s="1750">
        <f>+'Flujo Redco Perú'!D36</f>
        <v>0</v>
      </c>
      <c r="F34" s="1750">
        <f>+'Flujo Redco Perú'!E36</f>
        <v>51893</v>
      </c>
      <c r="G34" s="1750">
        <f>+'Flujo Redco Perú'!F36</f>
        <v>0</v>
      </c>
      <c r="H34" s="1750">
        <f>+'Flujo Redco Perú'!G36</f>
        <v>0</v>
      </c>
      <c r="I34" s="1750">
        <f>+'Flujo Redco Perú'!H36</f>
        <v>0</v>
      </c>
      <c r="J34" s="1750">
        <f>+'Flujo Redco Perú'!I36</f>
        <v>0</v>
      </c>
      <c r="K34" s="1750">
        <f>+'Flujo Redco Perú'!J36</f>
        <v>0</v>
      </c>
      <c r="L34" s="1750">
        <f>+'Flujo Redco Perú'!K36</f>
        <v>0</v>
      </c>
      <c r="M34" s="1557">
        <f>+'Flujo Redco Perú'!L36</f>
        <v>0</v>
      </c>
      <c r="N34" s="1557">
        <f>+'Flujo Redco Perú'!M36</f>
        <v>0</v>
      </c>
      <c r="O34" s="1557">
        <f>+'Flujo Redco Perú'!N36</f>
        <v>0</v>
      </c>
      <c r="P34" s="1559">
        <f t="shared" si="11"/>
        <v>51893</v>
      </c>
      <c r="Q34" s="1546"/>
      <c r="V34" s="1547"/>
      <c r="W34" s="1547"/>
      <c r="X34" s="1547"/>
    </row>
    <row r="35" spans="2:32" ht="15" thickBot="1">
      <c r="B35" s="1554" t="s">
        <v>1336</v>
      </c>
      <c r="C35" s="1848" t="s">
        <v>882</v>
      </c>
      <c r="D35" s="1750"/>
      <c r="E35" s="1750"/>
      <c r="F35" s="1750"/>
      <c r="G35" s="1750"/>
      <c r="H35" s="1750"/>
      <c r="I35" s="1750"/>
      <c r="J35" s="1750"/>
      <c r="K35" s="1750"/>
      <c r="L35" s="1750"/>
      <c r="M35" s="1557"/>
      <c r="N35" s="1557"/>
      <c r="O35" s="1557"/>
      <c r="P35" s="1559">
        <f t="shared" si="11"/>
        <v>0</v>
      </c>
      <c r="Q35" s="1546"/>
      <c r="V35" s="1547"/>
      <c r="W35" s="1547"/>
      <c r="X35" s="1547"/>
    </row>
    <row r="36" spans="2:32" ht="15" thickBot="1">
      <c r="B36" s="1554" t="s">
        <v>1388</v>
      </c>
      <c r="C36" s="1848" t="s">
        <v>1355</v>
      </c>
      <c r="D36" s="2309">
        <f>+'Flujo Redco BVI'!C36</f>
        <v>0</v>
      </c>
      <c r="E36" s="2309">
        <f>+'Flujo Redco BVI'!D36</f>
        <v>0</v>
      </c>
      <c r="F36" s="2309">
        <f>+'Flujo Redco BVI'!E36</f>
        <v>0</v>
      </c>
      <c r="G36" s="2309">
        <f>+'Flujo Redco BVI'!F36</f>
        <v>0</v>
      </c>
      <c r="H36" s="2309">
        <f>+'Flujo Redco BVI'!G36</f>
        <v>415568</v>
      </c>
      <c r="I36" s="2309">
        <f>+'Flujo Redco BVI'!H36</f>
        <v>0</v>
      </c>
      <c r="J36" s="2309">
        <f>+'Flujo Redco BVI'!I36</f>
        <v>0</v>
      </c>
      <c r="K36" s="2309">
        <f>+'Flujo Redco BVI'!J36</f>
        <v>0</v>
      </c>
      <c r="L36" s="2309">
        <f>+'Flujo Redco BVI'!K36</f>
        <v>0</v>
      </c>
      <c r="M36" s="1557">
        <f>+'Flujo Redco BVI'!L36</f>
        <v>110754</v>
      </c>
      <c r="N36" s="1557">
        <f>+'Flujo Redco BVI'!M36</f>
        <v>278213</v>
      </c>
      <c r="O36" s="1557">
        <f>+'Flujo Redco BVI'!N36</f>
        <v>349514</v>
      </c>
      <c r="P36" s="1559">
        <f t="shared" si="11"/>
        <v>1154049</v>
      </c>
      <c r="Q36" s="1546"/>
      <c r="V36" s="1547"/>
      <c r="W36" s="1547"/>
      <c r="X36" s="1547"/>
    </row>
    <row r="37" spans="2:32" ht="18.75" customHeight="1" thickBot="1">
      <c r="B37" s="1568" t="s">
        <v>212</v>
      </c>
      <c r="C37" s="1560" t="s">
        <v>1350</v>
      </c>
      <c r="D37" s="1569">
        <f t="shared" ref="D37:P37" si="12">SUM(D28:D36)</f>
        <v>279571.81330472103</v>
      </c>
      <c r="E37" s="1569">
        <f t="shared" si="12"/>
        <v>245598.4120171674</v>
      </c>
      <c r="F37" s="1569">
        <f t="shared" si="12"/>
        <v>172251.11587982834</v>
      </c>
      <c r="G37" s="1569">
        <f t="shared" si="12"/>
        <v>292209.81115879829</v>
      </c>
      <c r="H37" s="1569">
        <f t="shared" si="12"/>
        <v>608384.48927038629</v>
      </c>
      <c r="I37" s="1569">
        <f t="shared" si="12"/>
        <v>179700.24785407726</v>
      </c>
      <c r="J37" s="1569">
        <f t="shared" si="12"/>
        <v>253201.80579399143</v>
      </c>
      <c r="K37" s="1569">
        <f t="shared" si="12"/>
        <v>659206.50965665234</v>
      </c>
      <c r="L37" s="1569">
        <f t="shared" si="12"/>
        <v>104602.14270386266</v>
      </c>
      <c r="M37" s="1569">
        <f t="shared" si="12"/>
        <v>341386.00645386265</v>
      </c>
      <c r="N37" s="1569">
        <f t="shared" si="12"/>
        <v>543386.8068669528</v>
      </c>
      <c r="O37" s="1569">
        <f t="shared" si="12"/>
        <v>849395.0075107296</v>
      </c>
      <c r="P37" s="1569">
        <f t="shared" si="12"/>
        <v>4528894.16847103</v>
      </c>
      <c r="Q37" s="599"/>
      <c r="R37" s="599"/>
      <c r="V37" s="599"/>
      <c r="W37" s="599"/>
      <c r="X37" s="599"/>
      <c r="Y37" s="599"/>
      <c r="Z37" s="599"/>
      <c r="AA37" s="599"/>
      <c r="AB37" s="599"/>
      <c r="AC37" s="599"/>
      <c r="AD37" s="599"/>
      <c r="AE37" s="599"/>
      <c r="AF37" s="599"/>
    </row>
    <row r="38" spans="2:32" ht="18.75" customHeight="1" thickBot="1">
      <c r="B38" s="1763"/>
      <c r="C38" s="1764"/>
      <c r="D38" s="1765"/>
      <c r="E38" s="1765"/>
      <c r="F38" s="1765"/>
      <c r="G38" s="1765"/>
      <c r="H38" s="1765"/>
      <c r="I38" s="1765"/>
      <c r="J38" s="1765"/>
      <c r="K38" s="1765"/>
      <c r="L38" s="1765"/>
      <c r="M38" s="1765"/>
      <c r="N38" s="1765"/>
      <c r="O38" s="1765"/>
      <c r="P38" s="1765"/>
      <c r="Q38" s="599"/>
      <c r="R38" s="599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</row>
    <row r="39" spans="2:32" ht="15" thickBot="1">
      <c r="B39" s="1558" t="s">
        <v>1336</v>
      </c>
      <c r="C39" s="1759" t="s">
        <v>1348</v>
      </c>
      <c r="D39" s="1562">
        <f>+'Flujo Redco Chile'!C44*-1</f>
        <v>-34979.333690987121</v>
      </c>
      <c r="E39" s="1562">
        <f>+'Flujo Redco Chile'!D44*-1</f>
        <v>-63266.4517167382</v>
      </c>
      <c r="F39" s="1562">
        <f>+'Flujo Redco Chile'!E44*-1</f>
        <v>-11946.347639484979</v>
      </c>
      <c r="G39" s="1562">
        <f>+'Flujo Redco Chile'!F44*-1</f>
        <v>-31666.326180257511</v>
      </c>
      <c r="H39" s="1562">
        <f>+'Flujo Redco Chile'!G44*-1</f>
        <v>-65886.450643776829</v>
      </c>
      <c r="I39" s="1562">
        <f>+'Flujo Redco Chile'!H44*-1</f>
        <v>-41468.2660944206</v>
      </c>
      <c r="J39" s="1562">
        <f>+'Flujo Redco Chile'!I44*-1</f>
        <v>-8884.0879828326179</v>
      </c>
      <c r="K39" s="1562">
        <f>+'Flujo Redco Chile'!J44*-1</f>
        <v>-86387.474248927043</v>
      </c>
      <c r="L39" s="1562">
        <f>+'Flujo Redco Chile'!K44*-1</f>
        <v>-27284.614806866954</v>
      </c>
      <c r="M39" s="1562">
        <f>+'Flujo Redco Chile'!L44*-1</f>
        <v>-47891.938841201714</v>
      </c>
      <c r="N39" s="1562">
        <f>+'Flujo Redco Chile'!M44*-1</f>
        <v>-45200.180257510729</v>
      </c>
      <c r="O39" s="1562">
        <f>+'Flujo Redco Chile'!N44*-1</f>
        <v>-24253.625536480686</v>
      </c>
      <c r="P39" s="1562">
        <f t="shared" ref="P39:P47" si="13">SUM(D39:O39)</f>
        <v>-489115.09763948503</v>
      </c>
      <c r="Q39" s="599"/>
      <c r="R39" s="599"/>
      <c r="S39" s="599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  <c r="AD39" s="599"/>
      <c r="AE39" s="599"/>
      <c r="AF39" s="599"/>
    </row>
    <row r="40" spans="2:32" ht="15" thickBot="1">
      <c r="B40" s="1554" t="s">
        <v>1336</v>
      </c>
      <c r="C40" s="1759" t="s">
        <v>1383</v>
      </c>
      <c r="D40" s="1557">
        <f>(+'Flujo Redco Chile'!C45+'Flujo Redco Chile'!C46+'Flujo Redco Chile'!C47)*-1</f>
        <v>-27599.535407725321</v>
      </c>
      <c r="E40" s="1557">
        <f>(+'Flujo Redco Chile'!D45+'Flujo Redco Chile'!D46+'Flujo Redco Chile'!D47)*-1</f>
        <v>-38631.281115879829</v>
      </c>
      <c r="F40" s="1557">
        <f>(+'Flujo Redco Chile'!E45+'Flujo Redco Chile'!E46+'Flujo Redco Chile'!E47)*-1</f>
        <v>-30686.726394849786</v>
      </c>
      <c r="G40" s="1557">
        <f>(+'Flujo Redco Chile'!F45+'Flujo Redco Chile'!F46+'Flujo Redco Chile'!F47)*-1</f>
        <v>-31866.890557939911</v>
      </c>
      <c r="H40" s="1557">
        <f>(+'Flujo Redco Chile'!G45+'Flujo Redco Chile'!G46+'Flujo Redco Chile'!G47)*-1</f>
        <v>-32660.930257510732</v>
      </c>
      <c r="I40" s="1557">
        <f>(+'Flujo Redco Chile'!H45+'Flujo Redco Chile'!H46+'Flujo Redco Chile'!H47)*-1</f>
        <v>-27706.253218884121</v>
      </c>
      <c r="J40" s="1557">
        <f>(+'Flujo Redco Chile'!I45+'Flujo Redco Chile'!I46+'Flujo Redco Chile'!I47)*-1</f>
        <v>-31882.783261802575</v>
      </c>
      <c r="K40" s="1557">
        <f>(+'Flujo Redco Chile'!J45+'Flujo Redco Chile'!J46+'Flujo Redco Chile'!J47)*-1</f>
        <v>-30717.742489270389</v>
      </c>
      <c r="L40" s="1557">
        <f>(+'Flujo Redco Chile'!K45+'Flujo Redco Chile'!K46+'Flujo Redco Chile'!K47)*-1</f>
        <v>-29655.451716738193</v>
      </c>
      <c r="M40" s="1557">
        <f>(+'Flujo Redco Chile'!L45+'Flujo Redco Chile'!L46+'Flujo Redco Chile'!L47)*-1</f>
        <v>-31895.060085836911</v>
      </c>
      <c r="N40" s="1557">
        <f>(+'Flujo Redco Chile'!M45+'Flujo Redco Chile'!M46+'Flujo Redco Chile'!M47)*-1</f>
        <v>-29668.006437768239</v>
      </c>
      <c r="O40" s="1557">
        <f>(+'Flujo Redco Chile'!N45+'Flujo Redco Chile'!N46+'Flujo Redco Chile'!N47)*-1</f>
        <v>-30784.118025751071</v>
      </c>
      <c r="P40" s="1557">
        <f t="shared" si="13"/>
        <v>-373754.77896995709</v>
      </c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</row>
    <row r="41" spans="2:32" ht="15" thickBot="1">
      <c r="B41" s="1554" t="s">
        <v>1336</v>
      </c>
      <c r="C41" s="1759" t="s">
        <v>1342</v>
      </c>
      <c r="D41" s="1557">
        <f>(+'Flujo Redco Chile'!C52+'Flujo Redco Chile'!C54+'Flujo Redco Chile'!C55+'Flujo Redco Chile'!C56+'Flujo Redco Chile'!C57)*-1</f>
        <v>-21128.810085836911</v>
      </c>
      <c r="E41" s="1557">
        <f>(+'Flujo Redco Chile'!D52+'Flujo Redco Chile'!D54+'Flujo Redco Chile'!D55+'Flujo Redco Chile'!D56+'Flujo Redco Chile'!D57)*-1</f>
        <v>-5335.2929184549357</v>
      </c>
      <c r="F41" s="1557">
        <f>(+'Flujo Redco Chile'!E52+'Flujo Redco Chile'!E54+'Flujo Redco Chile'!E55+'Flujo Redco Chile'!E56+'Flujo Redco Chile'!E57)*-1</f>
        <v>-20323.139484978543</v>
      </c>
      <c r="G41" s="1557">
        <f>(+'Flujo Redco Chile'!F52+'Flujo Redco Chile'!F54+'Flujo Redco Chile'!F55+'Flujo Redco Chile'!F56+'Flujo Redco Chile'!F57)*-1</f>
        <v>-68310.75</v>
      </c>
      <c r="H41" s="1557">
        <f>(+'Flujo Redco Chile'!G52+'Flujo Redco Chile'!G54+'Flujo Redco Chile'!G55+'Flujo Redco Chile'!G56+'Flujo Redco Chile'!G57)*-1</f>
        <v>-25408.953862660943</v>
      </c>
      <c r="I41" s="1557">
        <f>(+'Flujo Redco Chile'!H52+'Flujo Redco Chile'!H54+'Flujo Redco Chile'!H55+'Flujo Redco Chile'!H56+'Flujo Redco Chile'!H57)*-1</f>
        <v>-19313.304721030043</v>
      </c>
      <c r="J41" s="1557">
        <f>(+'Flujo Redco Chile'!I52+'Flujo Redco Chile'!I54+'Flujo Redco Chile'!I55+'Flujo Redco Chile'!I56+'Flujo Redco Chile'!I57)*-1</f>
        <v>-66329.1448497854</v>
      </c>
      <c r="K41" s="1557">
        <f>(+'Flujo Redco Chile'!J52+'Flujo Redco Chile'!J54+'Flujo Redco Chile'!J55+'Flujo Redco Chile'!J56+'Flujo Redco Chile'!J57)*-1</f>
        <v>-7645.622317596567</v>
      </c>
      <c r="L41" s="1557">
        <f>(+'Flujo Redco Chile'!K52+'Flujo Redco Chile'!K54+'Flujo Redco Chile'!K55+'Flujo Redco Chile'!K56+'Flujo Redco Chile'!K57)*-1</f>
        <v>-2990.3272532188839</v>
      </c>
      <c r="M41" s="1557">
        <f>(+'Flujo Redco Chile'!L52+'Flujo Redco Chile'!L54+'Flujo Redco Chile'!L55+'Flujo Redco Chile'!L56+'Flujo Redco Chile'!L57)*-1</f>
        <v>-2382.5965665236054</v>
      </c>
      <c r="N41" s="1557">
        <f>(+'Flujo Redco Chile'!M52+'Flujo Redco Chile'!M54+'Flujo Redco Chile'!M55+'Flujo Redco Chile'!M56+'Flujo Redco Chile'!M57)*-1</f>
        <v>-2631.8969957081545</v>
      </c>
      <c r="O41" s="1557">
        <f>(+'Flujo Redco Chile'!N52+'Flujo Redco Chile'!N54+'Flujo Redco Chile'!N55+'Flujo Redco Chile'!N56+'Flujo Redco Chile'!N57)*-1</f>
        <v>-47905.396995708157</v>
      </c>
      <c r="P41" s="1557">
        <f t="shared" si="13"/>
        <v>-289705.23605150211</v>
      </c>
      <c r="Q41" s="1752"/>
      <c r="R41" s="599"/>
    </row>
    <row r="42" spans="2:32" ht="15" thickBot="1">
      <c r="B42" s="1554" t="s">
        <v>1336</v>
      </c>
      <c r="C42" s="1760" t="s">
        <v>1353</v>
      </c>
      <c r="D42" s="1557">
        <f>+'Flujo Redco Chile'!C53*-1</f>
        <v>-24259.656652360514</v>
      </c>
      <c r="E42" s="1557">
        <f>+'Flujo Redco Chile'!D53*-1</f>
        <v>-113524.19957081546</v>
      </c>
      <c r="F42" s="1557">
        <f>+'Flujo Redco Chile'!E53*-1</f>
        <v>-57052.603004291843</v>
      </c>
      <c r="G42" s="1557">
        <f>+'Flujo Redco Chile'!F53*-1</f>
        <v>-140964.7092274678</v>
      </c>
      <c r="H42" s="1557">
        <f>+'Flujo Redco Chile'!G53*-1</f>
        <v>-9291.9935622317589</v>
      </c>
      <c r="I42" s="1557">
        <f>+'Flujo Redco Chile'!H53*-1</f>
        <v>0</v>
      </c>
      <c r="J42" s="1557">
        <f>+'Flujo Redco Chile'!I53*-1</f>
        <v>0</v>
      </c>
      <c r="K42" s="1557">
        <f>+'Flujo Redco Chile'!J53*-1</f>
        <v>0</v>
      </c>
      <c r="L42" s="1557">
        <f>+'Flujo Redco Chile'!K53*-1</f>
        <v>-27214.363733905579</v>
      </c>
      <c r="M42" s="1557">
        <f>+'Flujo Redco Chile'!L53*-1</f>
        <v>0</v>
      </c>
      <c r="N42" s="1557">
        <f>+'Flujo Redco Chile'!M53*-1</f>
        <v>0</v>
      </c>
      <c r="O42" s="1557">
        <f>+'Flujo Redco Chile'!N53*-1</f>
        <v>-388.0772532188841</v>
      </c>
      <c r="P42" s="1557">
        <f t="shared" si="13"/>
        <v>-372695.60300429189</v>
      </c>
      <c r="Q42" s="1752"/>
      <c r="R42" s="599"/>
    </row>
    <row r="43" spans="2:32" ht="15" thickBot="1">
      <c r="B43" s="1554" t="s">
        <v>1337</v>
      </c>
      <c r="C43" s="1749" t="s">
        <v>1348</v>
      </c>
      <c r="D43" s="1557">
        <f>+'Flujo Redco Perú'!C44*-1</f>
        <v>-42494</v>
      </c>
      <c r="E43" s="1557">
        <f>+'Flujo Redco Perú'!D44*-1</f>
        <v>0</v>
      </c>
      <c r="F43" s="1557">
        <f>+'Flujo Redco Perú'!E44*-1</f>
        <v>-5448</v>
      </c>
      <c r="G43" s="1557">
        <f>+'Flujo Redco Perú'!F44*-1</f>
        <v>-1998</v>
      </c>
      <c r="H43" s="1557">
        <f>+'Flujo Redco Perú'!G44*-1</f>
        <v>-49989</v>
      </c>
      <c r="I43" s="1557">
        <f>+'Flujo Redco Perú'!H44*-1</f>
        <v>-41625</v>
      </c>
      <c r="J43" s="1557">
        <f>+'Flujo Redco Perú'!I44*-1</f>
        <v>-37651</v>
      </c>
      <c r="K43" s="1557">
        <f>+'Flujo Redco Perú'!J44*-1</f>
        <v>-102790</v>
      </c>
      <c r="L43" s="1557">
        <f>+'Flujo Redco Perú'!K44*-1</f>
        <v>-18776</v>
      </c>
      <c r="M43" s="1557">
        <f>+'Flujo Redco Perú'!L44*-1</f>
        <v>-33704</v>
      </c>
      <c r="N43" s="1557">
        <f>+'Flujo Redco Perú'!M44*-1</f>
        <v>-38341</v>
      </c>
      <c r="O43" s="1557">
        <f>+'Flujo Redco Perú'!N44*-1</f>
        <v>-36493</v>
      </c>
      <c r="P43" s="1557">
        <f t="shared" si="13"/>
        <v>-409309</v>
      </c>
      <c r="Q43" s="599"/>
      <c r="R43" s="599"/>
    </row>
    <row r="44" spans="2:32" ht="15" thickBot="1">
      <c r="B44" s="1554" t="s">
        <v>1337</v>
      </c>
      <c r="C44" s="1767" t="s">
        <v>1342</v>
      </c>
      <c r="D44" s="1557">
        <f>+'Flujo Redco Perú'!C54*-1</f>
        <v>0</v>
      </c>
      <c r="E44" s="1557">
        <f>+'Flujo Redco Perú'!D54*-1</f>
        <v>0</v>
      </c>
      <c r="F44" s="1557">
        <f>+'Flujo Redco Perú'!E54*-1</f>
        <v>-14000</v>
      </c>
      <c r="G44" s="1557">
        <f>+'Flujo Redco Perú'!F54*-1</f>
        <v>0</v>
      </c>
      <c r="H44" s="1557">
        <f>+'Flujo Redco Perú'!G54*-1</f>
        <v>0</v>
      </c>
      <c r="I44" s="1557">
        <f>+'Flujo Redco Perú'!H54*-1</f>
        <v>-14000</v>
      </c>
      <c r="J44" s="1557">
        <f>+'Flujo Redco Perú'!I54*-1</f>
        <v>0</v>
      </c>
      <c r="K44" s="1557">
        <f>+'Flujo Redco Perú'!J54*-1</f>
        <v>-472152</v>
      </c>
      <c r="L44" s="1557">
        <f>+'Flujo Redco Perú'!K54*-1</f>
        <v>-28000</v>
      </c>
      <c r="M44" s="1557">
        <f>+'Flujo Redco Perú'!L54*-1</f>
        <v>-152335</v>
      </c>
      <c r="N44" s="1557">
        <f>+'Flujo Redco Perú'!M54*-1</f>
        <v>-147722</v>
      </c>
      <c r="O44" s="1557">
        <f>+'Flujo Redco Perú'!N54*-1</f>
        <v>-100000</v>
      </c>
      <c r="P44" s="1557">
        <f t="shared" si="13"/>
        <v>-928209</v>
      </c>
      <c r="Q44" s="1752"/>
      <c r="R44" s="1752"/>
      <c r="S44" s="1752"/>
      <c r="T44" s="1752"/>
      <c r="U44" s="1752"/>
      <c r="V44" s="1752"/>
      <c r="W44" s="1752"/>
      <c r="X44" s="1752"/>
      <c r="Y44" s="1752"/>
      <c r="Z44" s="1752"/>
      <c r="AA44" s="1752"/>
      <c r="AB44" s="1752"/>
      <c r="AC44" s="1752"/>
      <c r="AD44" s="1752"/>
      <c r="AE44" s="1752"/>
    </row>
    <row r="45" spans="2:32" ht="15" thickBot="1">
      <c r="B45" s="1554" t="s">
        <v>1338</v>
      </c>
      <c r="C45" s="1749" t="s">
        <v>1348</v>
      </c>
      <c r="D45" s="1557">
        <f>+'Flujo Redco Brasil'!C37*-1</f>
        <v>-13957</v>
      </c>
      <c r="E45" s="1557">
        <f>+'Flujo Redco Brasil'!D37*-1</f>
        <v>-15243</v>
      </c>
      <c r="F45" s="1557">
        <f>+'Flujo Redco Brasil'!E37*-1</f>
        <v>-7945</v>
      </c>
      <c r="G45" s="1557">
        <f>+'Flujo Redco Brasil'!F37*-1</f>
        <v>-26398</v>
      </c>
      <c r="H45" s="1557">
        <f>+'Flujo Redco Brasil'!G37*-1</f>
        <v>-9411</v>
      </c>
      <c r="I45" s="1557">
        <f>+'Flujo Redco Brasil'!H37*-1</f>
        <v>-12454</v>
      </c>
      <c r="J45" s="1557">
        <f>+'Flujo Redco Brasil'!I37*-1</f>
        <v>-18530</v>
      </c>
      <c r="K45" s="1557">
        <f>+'Flujo Redco Brasil'!J37*-1</f>
        <v>-27561</v>
      </c>
      <c r="L45" s="1557">
        <f>+'Flujo Redco Brasil'!K37*-1</f>
        <v>-21983</v>
      </c>
      <c r="M45" s="1557">
        <f>+'Flujo Redco Brasil'!L37*-1</f>
        <v>-67960</v>
      </c>
      <c r="N45" s="1557">
        <f>+'Flujo Redco Brasil'!M37*-1</f>
        <v>-58112</v>
      </c>
      <c r="O45" s="1557">
        <f>+'Flujo Redco Brasil'!N37*-1</f>
        <v>-95607</v>
      </c>
      <c r="P45" s="1557">
        <f t="shared" si="13"/>
        <v>-375161</v>
      </c>
      <c r="Q45" s="1752"/>
      <c r="R45" s="599"/>
    </row>
    <row r="46" spans="2:32" ht="15" thickBot="1">
      <c r="B46" s="1554" t="s">
        <v>1338</v>
      </c>
      <c r="C46" s="1767" t="s">
        <v>1342</v>
      </c>
      <c r="D46" s="1557"/>
      <c r="E46" s="1557"/>
      <c r="F46" s="1557"/>
      <c r="G46" s="1557"/>
      <c r="H46" s="1557">
        <f>+'Flujo Redco Brasil'!G43*-1</f>
        <v>-133710</v>
      </c>
      <c r="I46" s="1557">
        <f>+'Flujo Redco Brasil'!H43*-1</f>
        <v>0</v>
      </c>
      <c r="J46" s="1557"/>
      <c r="K46" s="1557"/>
      <c r="L46" s="1557"/>
      <c r="M46" s="1557"/>
      <c r="N46" s="1557"/>
      <c r="O46" s="1557"/>
      <c r="P46" s="1557">
        <f t="shared" si="13"/>
        <v>-133710</v>
      </c>
      <c r="Q46" s="1752"/>
      <c r="R46" s="599"/>
    </row>
    <row r="47" spans="2:32" ht="15" thickBot="1">
      <c r="B47" s="1554" t="s">
        <v>1338</v>
      </c>
      <c r="C47" s="1767" t="s">
        <v>1342</v>
      </c>
      <c r="D47" s="1557"/>
      <c r="E47" s="1557"/>
      <c r="F47" s="1557"/>
      <c r="G47" s="1557"/>
      <c r="H47" s="1557">
        <f>+'Flujo Redco USA'!G46*-1</f>
        <v>-281858</v>
      </c>
      <c r="I47" s="1557"/>
      <c r="J47" s="1557"/>
      <c r="K47" s="1557"/>
      <c r="L47" s="1557"/>
      <c r="M47" s="1557"/>
      <c r="N47" s="1557"/>
      <c r="O47" s="1557"/>
      <c r="P47" s="1557">
        <f t="shared" si="13"/>
        <v>-281858</v>
      </c>
      <c r="Q47" s="1752"/>
      <c r="R47" s="599"/>
    </row>
    <row r="48" spans="2:32" ht="15" thickBot="1">
      <c r="B48" s="1568" t="s">
        <v>212</v>
      </c>
      <c r="C48" s="1560" t="s">
        <v>1351</v>
      </c>
      <c r="D48" s="1570">
        <f>SUM(D39:D47)</f>
        <v>-164418.33583690989</v>
      </c>
      <c r="E48" s="1570">
        <f t="shared" ref="E48:O48" si="14">SUM(E39:E47)</f>
        <v>-236000.22532188843</v>
      </c>
      <c r="F48" s="1570">
        <f t="shared" si="14"/>
        <v>-147401.81652360514</v>
      </c>
      <c r="G48" s="1570">
        <f t="shared" si="14"/>
        <v>-301204.67596566526</v>
      </c>
      <c r="H48" s="1570">
        <f t="shared" si="14"/>
        <v>-608216.32832618023</v>
      </c>
      <c r="I48" s="1570">
        <f t="shared" si="14"/>
        <v>-156566.82403433474</v>
      </c>
      <c r="J48" s="1570">
        <f t="shared" si="14"/>
        <v>-163277.0160944206</v>
      </c>
      <c r="K48" s="1570">
        <f t="shared" si="14"/>
        <v>-727253.83905579406</v>
      </c>
      <c r="L48" s="1570">
        <f t="shared" si="14"/>
        <v>-155903.7575107296</v>
      </c>
      <c r="M48" s="1570">
        <f t="shared" si="14"/>
        <v>-336168.59549356223</v>
      </c>
      <c r="N48" s="1570">
        <f t="shared" si="14"/>
        <v>-321675.08369098714</v>
      </c>
      <c r="O48" s="1570">
        <f t="shared" si="14"/>
        <v>-335431.2178111588</v>
      </c>
      <c r="P48" s="1570">
        <f>SUM(P39:P47)</f>
        <v>-3653517.7156652361</v>
      </c>
      <c r="Q48" s="599"/>
      <c r="R48" s="599"/>
      <c r="S48" s="599"/>
      <c r="T48" s="599"/>
      <c r="U48" s="599"/>
      <c r="V48" s="599"/>
      <c r="W48" s="599"/>
      <c r="X48" s="599"/>
      <c r="Y48" s="599"/>
      <c r="Z48" s="599"/>
      <c r="AA48" s="599"/>
      <c r="AB48" s="599"/>
      <c r="AC48" s="599"/>
      <c r="AD48" s="599"/>
      <c r="AE48" s="599"/>
    </row>
    <row r="49" spans="2:31" ht="15" thickBot="1">
      <c r="B49" s="1763"/>
      <c r="C49" s="1764"/>
      <c r="D49" s="1766"/>
      <c r="E49" s="1766"/>
      <c r="F49" s="1766"/>
      <c r="G49" s="1766"/>
      <c r="H49" s="1766"/>
      <c r="I49" s="1766"/>
      <c r="J49" s="1766"/>
      <c r="K49" s="1766"/>
      <c r="L49" s="1766"/>
      <c r="M49" s="1766"/>
      <c r="N49" s="1766"/>
      <c r="O49" s="1766"/>
      <c r="P49" s="1766"/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  <c r="AC49" s="599"/>
      <c r="AD49" s="599"/>
      <c r="AE49" s="599"/>
    </row>
    <row r="50" spans="2:31" ht="15" thickBot="1">
      <c r="B50" s="1551" t="s">
        <v>1335</v>
      </c>
      <c r="C50" s="1552" t="s">
        <v>1395</v>
      </c>
      <c r="D50" s="1552">
        <v>45658</v>
      </c>
      <c r="E50" s="1552">
        <v>45689</v>
      </c>
      <c r="F50" s="1552">
        <v>45717</v>
      </c>
      <c r="G50" s="1552">
        <v>45748</v>
      </c>
      <c r="H50" s="1552">
        <v>45778</v>
      </c>
      <c r="I50" s="1552">
        <v>45809</v>
      </c>
      <c r="J50" s="1552">
        <v>45839</v>
      </c>
      <c r="K50" s="1552">
        <v>45870</v>
      </c>
      <c r="L50" s="1552">
        <v>45901</v>
      </c>
      <c r="M50" s="1552">
        <v>45931</v>
      </c>
      <c r="N50" s="1552">
        <v>45962</v>
      </c>
      <c r="O50" s="1552">
        <v>45992</v>
      </c>
      <c r="P50" s="1553" t="s">
        <v>734</v>
      </c>
      <c r="Q50" s="599"/>
      <c r="R50" s="599"/>
      <c r="S50" s="599"/>
      <c r="T50" s="599"/>
      <c r="U50" s="599"/>
      <c r="V50" s="599"/>
      <c r="W50" s="599"/>
      <c r="X50" s="599"/>
      <c r="Z50" s="599"/>
      <c r="AA50" s="599"/>
      <c r="AB50" s="599"/>
      <c r="AC50" s="599"/>
      <c r="AD50" s="599"/>
      <c r="AE50" s="599"/>
    </row>
    <row r="51" spans="2:31" ht="15" thickBot="1">
      <c r="B51" s="1554" t="s">
        <v>1336</v>
      </c>
      <c r="C51" s="1745" t="s">
        <v>1340</v>
      </c>
      <c r="D51" s="1756">
        <f t="shared" ref="D51:O51" si="15">SUM(D20+D28+D30+D32+D33+D35+D39+D41+D42+D40)</f>
        <v>118395.56330472106</v>
      </c>
      <c r="E51" s="1756">
        <f t="shared" si="15"/>
        <v>133162.16845493575</v>
      </c>
      <c r="F51" s="1756">
        <f t="shared" si="15"/>
        <v>-69890.422746781114</v>
      </c>
      <c r="G51" s="1756">
        <f t="shared" si="15"/>
        <v>-113200.72639484986</v>
      </c>
      <c r="H51" s="1756">
        <f t="shared" si="15"/>
        <v>-40765.557939914237</v>
      </c>
      <c r="I51" s="1756">
        <f t="shared" si="15"/>
        <v>-48061.671673819743</v>
      </c>
      <c r="J51" s="1756">
        <f t="shared" si="15"/>
        <v>191766.35300429186</v>
      </c>
      <c r="K51" s="1756">
        <f t="shared" si="15"/>
        <v>134254.50214592268</v>
      </c>
      <c r="L51" s="1756">
        <f t="shared" si="15"/>
        <v>-156525.88948497857</v>
      </c>
      <c r="M51" s="1756">
        <f t="shared" si="15"/>
        <v>-250376.78861051498</v>
      </c>
      <c r="N51" s="1756">
        <f t="shared" si="15"/>
        <v>-62470.464592274773</v>
      </c>
      <c r="O51" s="1756">
        <f t="shared" si="15"/>
        <v>-1633.1952789699426</v>
      </c>
      <c r="P51" s="1756">
        <f t="shared" ref="P51:P56" si="16">SUM(D51:O51)</f>
        <v>-165346.12981223187</v>
      </c>
      <c r="Q51" s="599"/>
      <c r="R51" s="599"/>
      <c r="S51" s="599"/>
      <c r="Z51" s="599"/>
    </row>
    <row r="52" spans="2:31" ht="15" thickBot="1">
      <c r="B52" s="1554" t="s">
        <v>1337</v>
      </c>
      <c r="C52" s="1751" t="s">
        <v>1340</v>
      </c>
      <c r="D52" s="1756">
        <f t="shared" ref="D52:O52" si="17">+D21+D29+D34+D43+D44</f>
        <v>3798.1499999999942</v>
      </c>
      <c r="E52" s="1756">
        <f t="shared" si="17"/>
        <v>-2643</v>
      </c>
      <c r="F52" s="1756">
        <f t="shared" si="17"/>
        <v>65135</v>
      </c>
      <c r="G52" s="1756">
        <f t="shared" si="17"/>
        <v>-1064.2999999999884</v>
      </c>
      <c r="H52" s="1756">
        <f t="shared" si="17"/>
        <v>-4999</v>
      </c>
      <c r="I52" s="1756">
        <f t="shared" si="17"/>
        <v>42095</v>
      </c>
      <c r="J52" s="1756">
        <f t="shared" si="17"/>
        <v>48879</v>
      </c>
      <c r="K52" s="1756">
        <f t="shared" si="17"/>
        <v>-32506</v>
      </c>
      <c r="L52" s="1756">
        <f t="shared" si="17"/>
        <v>-38703</v>
      </c>
      <c r="M52" s="1756">
        <f t="shared" si="17"/>
        <v>-391658.65987124463</v>
      </c>
      <c r="N52" s="1756">
        <f t="shared" si="17"/>
        <v>-123997.64000000001</v>
      </c>
      <c r="O52" s="1756">
        <f t="shared" si="17"/>
        <v>-25297</v>
      </c>
      <c r="P52" s="1756">
        <f t="shared" si="16"/>
        <v>-460961.44987124461</v>
      </c>
      <c r="Q52" s="599"/>
      <c r="R52" s="599"/>
      <c r="Z52" s="599"/>
    </row>
    <row r="53" spans="2:31" ht="15" thickBot="1">
      <c r="B53" s="1554" t="s">
        <v>1338</v>
      </c>
      <c r="C53" s="1751" t="s">
        <v>1340</v>
      </c>
      <c r="D53" s="1756">
        <f>+D22+D31+D45</f>
        <v>51910</v>
      </c>
      <c r="E53" s="1756">
        <f>+E22+E31+E45</f>
        <v>16991</v>
      </c>
      <c r="F53" s="1756">
        <f>+F22+F31+F45</f>
        <v>61952</v>
      </c>
      <c r="G53" s="1756">
        <f>+G22+G31+G45</f>
        <v>18807.299999999996</v>
      </c>
      <c r="H53" s="1756">
        <f t="shared" ref="H53:O53" si="18">+H22+H31+H45+H46</f>
        <v>-137850</v>
      </c>
      <c r="I53" s="1756">
        <f t="shared" si="18"/>
        <v>-22177</v>
      </c>
      <c r="J53" s="1756">
        <f t="shared" si="18"/>
        <v>-1832</v>
      </c>
      <c r="K53" s="1756">
        <f t="shared" si="18"/>
        <v>70616</v>
      </c>
      <c r="L53" s="1756">
        <f t="shared" si="18"/>
        <v>104282</v>
      </c>
      <c r="M53" s="1756">
        <f t="shared" si="18"/>
        <v>244856</v>
      </c>
      <c r="N53" s="1756">
        <f t="shared" si="18"/>
        <v>135142</v>
      </c>
      <c r="O53" s="1756">
        <f t="shared" si="18"/>
        <v>105508.50999999998</v>
      </c>
      <c r="P53" s="1756">
        <f t="shared" si="16"/>
        <v>648205.81000000006</v>
      </c>
      <c r="Q53" s="599"/>
      <c r="R53" s="599"/>
      <c r="Z53" s="599"/>
    </row>
    <row r="54" spans="2:31" ht="15" thickBot="1">
      <c r="B54" s="1558" t="s">
        <v>790</v>
      </c>
      <c r="C54" s="1751" t="s">
        <v>1340</v>
      </c>
      <c r="D54" s="1756">
        <f>SUM(D23)</f>
        <v>150438</v>
      </c>
      <c r="E54" s="1756">
        <f>SUM(E23)</f>
        <v>241440.21</v>
      </c>
      <c r="F54" s="1756">
        <f>SUM(F23)</f>
        <v>82798</v>
      </c>
      <c r="G54" s="1756">
        <f>SUM(G23)</f>
        <v>159302</v>
      </c>
      <c r="H54" s="1756">
        <f>SUM(H23+H47)</f>
        <v>-134434</v>
      </c>
      <c r="I54" s="1756">
        <f>SUM(I23+I47)</f>
        <v>57618</v>
      </c>
      <c r="J54" s="1756">
        <f t="shared" ref="J54:O54" si="19">SUM(J23)</f>
        <v>-10017</v>
      </c>
      <c r="K54" s="1756">
        <f t="shared" si="19"/>
        <v>18985</v>
      </c>
      <c r="L54" s="1756">
        <f t="shared" si="19"/>
        <v>-1000</v>
      </c>
      <c r="M54" s="1756">
        <f t="shared" si="19"/>
        <v>-43411</v>
      </c>
      <c r="N54" s="1756">
        <f t="shared" si="19"/>
        <v>-1000</v>
      </c>
      <c r="O54" s="1756">
        <f t="shared" si="19"/>
        <v>-39625</v>
      </c>
      <c r="P54" s="1756">
        <f t="shared" si="16"/>
        <v>481094.20999999996</v>
      </c>
      <c r="Q54" s="599"/>
      <c r="R54" s="599"/>
      <c r="Y54" s="599"/>
      <c r="Z54" s="599"/>
    </row>
    <row r="55" spans="2:31" ht="15" thickBot="1">
      <c r="B55" s="1558" t="s">
        <v>1388</v>
      </c>
      <c r="C55" s="1751" t="s">
        <v>1340</v>
      </c>
      <c r="D55" s="1756">
        <f t="shared" ref="D55:O55" si="20">+D24+D36</f>
        <v>-14044</v>
      </c>
      <c r="E55" s="1756">
        <f t="shared" si="20"/>
        <v>21682</v>
      </c>
      <c r="F55" s="1756">
        <f t="shared" si="20"/>
        <v>45478</v>
      </c>
      <c r="G55" s="1756">
        <f t="shared" si="20"/>
        <v>-14380</v>
      </c>
      <c r="H55" s="1756">
        <f t="shared" si="20"/>
        <v>399568</v>
      </c>
      <c r="I55" s="1756">
        <f t="shared" si="20"/>
        <v>156951</v>
      </c>
      <c r="J55" s="1756">
        <f t="shared" si="20"/>
        <v>-5684.8</v>
      </c>
      <c r="K55" s="1756">
        <f t="shared" si="20"/>
        <v>93839.2</v>
      </c>
      <c r="L55" s="1756">
        <f t="shared" si="20"/>
        <v>-5684.8</v>
      </c>
      <c r="M55" s="1756">
        <f t="shared" si="20"/>
        <v>105069.2</v>
      </c>
      <c r="N55" s="1756">
        <f t="shared" si="20"/>
        <v>272528.2</v>
      </c>
      <c r="O55" s="1756">
        <f t="shared" si="20"/>
        <v>343829.2</v>
      </c>
      <c r="P55" s="1756">
        <f t="shared" si="16"/>
        <v>1399151.1999999997</v>
      </c>
      <c r="Q55" s="599"/>
      <c r="R55" s="599"/>
      <c r="Z55" s="599"/>
    </row>
    <row r="56" spans="2:31" ht="18.75" customHeight="1" thickBot="1">
      <c r="B56" s="1571" t="s">
        <v>212</v>
      </c>
      <c r="C56" s="1556" t="s">
        <v>1340</v>
      </c>
      <c r="D56" s="1556">
        <f>SUM(D51:D55)</f>
        <v>310497.71330472105</v>
      </c>
      <c r="E56" s="1556">
        <f t="shared" ref="E56:O56" si="21">SUM(E51:E55)</f>
        <v>410632.37845493574</v>
      </c>
      <c r="F56" s="1556">
        <f t="shared" si="21"/>
        <v>185472.57725321889</v>
      </c>
      <c r="G56" s="1556">
        <f t="shared" si="21"/>
        <v>49464.273605150142</v>
      </c>
      <c r="H56" s="1556">
        <f t="shared" si="21"/>
        <v>81519.44206008577</v>
      </c>
      <c r="I56" s="1556">
        <f t="shared" si="21"/>
        <v>186425.32832618026</v>
      </c>
      <c r="J56" s="1556">
        <f t="shared" si="21"/>
        <v>223111.55300429187</v>
      </c>
      <c r="K56" s="1556">
        <f t="shared" si="21"/>
        <v>285188.7021459227</v>
      </c>
      <c r="L56" s="1556">
        <f t="shared" si="21"/>
        <v>-97631.689484978575</v>
      </c>
      <c r="M56" s="1556">
        <f t="shared" si="21"/>
        <v>-335521.24848175963</v>
      </c>
      <c r="N56" s="1556">
        <f t="shared" si="21"/>
        <v>220202.09540772522</v>
      </c>
      <c r="O56" s="1556">
        <f t="shared" si="21"/>
        <v>382782.51472103002</v>
      </c>
      <c r="P56" s="1556">
        <f t="shared" si="16"/>
        <v>1902143.6403165236</v>
      </c>
      <c r="Q56" s="599"/>
      <c r="R56" s="599"/>
    </row>
    <row r="57" spans="2:31" ht="18.75" customHeight="1" thickBot="1">
      <c r="B57" s="1765"/>
      <c r="C57" s="1765"/>
      <c r="D57" s="1765"/>
      <c r="E57" s="1765"/>
      <c r="F57" s="1765"/>
      <c r="G57" s="1765"/>
      <c r="H57" s="1765"/>
      <c r="I57" s="1765"/>
      <c r="J57" s="1765"/>
      <c r="K57" s="1765"/>
      <c r="L57" s="1765"/>
      <c r="M57" s="1765"/>
      <c r="N57" s="1765"/>
      <c r="O57" s="1765"/>
      <c r="P57" s="1765"/>
      <c r="Q57" s="599"/>
      <c r="R57" s="599"/>
    </row>
    <row r="58" spans="2:31" ht="18.75" customHeight="1" thickBot="1">
      <c r="B58" s="1555" t="s">
        <v>1349</v>
      </c>
      <c r="C58" s="1555" t="s">
        <v>1349</v>
      </c>
      <c r="D58" s="1556">
        <f>+D56+T9</f>
        <v>564489.87415642303</v>
      </c>
      <c r="E58" s="1556">
        <f>+D58+E56</f>
        <v>975122.25261135877</v>
      </c>
      <c r="F58" s="1556">
        <f t="shared" ref="F58:O58" si="22">+E58+F56</f>
        <v>1160594.8298645776</v>
      </c>
      <c r="G58" s="1556">
        <f t="shared" si="22"/>
        <v>1210059.1034697278</v>
      </c>
      <c r="H58" s="1556">
        <f t="shared" si="22"/>
        <v>1291578.5455298135</v>
      </c>
      <c r="I58" s="1556">
        <f t="shared" si="22"/>
        <v>1478003.8738559939</v>
      </c>
      <c r="J58" s="1556">
        <f t="shared" si="22"/>
        <v>1701115.4268602857</v>
      </c>
      <c r="K58" s="1556">
        <f t="shared" si="22"/>
        <v>1986304.1290062084</v>
      </c>
      <c r="L58" s="1556">
        <f t="shared" si="22"/>
        <v>1888672.4395212298</v>
      </c>
      <c r="M58" s="1556">
        <f t="shared" si="22"/>
        <v>1553151.1910394703</v>
      </c>
      <c r="N58" s="1556">
        <f t="shared" si="22"/>
        <v>1773353.2864471956</v>
      </c>
      <c r="O58" s="1556">
        <f t="shared" si="22"/>
        <v>2156135.8011682257</v>
      </c>
      <c r="P58" s="1556">
        <f>+O58</f>
        <v>2156135.8011682257</v>
      </c>
      <c r="Q58" s="599"/>
      <c r="R58" s="599"/>
    </row>
    <row r="59" spans="2:31" ht="15" thickBot="1">
      <c r="B59" s="599"/>
      <c r="C59" s="599"/>
      <c r="D59" s="599"/>
      <c r="E59" s="599"/>
      <c r="F59" s="599"/>
      <c r="G59" s="599"/>
      <c r="H59" s="599"/>
      <c r="I59" s="599"/>
      <c r="J59" s="599"/>
      <c r="K59" s="599"/>
      <c r="L59" s="599"/>
      <c r="M59" s="599"/>
      <c r="N59" s="599"/>
      <c r="O59" s="599"/>
      <c r="P59" s="599"/>
      <c r="Q59" s="1547"/>
      <c r="S59" s="1547"/>
    </row>
    <row r="60" spans="2:31" ht="15" thickBot="1">
      <c r="B60" s="1551" t="s">
        <v>1335</v>
      </c>
      <c r="C60" s="1552" t="s">
        <v>1395</v>
      </c>
      <c r="D60" s="1552">
        <v>45658</v>
      </c>
      <c r="E60" s="1552">
        <v>45689</v>
      </c>
      <c r="F60" s="1552">
        <v>45717</v>
      </c>
      <c r="G60" s="1552">
        <v>45748</v>
      </c>
      <c r="H60" s="1552">
        <v>45778</v>
      </c>
      <c r="I60" s="1552">
        <v>45809</v>
      </c>
      <c r="J60" s="1552">
        <v>45839</v>
      </c>
      <c r="K60" s="1552">
        <v>45870</v>
      </c>
      <c r="L60" s="1552">
        <v>45901</v>
      </c>
      <c r="M60" s="1552">
        <v>45931</v>
      </c>
      <c r="N60" s="1552">
        <v>45962</v>
      </c>
      <c r="O60" s="1552">
        <v>45992</v>
      </c>
      <c r="P60" s="1553" t="s">
        <v>734</v>
      </c>
      <c r="Q60" s="1547"/>
      <c r="R60" s="599"/>
    </row>
    <row r="61" spans="2:31" ht="15" thickBot="1">
      <c r="B61" s="1554" t="s">
        <v>1336</v>
      </c>
      <c r="C61" s="1568" t="s">
        <v>1352</v>
      </c>
      <c r="D61" s="1566">
        <f>+'Flujo Redco Chile'!C62</f>
        <v>170652.70064377683</v>
      </c>
      <c r="E61" s="1566">
        <f>+'Flujo Redco Chile'!D62</f>
        <v>303814.86909871246</v>
      </c>
      <c r="F61" s="1566">
        <f>+'Flujo Redco Chile'!E62</f>
        <v>233924.44635193137</v>
      </c>
      <c r="G61" s="1566">
        <f>+'Flujo Redco Chile'!F62</f>
        <v>120723.71995708154</v>
      </c>
      <c r="H61" s="1566">
        <f>+'Flujo Redco Chile'!G62</f>
        <v>79958.162017167313</v>
      </c>
      <c r="I61" s="1566">
        <f>+'Flujo Redco Chile'!H62</f>
        <v>31896.490343347556</v>
      </c>
      <c r="J61" s="1566">
        <f>+'Flujo Redco Chile'!I62</f>
        <v>223662.84334763943</v>
      </c>
      <c r="K61" s="1566">
        <f>+'Flujo Redco Chile'!J62</f>
        <v>357917.34549356211</v>
      </c>
      <c r="L61" s="1939">
        <f>+'Flujo Redco Chile'!K62</f>
        <v>201391.45600858357</v>
      </c>
      <c r="M61" s="1566">
        <f>+'Flujo Redco Chile'!L62</f>
        <v>55700.806883047073</v>
      </c>
      <c r="N61" s="1566">
        <f>+'Flujo Redco Chile'!M62</f>
        <v>20054.376625536286</v>
      </c>
      <c r="O61" s="1566">
        <f>+'Flujo Redco Chile'!N62</f>
        <v>23284.056883047087</v>
      </c>
      <c r="P61" s="1561">
        <f>+O61</f>
        <v>23284.056883047087</v>
      </c>
      <c r="Q61" s="1547"/>
    </row>
    <row r="62" spans="2:31" ht="15" thickBot="1">
      <c r="B62" s="1554" t="s">
        <v>1337</v>
      </c>
      <c r="C62" s="1568" t="s">
        <v>1352</v>
      </c>
      <c r="D62" s="1559">
        <f>+'Flujo Redco Perú'!C58</f>
        <v>140565.84351264618</v>
      </c>
      <c r="E62" s="1559">
        <f>+'Flujo Redco Perú'!D58</f>
        <v>137922.84351264618</v>
      </c>
      <c r="F62" s="1559">
        <f>+'Flujo Redco Perú'!E58</f>
        <v>203057.84351264618</v>
      </c>
      <c r="G62" s="1559">
        <f>+'Flujo Redco Perú'!F58</f>
        <v>201993.54351264617</v>
      </c>
      <c r="H62" s="1559">
        <f>+'Flujo Redco Perú'!G58</f>
        <v>196994.54351264617</v>
      </c>
      <c r="I62" s="1559">
        <f>+'Flujo Redco Perú'!H58</f>
        <v>239089.54351264617</v>
      </c>
      <c r="J62" s="1559">
        <f>+'Flujo Redco Perú'!I58</f>
        <v>287968.54351264617</v>
      </c>
      <c r="K62" s="1559">
        <f>+'Flujo Redco Perú'!J58</f>
        <v>255462.54351264617</v>
      </c>
      <c r="L62" s="1940">
        <f>+'Flujo Redco Perú'!K58</f>
        <v>216759.54351264617</v>
      </c>
      <c r="M62" s="1559">
        <f>+'Flujo Redco Perú'!L58</f>
        <v>230112.54351264617</v>
      </c>
      <c r="N62" s="1559">
        <f>+'Flujo Redco Perú'!M58</f>
        <v>106114.90351264617</v>
      </c>
      <c r="O62" s="1559">
        <f>+'Flujo Redco Perú'!N58</f>
        <v>80817.903512646168</v>
      </c>
      <c r="P62" s="1561">
        <f>+O62</f>
        <v>80817.903512646168</v>
      </c>
      <c r="Q62" s="1547"/>
    </row>
    <row r="63" spans="2:31" ht="15" thickBot="1">
      <c r="B63" s="1554" t="s">
        <v>1338</v>
      </c>
      <c r="C63" s="1568" t="s">
        <v>1352</v>
      </c>
      <c r="D63" s="1750">
        <f>+'Flujo Redco Brasil'!C49</f>
        <v>61532.33</v>
      </c>
      <c r="E63" s="1750">
        <f>+'Flujo Redco Brasil'!D49</f>
        <v>78523.33</v>
      </c>
      <c r="F63" s="1750">
        <f>+'Flujo Redco Brasil'!E49</f>
        <v>140475.33000000002</v>
      </c>
      <c r="G63" s="1750">
        <f>+'Flujo Redco Brasil'!F49</f>
        <v>159282.63</v>
      </c>
      <c r="H63" s="1750">
        <f>+'Flujo Redco Brasil'!G49</f>
        <v>21432.630000000005</v>
      </c>
      <c r="I63" s="1750">
        <f>+'Flujo Redco Brasil'!H49</f>
        <v>-744.36999999999534</v>
      </c>
      <c r="J63" s="1750">
        <f>+'Flujo Redco Brasil'!I49</f>
        <v>-2576.3699999999953</v>
      </c>
      <c r="K63" s="1750">
        <f>+'Flujo Redco Brasil'!J49</f>
        <v>68039.63</v>
      </c>
      <c r="L63" s="2074">
        <f>+'Flujo Redco Brasil'!K49</f>
        <v>179973.63</v>
      </c>
      <c r="M63" s="1750">
        <f>+'Flujo Redco Brasil'!L49</f>
        <v>426650.63</v>
      </c>
      <c r="N63" s="1750">
        <f>+'Flujo Redco Brasil'!M49</f>
        <v>283579.63</v>
      </c>
      <c r="O63" s="1750">
        <f>+'Flujo Redco Brasil'!N49</f>
        <v>389088.14</v>
      </c>
      <c r="P63" s="1572">
        <f>+O63</f>
        <v>389088.14</v>
      </c>
      <c r="Q63" s="1547"/>
    </row>
    <row r="64" spans="2:31" ht="15" thickBot="1">
      <c r="B64" s="1558" t="s">
        <v>790</v>
      </c>
      <c r="C64" s="1568" t="s">
        <v>1352</v>
      </c>
      <c r="D64" s="1559">
        <f>+'Flujo Redco USA'!C51</f>
        <v>205783</v>
      </c>
      <c r="E64" s="1559">
        <f>+'Flujo Redco USA'!D51</f>
        <v>447223.20999999996</v>
      </c>
      <c r="F64" s="1559">
        <f>+'Flujo Redco USA'!E51</f>
        <v>530021.21</v>
      </c>
      <c r="G64" s="1559">
        <f>+'Flujo Redco USA'!F51</f>
        <v>689323.21</v>
      </c>
      <c r="H64" s="1559">
        <f>+'Flujo Redco USA'!G51</f>
        <v>554889.21</v>
      </c>
      <c r="I64" s="1559">
        <f>+'Flujo Redco USA'!H51</f>
        <v>612507.21</v>
      </c>
      <c r="J64" s="1559">
        <f>+'Flujo Redco USA'!I51</f>
        <v>602490.21</v>
      </c>
      <c r="K64" s="1559">
        <f>+'Flujo Redco USA'!J51</f>
        <v>621475.21</v>
      </c>
      <c r="L64" s="1940">
        <f>+'Flujo Redco USA'!K51</f>
        <v>620475.21</v>
      </c>
      <c r="M64" s="1559">
        <f>+'Flujo Redco USA'!L51</f>
        <v>466310.20999999996</v>
      </c>
      <c r="N64" s="1559">
        <f>+'Flujo Redco USA'!M51</f>
        <v>458902.20999999996</v>
      </c>
      <c r="O64" s="1559">
        <f>+'Flujo Redco USA'!N51</f>
        <v>69763.209999999963</v>
      </c>
      <c r="P64" s="1561">
        <f>+O64</f>
        <v>69763.209999999963</v>
      </c>
      <c r="Q64" s="1547"/>
    </row>
    <row r="65" spans="2:18" ht="15" thickBot="1">
      <c r="B65" s="1558" t="s">
        <v>1388</v>
      </c>
      <c r="C65" s="1568" t="s">
        <v>1352</v>
      </c>
      <c r="D65" s="1559">
        <f>+'Flujo Redco BVI'!C51</f>
        <v>-14044</v>
      </c>
      <c r="E65" s="1559">
        <f>+'Flujo Redco BVI'!D51</f>
        <v>7638</v>
      </c>
      <c r="F65" s="1559">
        <f>+'Flujo Redco BVI'!E51</f>
        <v>53116</v>
      </c>
      <c r="G65" s="1559">
        <f>+'Flujo Redco BVI'!F51</f>
        <v>38736</v>
      </c>
      <c r="H65" s="1559">
        <f>+'Flujo Redco BVI'!G51</f>
        <v>438304</v>
      </c>
      <c r="I65" s="1559">
        <f>+'Flujo Redco BVI'!H51</f>
        <v>595255</v>
      </c>
      <c r="J65" s="1559">
        <f>+'Flujo Redco BVI'!I51</f>
        <v>589570.19999999995</v>
      </c>
      <c r="K65" s="1559">
        <f>+'Flujo Redco BVI'!J51</f>
        <v>683409.39999999991</v>
      </c>
      <c r="L65" s="1940">
        <f>+'Flujo Redco BVI'!K51-1</f>
        <v>677723.59999999986</v>
      </c>
      <c r="M65" s="1559">
        <f>+'Flujo Redco BVI'!L51</f>
        <v>782793.79999999981</v>
      </c>
      <c r="N65" s="1559">
        <f>+'Flujo Redco BVI'!M51</f>
        <v>1055321.9999999998</v>
      </c>
      <c r="O65" s="1559">
        <f>+'Flujo Redco BVI'!N51</f>
        <v>1399151.1999999997</v>
      </c>
      <c r="P65" s="1561">
        <f>+O65</f>
        <v>1399151.1999999997</v>
      </c>
      <c r="Q65" s="1547"/>
    </row>
    <row r="66" spans="2:18" ht="15" thickBot="1">
      <c r="B66" s="1555" t="s">
        <v>1339</v>
      </c>
      <c r="C66" s="1555" t="s">
        <v>1339</v>
      </c>
      <c r="D66" s="1556">
        <f>SUM(D61:D65)</f>
        <v>564489.87415642303</v>
      </c>
      <c r="E66" s="1556">
        <f t="shared" ref="E66:O66" si="23">SUM(E61:E65)</f>
        <v>975122.25261135865</v>
      </c>
      <c r="F66" s="1556">
        <f t="shared" si="23"/>
        <v>1160594.8298645776</v>
      </c>
      <c r="G66" s="1556">
        <f t="shared" si="23"/>
        <v>1210059.1034697276</v>
      </c>
      <c r="H66" s="1556">
        <f t="shared" si="23"/>
        <v>1291578.5455298135</v>
      </c>
      <c r="I66" s="1556">
        <f t="shared" si="23"/>
        <v>1478003.8738559936</v>
      </c>
      <c r="J66" s="1556">
        <f t="shared" si="23"/>
        <v>1701115.4268602855</v>
      </c>
      <c r="K66" s="1556">
        <f t="shared" si="23"/>
        <v>1986304.1290062082</v>
      </c>
      <c r="L66" s="1556">
        <f>SUM(L61:L65)</f>
        <v>1896323.4395212296</v>
      </c>
      <c r="M66" s="1556">
        <f t="shared" si="23"/>
        <v>1961567.9903956931</v>
      </c>
      <c r="N66" s="1556">
        <f t="shared" si="23"/>
        <v>1923973.1201381823</v>
      </c>
      <c r="O66" s="1556">
        <f t="shared" si="23"/>
        <v>1962104.5103956929</v>
      </c>
      <c r="P66" s="1556">
        <f>SUM(P61:P65)</f>
        <v>1962104.5103956929</v>
      </c>
      <c r="Q66" s="1547"/>
      <c r="R66" s="599">
        <f>+P66-P58</f>
        <v>-194031.29077253281</v>
      </c>
    </row>
    <row r="67" spans="2:18">
      <c r="B67" s="1546"/>
      <c r="C67" s="1546"/>
      <c r="D67" s="1546"/>
      <c r="E67" s="1546"/>
      <c r="F67" s="1546"/>
      <c r="G67" s="1546"/>
      <c r="H67" s="1546"/>
      <c r="I67" s="1546"/>
      <c r="J67" s="1546"/>
      <c r="K67" s="1546"/>
      <c r="L67" s="1546"/>
      <c r="M67" s="1546"/>
      <c r="N67" s="1546"/>
      <c r="O67" s="1546"/>
      <c r="P67" s="1546"/>
      <c r="Q67" s="1547"/>
    </row>
    <row r="68" spans="2:18"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1547"/>
    </row>
    <row r="69" spans="2:18">
      <c r="D69" s="599"/>
      <c r="E69" s="599"/>
      <c r="F69" s="599"/>
      <c r="G69" s="599"/>
      <c r="H69" s="599"/>
      <c r="I69" s="599"/>
      <c r="J69" s="599"/>
      <c r="K69" s="599"/>
      <c r="L69" s="599"/>
      <c r="M69" s="599"/>
      <c r="N69" s="599"/>
      <c r="O69" s="599"/>
      <c r="P69" s="599"/>
      <c r="Q69" s="1547"/>
    </row>
    <row r="70" spans="2:18">
      <c r="D70" s="1547"/>
      <c r="P70" s="599"/>
    </row>
    <row r="71" spans="2:18">
      <c r="D71" s="1547"/>
    </row>
    <row r="72" spans="2:18">
      <c r="D72" s="599"/>
      <c r="E72" s="599"/>
      <c r="F72" s="599"/>
      <c r="G72" s="599"/>
      <c r="H72" s="599"/>
      <c r="I72" s="599"/>
      <c r="J72" s="599"/>
      <c r="K72" s="599"/>
      <c r="L72" s="599"/>
    </row>
    <row r="74" spans="2:18">
      <c r="D74" s="599"/>
      <c r="E74" s="599"/>
      <c r="F74" s="599"/>
      <c r="G74" s="599"/>
      <c r="H74" s="599"/>
      <c r="I74" s="599"/>
      <c r="J74" s="599"/>
      <c r="K74" s="599"/>
      <c r="L74" s="599"/>
    </row>
    <row r="128" spans="8:15">
      <c r="H128" s="1546"/>
      <c r="I128" s="1546"/>
      <c r="J128" s="1546"/>
      <c r="K128" s="1546"/>
      <c r="L128" s="1546"/>
      <c r="M128" s="1546"/>
      <c r="N128" s="1546"/>
      <c r="O128" s="1546"/>
    </row>
    <row r="130" spans="4:12">
      <c r="D130" s="637"/>
      <c r="J130" s="599"/>
    </row>
    <row r="132" spans="4:12">
      <c r="D132" s="637"/>
      <c r="E132" s="637"/>
      <c r="F132" s="637"/>
      <c r="G132" s="637"/>
      <c r="H132" s="637"/>
      <c r="I132" s="637"/>
      <c r="J132" s="637"/>
      <c r="K132" s="637"/>
      <c r="L132" s="637"/>
    </row>
    <row r="137" spans="4:12">
      <c r="D137" s="637"/>
      <c r="E137" s="637"/>
      <c r="F137" s="637"/>
      <c r="G137" s="637"/>
      <c r="H137" s="637"/>
      <c r="I137" s="637"/>
      <c r="J137" s="637"/>
      <c r="K137" s="637"/>
      <c r="L137" s="637"/>
    </row>
  </sheetData>
  <sortState xmlns:xlrd2="http://schemas.microsoft.com/office/spreadsheetml/2017/richdata2" ref="Y50:Z54">
    <sortCondition descending="1" ref="Z50:Z54"/>
  </sortState>
  <mergeCells count="1">
    <mergeCell ref="V2:X2"/>
  </mergeCells>
  <conditionalFormatting sqref="D20:P24">
    <cfRule type="cellIs" dxfId="339" priority="3" operator="lessThan">
      <formula>0</formula>
    </cfRule>
  </conditionalFormatting>
  <conditionalFormatting sqref="D51:P55">
    <cfRule type="cellIs" dxfId="338" priority="2" operator="lessThan">
      <formula>0</formula>
    </cfRule>
  </conditionalFormatting>
  <conditionalFormatting sqref="D61:P65">
    <cfRule type="cellIs" dxfId="337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9EBB-A9F6-403B-9C58-B9D35F6FAD59}">
  <sheetPr codeName="Hoja8">
    <tabColor theme="3" tint="0.59999389629810485"/>
  </sheetPr>
  <dimension ref="B3:J56"/>
  <sheetViews>
    <sheetView zoomScaleNormal="100" workbookViewId="0">
      <selection activeCell="C43" sqref="C43"/>
    </sheetView>
  </sheetViews>
  <sheetFormatPr baseColWidth="10" defaultColWidth="11.5" defaultRowHeight="13" customHeight="1"/>
  <cols>
    <col min="1" max="1" width="11.5" style="104"/>
    <col min="2" max="2" width="37.1640625" style="104" bestFit="1" customWidth="1"/>
    <col min="3" max="3" width="12.5" style="104" customWidth="1"/>
    <col min="4" max="4" width="10.5" style="104" customWidth="1"/>
    <col min="5" max="7" width="9.5" style="104" customWidth="1"/>
    <col min="8" max="8" width="12.83203125" style="104" customWidth="1"/>
    <col min="9" max="9" width="14" style="104" bestFit="1" customWidth="1"/>
    <col min="10" max="10" width="13.5" style="104" bestFit="1" customWidth="1"/>
    <col min="11" max="16384" width="11.5" style="104"/>
  </cols>
  <sheetData>
    <row r="3" spans="2:10" ht="13" customHeight="1">
      <c r="B3" s="2503" t="s">
        <v>787</v>
      </c>
      <c r="C3" s="2503"/>
      <c r="D3" s="2503"/>
      <c r="E3" s="2503"/>
      <c r="F3" s="2503"/>
      <c r="G3" s="2503"/>
      <c r="H3" s="2503"/>
    </row>
    <row r="4" spans="2:10" ht="13" customHeight="1" thickBot="1">
      <c r="B4" s="141"/>
      <c r="C4" s="406"/>
      <c r="D4" s="988"/>
      <c r="E4" s="988"/>
      <c r="F4" s="988"/>
      <c r="G4" s="988"/>
      <c r="H4" s="989"/>
      <c r="I4" s="162"/>
      <c r="J4" s="107"/>
    </row>
    <row r="5" spans="2:10" ht="13" customHeight="1" thickBot="1">
      <c r="B5" s="1698" t="s">
        <v>793</v>
      </c>
      <c r="C5" s="2504" t="s">
        <v>735</v>
      </c>
      <c r="D5" s="2505"/>
      <c r="E5" s="2505"/>
      <c r="F5" s="2505"/>
      <c r="G5" s="1647"/>
      <c r="H5" s="1743" t="s">
        <v>761</v>
      </c>
      <c r="I5" s="162"/>
      <c r="J5" s="162"/>
    </row>
    <row r="6" spans="2:10" ht="13" customHeight="1" thickBot="1">
      <c r="B6" s="1699" t="s">
        <v>1</v>
      </c>
      <c r="C6" s="1208" t="s">
        <v>599</v>
      </c>
      <c r="D6" s="1208" t="s">
        <v>788</v>
      </c>
      <c r="E6" s="1208" t="s">
        <v>789</v>
      </c>
      <c r="F6" s="1208" t="s">
        <v>790</v>
      </c>
      <c r="G6" s="1208" t="s">
        <v>1388</v>
      </c>
      <c r="H6" s="1743" t="s">
        <v>1530</v>
      </c>
    </row>
    <row r="7" spans="2:10" ht="13" customHeight="1">
      <c r="B7" s="1700" t="s">
        <v>627</v>
      </c>
      <c r="C7" s="1697">
        <f>+'Flujo Redco Chile'!O10</f>
        <v>487680.18776824034</v>
      </c>
      <c r="D7" s="1697">
        <f>+'Flujo Redco Perú'!O11</f>
        <v>132119</v>
      </c>
      <c r="E7" s="1697">
        <f>+'Flujo Redco Brasil'!O12</f>
        <v>182679</v>
      </c>
      <c r="F7" s="1697">
        <f>+'Flujo Redco USA'!O11</f>
        <v>150453</v>
      </c>
      <c r="G7" s="1697">
        <f>+'Flujo Redco BVI'!O11</f>
        <v>67160</v>
      </c>
      <c r="H7" s="1701">
        <f>+SUM(C7:G7)</f>
        <v>1020091.1877682403</v>
      </c>
      <c r="J7" s="969"/>
    </row>
    <row r="8" spans="2:10" ht="13" customHeight="1" thickBot="1">
      <c r="B8" s="1702" t="s">
        <v>626</v>
      </c>
      <c r="C8" s="1697">
        <f>+'Flujo Redco Chile'!O11</f>
        <v>3104446.7381974249</v>
      </c>
      <c r="D8" s="1694">
        <f>+'Flujo Redco Perú'!O12</f>
        <v>2285234</v>
      </c>
      <c r="E8" s="1694">
        <f>+'Flujo Redco Brasil'!O13</f>
        <v>1414413.21</v>
      </c>
      <c r="F8" s="1694">
        <f>+'Flujo Redco USA'!O12</f>
        <v>1054862.21</v>
      </c>
      <c r="G8" s="1694">
        <f>+'Flujo Redco BVI'!O12</f>
        <v>271569</v>
      </c>
      <c r="H8" s="1703">
        <f>SUM(C8:G8)</f>
        <v>8130525.1581974253</v>
      </c>
      <c r="I8" s="1209"/>
      <c r="J8" s="140"/>
    </row>
    <row r="9" spans="2:10" ht="13" customHeight="1" thickBot="1">
      <c r="B9" s="1695" t="s">
        <v>759</v>
      </c>
      <c r="C9" s="1668">
        <f t="shared" ref="C9:H9" si="0">SUM(C7:C8)</f>
        <v>3592126.9259656654</v>
      </c>
      <c r="D9" s="1668">
        <f t="shared" si="0"/>
        <v>2417353</v>
      </c>
      <c r="E9" s="1668">
        <f t="shared" si="0"/>
        <v>1597092.21</v>
      </c>
      <c r="F9" s="1668">
        <f t="shared" si="0"/>
        <v>1205315.21</v>
      </c>
      <c r="G9" s="1668">
        <f t="shared" si="0"/>
        <v>338729</v>
      </c>
      <c r="H9" s="1696">
        <f t="shared" si="0"/>
        <v>9150616.3459656648</v>
      </c>
      <c r="I9" s="186"/>
      <c r="J9" s="140"/>
    </row>
    <row r="10" spans="2:10" ht="13" customHeight="1" thickBot="1">
      <c r="B10" s="1036"/>
      <c r="C10" s="987"/>
      <c r="D10" s="1005"/>
      <c r="E10" s="1005"/>
      <c r="F10" s="1005"/>
      <c r="G10" s="1005"/>
      <c r="H10" s="162"/>
      <c r="I10" s="186"/>
      <c r="J10" s="140"/>
    </row>
    <row r="11" spans="2:10" ht="13" customHeight="1" thickBot="1">
      <c r="B11" s="1050" t="s">
        <v>600</v>
      </c>
      <c r="C11" s="1005"/>
      <c r="D11" s="1005"/>
      <c r="E11" s="1005"/>
      <c r="F11" s="1005"/>
      <c r="G11" s="1005"/>
      <c r="H11" s="1005"/>
      <c r="I11" s="186"/>
      <c r="J11" s="969"/>
    </row>
    <row r="12" spans="2:10" ht="13" customHeight="1">
      <c r="B12" s="1008" t="s">
        <v>7</v>
      </c>
      <c r="C12" s="1020">
        <f>+'Flujo Redco Chile'!O15</f>
        <v>3082559.7789699575</v>
      </c>
      <c r="D12" s="1020">
        <f>+'Flujo Redco Perú'!O16</f>
        <v>983242</v>
      </c>
      <c r="E12" s="1648">
        <f>+'Flujo Redco Brasil'!O17</f>
        <v>133388</v>
      </c>
      <c r="F12" s="1648">
        <f>+'Flujo Redco USA'!O16</f>
        <v>0</v>
      </c>
      <c r="G12" s="1648">
        <f>+'Flujo Redco BVI'!O16</f>
        <v>0</v>
      </c>
      <c r="H12" s="1009">
        <f>SUM(C12:G12)</f>
        <v>4199189.7789699575</v>
      </c>
      <c r="J12" s="969"/>
    </row>
    <row r="13" spans="2:10" ht="13" customHeight="1">
      <c r="B13" s="1010" t="s">
        <v>8</v>
      </c>
      <c r="C13" s="2213">
        <f>+'Flujo Redco Chile'!O16</f>
        <v>731847.19206008571</v>
      </c>
      <c r="D13" s="1210">
        <f>+'Flujo Redco Perú'!O17</f>
        <v>361181.94</v>
      </c>
      <c r="E13" s="1655">
        <f>+'Flujo Redco Brasil'!O18</f>
        <v>159204</v>
      </c>
      <c r="F13" s="1655">
        <f>+'Flujo Redco USA'!O17</f>
        <v>420945</v>
      </c>
      <c r="G13" s="1669">
        <f>+'Flujo Redco BVI'!O17</f>
        <v>77626.800000000017</v>
      </c>
      <c r="H13" s="1011">
        <f>SUM(C13:G13)</f>
        <v>1750804.9320600857</v>
      </c>
      <c r="J13" s="969"/>
    </row>
    <row r="14" spans="2:10" ht="13" customHeight="1" thickBot="1">
      <c r="B14" s="1010" t="s">
        <v>9</v>
      </c>
      <c r="C14" s="2213">
        <f>+'Flujo Redco Chile'!O17</f>
        <v>520272.60300429189</v>
      </c>
      <c r="D14" s="1210">
        <f>+'Flujo Redco Perú'!O18</f>
        <v>53547.85</v>
      </c>
      <c r="E14" s="1656">
        <f>+'Flujo Redco Brasil'!O19</f>
        <v>78515.399999999994</v>
      </c>
      <c r="F14" s="1656">
        <f>+'Flujo Redco USA'!O18</f>
        <v>5320</v>
      </c>
      <c r="G14" s="1670">
        <f>+'Flujo Redco BVI'!O18</f>
        <v>0</v>
      </c>
      <c r="H14" s="1013">
        <f>SUM(C14:G14)</f>
        <v>657655.85300429189</v>
      </c>
      <c r="J14" s="969"/>
    </row>
    <row r="15" spans="2:10" ht="13" customHeight="1" thickBot="1">
      <c r="B15" s="1001" t="s">
        <v>11</v>
      </c>
      <c r="C15" s="1947">
        <f t="shared" ref="C15:H15" si="1">SUM(C12:C14)</f>
        <v>4334679.5740343351</v>
      </c>
      <c r="D15" s="1002">
        <f t="shared" si="1"/>
        <v>1397971.79</v>
      </c>
      <c r="E15" s="1002">
        <f t="shared" si="1"/>
        <v>371107.4</v>
      </c>
      <c r="F15" s="1002">
        <f t="shared" si="1"/>
        <v>426265</v>
      </c>
      <c r="G15" s="1002">
        <f t="shared" si="1"/>
        <v>77626.800000000017</v>
      </c>
      <c r="H15" s="1003">
        <f t="shared" si="1"/>
        <v>6607650.5640343353</v>
      </c>
      <c r="I15" s="186"/>
    </row>
    <row r="16" spans="2:10" ht="13" customHeight="1" thickBot="1">
      <c r="B16" s="996"/>
      <c r="C16" s="1016"/>
      <c r="D16" s="1016"/>
      <c r="E16" s="1016"/>
      <c r="F16" s="1016"/>
      <c r="G16" s="1016"/>
      <c r="H16" s="1016"/>
    </row>
    <row r="17" spans="2:10" ht="13" customHeight="1" thickBot="1">
      <c r="B17" s="998" t="s">
        <v>601</v>
      </c>
      <c r="C17" s="1017"/>
      <c r="D17" s="1017"/>
      <c r="E17" s="1017"/>
      <c r="F17" s="1017"/>
      <c r="G17" s="1017"/>
      <c r="H17" s="1017"/>
    </row>
    <row r="18" spans="2:10" ht="13" customHeight="1">
      <c r="B18" s="1008" t="s">
        <v>614</v>
      </c>
      <c r="C18" s="1020">
        <f>+'Flujo Redco Chile'!O21</f>
        <v>363398.76931330469</v>
      </c>
      <c r="D18" s="1648">
        <f>'Flujo Redco Perú'!O24</f>
        <v>0</v>
      </c>
      <c r="E18" s="1648">
        <f>'Flujo Redco Brasil'!O23</f>
        <v>16816</v>
      </c>
      <c r="F18" s="1648">
        <f>'Flujo Redco USA'!O25</f>
        <v>0</v>
      </c>
      <c r="G18" s="1648">
        <f>'Flujo Redco BVI'!O25</f>
        <v>0</v>
      </c>
      <c r="H18" s="1020">
        <f>SUM(C18:G18)</f>
        <v>380214.76931330469</v>
      </c>
      <c r="I18" s="186"/>
    </row>
    <row r="19" spans="2:10" ht="13" customHeight="1" thickBot="1">
      <c r="B19" s="1212" t="s">
        <v>13</v>
      </c>
      <c r="C19" s="2214">
        <f>+'Flujo Redco Chile'!O22</f>
        <v>279135.48068669526</v>
      </c>
      <c r="D19" s="1211">
        <f>'Flujo Redco Perú'!O25</f>
        <v>181782</v>
      </c>
      <c r="E19" s="1211">
        <f>'Flujo Redco Brasil'!O24</f>
        <v>60943</v>
      </c>
      <c r="F19" s="1656">
        <f>'Flujo Redco USA'!O26</f>
        <v>16098</v>
      </c>
      <c r="G19" s="1670">
        <f>'Flujo Redco BVI'!O26</f>
        <v>0</v>
      </c>
      <c r="H19" s="1013">
        <f>SUM(C19:G19)</f>
        <v>537958.48068669531</v>
      </c>
    </row>
    <row r="20" spans="2:10" ht="13" customHeight="1" thickBot="1">
      <c r="B20" s="1001" t="s">
        <v>613</v>
      </c>
      <c r="C20" s="1002">
        <f t="shared" ref="C20:H20" si="2">SUM(C18:C19)</f>
        <v>642534.25</v>
      </c>
      <c r="D20" s="1002">
        <f t="shared" si="2"/>
        <v>181782</v>
      </c>
      <c r="E20" s="1002">
        <f t="shared" si="2"/>
        <v>77759</v>
      </c>
      <c r="F20" s="1002">
        <f t="shared" si="2"/>
        <v>16098</v>
      </c>
      <c r="G20" s="1002">
        <f t="shared" si="2"/>
        <v>0</v>
      </c>
      <c r="H20" s="1015">
        <f t="shared" si="2"/>
        <v>918173.25</v>
      </c>
      <c r="I20" s="186"/>
      <c r="J20" s="1224"/>
    </row>
    <row r="21" spans="2:10" ht="13" customHeight="1" thickBot="1">
      <c r="B21" s="996"/>
      <c r="C21" s="1017"/>
      <c r="D21" s="1017"/>
      <c r="E21" s="1017"/>
      <c r="F21" s="1017"/>
      <c r="G21" s="1017"/>
      <c r="H21" s="1017"/>
    </row>
    <row r="22" spans="2:10" ht="13" customHeight="1" thickBot="1">
      <c r="B22" s="1040" t="s">
        <v>1030</v>
      </c>
      <c r="C22" s="1024">
        <f>+'Flujo Redco Chile'!O25</f>
        <v>22053.684549356221</v>
      </c>
      <c r="D22" s="1024">
        <f>+'Flujo Redco Perú'!O28</f>
        <v>152109</v>
      </c>
      <c r="E22" s="1024">
        <f>+'Flujo Redco Brasil'!O27</f>
        <v>2851</v>
      </c>
      <c r="F22" s="1024">
        <f>+'Flujo Redco USA'!O29</f>
        <v>0</v>
      </c>
      <c r="G22" s="1671">
        <f>+'Flujo Redco BVI'!O29</f>
        <v>16000</v>
      </c>
      <c r="H22" s="1055">
        <f>SUM(C22:G22)</f>
        <v>193013.68454935623</v>
      </c>
    </row>
    <row r="23" spans="2:10" ht="13" customHeight="1" thickBot="1">
      <c r="B23" s="996"/>
      <c r="C23" s="1017"/>
      <c r="D23" s="1017"/>
      <c r="E23" s="1017"/>
      <c r="F23" s="1017"/>
      <c r="G23" s="1017"/>
      <c r="H23" s="1017"/>
    </row>
    <row r="24" spans="2:10" ht="13" customHeight="1" thickBot="1">
      <c r="B24" s="1213" t="s">
        <v>1262</v>
      </c>
      <c r="C24" s="1835">
        <f>SUM(C9-C15-C20-C22)</f>
        <v>-1407140.5826180258</v>
      </c>
      <c r="D24" s="1214">
        <f t="shared" ref="D24:H24" si="3">SUM(D9-D15-D20-D22)</f>
        <v>685490.21</v>
      </c>
      <c r="E24" s="1214">
        <f t="shared" si="3"/>
        <v>1145374.81</v>
      </c>
      <c r="F24" s="1214">
        <f t="shared" si="3"/>
        <v>762952.21</v>
      </c>
      <c r="G24" s="1214">
        <f t="shared" si="3"/>
        <v>245102.19999999998</v>
      </c>
      <c r="H24" s="1214">
        <f t="shared" si="3"/>
        <v>1431778.8473819732</v>
      </c>
      <c r="I24" s="1262"/>
    </row>
    <row r="25" spans="2:10" ht="13" customHeight="1" thickBot="1">
      <c r="B25" s="996"/>
      <c r="C25" s="1026"/>
      <c r="D25" s="1026"/>
      <c r="E25" s="1026"/>
      <c r="F25" s="1026"/>
      <c r="G25" s="1026"/>
      <c r="H25" s="1026"/>
    </row>
    <row r="26" spans="2:10" ht="13" customHeight="1" thickBot="1">
      <c r="B26" s="998" t="s">
        <v>5</v>
      </c>
      <c r="C26" s="1268" t="s">
        <v>599</v>
      </c>
      <c r="D26" s="1268" t="s">
        <v>788</v>
      </c>
      <c r="E26" s="1269" t="s">
        <v>789</v>
      </c>
      <c r="F26" s="1268" t="s">
        <v>790</v>
      </c>
      <c r="G26" s="1269" t="s">
        <v>1388</v>
      </c>
      <c r="H26" s="1268" t="s">
        <v>761</v>
      </c>
    </row>
    <row r="27" spans="2:10" ht="13" customHeight="1">
      <c r="B27" s="1677" t="s">
        <v>623</v>
      </c>
      <c r="C27" s="1779">
        <f>+'Flujo Redco Chile'!O31</f>
        <v>713037.06759656651</v>
      </c>
      <c r="D27" s="1780">
        <f>+'Flujo Redco Perú'!O35</f>
        <v>544185</v>
      </c>
      <c r="E27" s="1779">
        <v>0</v>
      </c>
      <c r="F27" s="1779">
        <v>0</v>
      </c>
      <c r="G27" s="1779">
        <v>0</v>
      </c>
      <c r="H27" s="1779">
        <f>SUM(C27:G27)</f>
        <v>1257222.0675965664</v>
      </c>
      <c r="I27" s="186"/>
    </row>
    <row r="28" spans="2:10" ht="13" customHeight="1">
      <c r="B28" s="1680" t="s">
        <v>791</v>
      </c>
      <c r="C28" s="1781">
        <f>+'Flujo Redco Chile'!O32+'Flujo Redco Chile'!O35+'Flujo Redco Chile'!O36+'Flujo Redco Chile'!O37+'Flujo Redco Chile'!O34</f>
        <v>1947186.9120332617</v>
      </c>
      <c r="D28" s="1782">
        <f>+'Flujo Redco Perú'!O36</f>
        <v>51893</v>
      </c>
      <c r="E28" s="1782">
        <v>0</v>
      </c>
      <c r="F28" s="1781">
        <v>0</v>
      </c>
      <c r="G28" s="1781">
        <v>0</v>
      </c>
      <c r="H28" s="1782">
        <f>SUM(C28:G28)</f>
        <v>1999079.9120332617</v>
      </c>
      <c r="I28" s="186"/>
    </row>
    <row r="29" spans="2:10" ht="13" customHeight="1">
      <c r="B29" s="1680" t="s">
        <v>758</v>
      </c>
      <c r="C29" s="1781">
        <f>+'Flujo Redco Chile'!O38</f>
        <v>21714.461373390557</v>
      </c>
      <c r="D29" s="1782"/>
      <c r="E29" s="1782">
        <v>0</v>
      </c>
      <c r="F29" s="1781">
        <v>0</v>
      </c>
      <c r="G29" s="1781">
        <v>0</v>
      </c>
      <c r="H29" s="1782">
        <f>SUM(C29:G29)</f>
        <v>21714.461373390557</v>
      </c>
      <c r="I29" s="186"/>
    </row>
    <row r="30" spans="2:10" ht="13" customHeight="1" thickBot="1">
      <c r="B30" s="1682" t="s">
        <v>1382</v>
      </c>
      <c r="C30" s="1783">
        <f>+'Flujo Redco Chile'!O39+'Flujo Redco Chile'!O40</f>
        <v>189812.86695278971</v>
      </c>
      <c r="D30" s="1784"/>
      <c r="E30" s="1784">
        <f>+'Flujo Redco Brasil'!O34</f>
        <v>11702</v>
      </c>
      <c r="F30" s="1783">
        <f>+'Flujo Redco USA'!O38</f>
        <v>0</v>
      </c>
      <c r="G30" s="1785">
        <f>+'Flujo Redco BVI'!O38</f>
        <v>1154049</v>
      </c>
      <c r="H30" s="1784">
        <f>SUM(C30:G30)</f>
        <v>1355563.8669527897</v>
      </c>
      <c r="I30" s="186"/>
    </row>
    <row r="31" spans="2:10" ht="13" customHeight="1" thickBot="1">
      <c r="B31" s="1031" t="s">
        <v>5</v>
      </c>
      <c r="C31" s="1032">
        <f>SUM(C27:C30)</f>
        <v>2871751.3079560082</v>
      </c>
      <c r="D31" s="1032">
        <f t="shared" ref="D31:H31" si="4">SUM(D27:D30)</f>
        <v>596078</v>
      </c>
      <c r="E31" s="1032">
        <f t="shared" si="4"/>
        <v>11702</v>
      </c>
      <c r="F31" s="1032">
        <f t="shared" si="4"/>
        <v>0</v>
      </c>
      <c r="G31" s="1032">
        <f t="shared" si="4"/>
        <v>1154049</v>
      </c>
      <c r="H31" s="1032">
        <f t="shared" si="4"/>
        <v>4633580.3079560082</v>
      </c>
      <c r="I31" s="108"/>
    </row>
    <row r="32" spans="2:10" ht="13" customHeight="1" thickBot="1">
      <c r="B32" s="996"/>
      <c r="C32" s="1026"/>
      <c r="D32" s="1026"/>
      <c r="E32" s="1026"/>
      <c r="F32" s="1026"/>
      <c r="G32" s="1026"/>
      <c r="H32" s="1026"/>
    </row>
    <row r="33" spans="2:10" ht="13" customHeight="1" thickBot="1">
      <c r="B33" s="1001" t="s">
        <v>616</v>
      </c>
      <c r="C33" s="1026"/>
      <c r="D33" s="1026"/>
      <c r="E33" s="1026"/>
      <c r="F33" s="1026"/>
      <c r="G33" s="1026"/>
      <c r="H33" s="1026"/>
      <c r="J33" s="1223"/>
    </row>
    <row r="34" spans="2:10" ht="13" customHeight="1">
      <c r="B34" s="1008" t="s">
        <v>15</v>
      </c>
      <c r="C34" s="1020">
        <f>+'Flujo Redco Chile'!O44</f>
        <v>489115.09763948503</v>
      </c>
      <c r="D34" s="1648">
        <f>+'Flujo Redco Perú'!O44</f>
        <v>409309</v>
      </c>
      <c r="E34" s="1020">
        <f>+'Flujo Redco Brasil'!O37</f>
        <v>375161</v>
      </c>
      <c r="F34" s="1020">
        <f>+'Flujo Redco USA'!O41</f>
        <v>6408</v>
      </c>
      <c r="G34" s="1786">
        <f>+'Flujo Redco BVI'!O41</f>
        <v>0</v>
      </c>
      <c r="H34" s="1787">
        <f>SUM(C34:G34)</f>
        <v>1279993.097639485</v>
      </c>
      <c r="J34" s="186"/>
    </row>
    <row r="35" spans="2:10" ht="13" customHeight="1" thickBot="1">
      <c r="B35" s="1690" t="s">
        <v>792</v>
      </c>
      <c r="C35" s="1211">
        <f>+'Flujo Redco Chile'!O45+'Flujo Redco Chile'!O46+'Flujo Redco Chile'!O47</f>
        <v>373754.77896995709</v>
      </c>
      <c r="D35" s="1211">
        <f>+SUM('Flujo Redco Perú'!O45:O47)</f>
        <v>0</v>
      </c>
      <c r="E35" s="1211"/>
      <c r="F35" s="1211"/>
      <c r="G35" s="1788"/>
      <c r="H35" s="1789">
        <f>SUM(C35:G35)</f>
        <v>373754.77896995709</v>
      </c>
      <c r="I35" s="1270"/>
      <c r="J35" s="186"/>
    </row>
    <row r="36" spans="2:10" ht="13" hidden="1" customHeight="1" thickBot="1">
      <c r="B36" s="1033" t="s">
        <v>883</v>
      </c>
      <c r="C36" s="1215">
        <f>SUM('Flujo Redco Chile'!F48)</f>
        <v>0</v>
      </c>
      <c r="D36" s="1215"/>
      <c r="E36" s="1215"/>
      <c r="F36" s="1215"/>
      <c r="G36" s="1672"/>
      <c r="H36" s="1516">
        <f>SUM(C36:F36)</f>
        <v>0</v>
      </c>
    </row>
    <row r="37" spans="2:10" ht="13" customHeight="1" thickBot="1">
      <c r="B37" s="1216" t="s">
        <v>631</v>
      </c>
      <c r="C37" s="1024">
        <f>SUM(C34:C36)</f>
        <v>862869.87660944206</v>
      </c>
      <c r="D37" s="1024">
        <f>SUM(D34:D35)</f>
        <v>409309</v>
      </c>
      <c r="E37" s="1024">
        <f>SUM(E34:E35)</f>
        <v>375161</v>
      </c>
      <c r="F37" s="1657">
        <f>SUM(F34:F35)</f>
        <v>6408</v>
      </c>
      <c r="G37" s="1657">
        <f>SUM(G34:G35)</f>
        <v>0</v>
      </c>
      <c r="H37" s="1649">
        <f>SUM(H34:H36)</f>
        <v>1653747.8766094421</v>
      </c>
      <c r="I37" s="109"/>
    </row>
    <row r="38" spans="2:10" ht="13" customHeight="1" thickBot="1">
      <c r="B38" s="985"/>
      <c r="C38" s="987"/>
      <c r="D38" s="987"/>
      <c r="E38" s="987"/>
      <c r="F38" s="985"/>
      <c r="G38" s="985"/>
      <c r="H38" s="985"/>
      <c r="I38" s="109"/>
    </row>
    <row r="39" spans="2:10" ht="13" customHeight="1" thickBot="1">
      <c r="B39" s="1216" t="s">
        <v>617</v>
      </c>
      <c r="C39" s="1024">
        <f>+'Flujo Redco Chile'!O58</f>
        <v>662400.83905579406</v>
      </c>
      <c r="D39" s="1024">
        <f>+'Flujo Redco Perú'!O54</f>
        <v>928209</v>
      </c>
      <c r="E39" s="1024">
        <f>+'Flujo Redco Brasil'!O43</f>
        <v>411923</v>
      </c>
      <c r="F39" s="1024">
        <f>+'Flujo Redco USA'!O47</f>
        <v>742126</v>
      </c>
      <c r="G39" s="1024">
        <f>+'Flujo Redco BVI'!O47</f>
        <v>0</v>
      </c>
      <c r="H39" s="1207">
        <f>SUM(C39:G39)</f>
        <v>2744658.8390557943</v>
      </c>
      <c r="I39" s="109"/>
    </row>
    <row r="40" spans="2:10" ht="13" customHeight="1" thickBot="1">
      <c r="B40" s="1038"/>
      <c r="C40" s="1039"/>
      <c r="D40" s="1039"/>
      <c r="E40" s="1039"/>
      <c r="F40" s="1039"/>
      <c r="G40" s="1673"/>
      <c r="H40" s="1039"/>
      <c r="I40" s="1267"/>
    </row>
    <row r="41" spans="2:10" ht="13" customHeight="1" thickBot="1">
      <c r="B41" s="1258" t="s">
        <v>612</v>
      </c>
      <c r="C41" s="1259">
        <f t="shared" ref="C41:H41" si="5">SUM(C31-C37-C39)</f>
        <v>1346480.5922907721</v>
      </c>
      <c r="D41" s="1259">
        <f t="shared" si="5"/>
        <v>-741440</v>
      </c>
      <c r="E41" s="1259">
        <f t="shared" si="5"/>
        <v>-775382</v>
      </c>
      <c r="F41" s="1259">
        <f t="shared" si="5"/>
        <v>-748534</v>
      </c>
      <c r="G41" s="1259">
        <f t="shared" si="5"/>
        <v>1154049</v>
      </c>
      <c r="H41" s="1675">
        <f t="shared" si="5"/>
        <v>235173.59229077213</v>
      </c>
      <c r="I41" s="108"/>
    </row>
    <row r="42" spans="2:10" ht="13" customHeight="1" thickBot="1">
      <c r="B42" s="1038"/>
      <c r="C42" s="1039"/>
      <c r="D42" s="1039"/>
      <c r="E42" s="1039"/>
      <c r="F42" s="1039"/>
      <c r="G42" s="1673"/>
      <c r="H42" s="1039"/>
    </row>
    <row r="43" spans="2:10" ht="13" customHeight="1" thickBot="1">
      <c r="B43" s="994" t="s">
        <v>1393</v>
      </c>
      <c r="C43" s="1833">
        <f>SUM(C24+C41)</f>
        <v>-60659.990327253705</v>
      </c>
      <c r="D43" s="1037">
        <f t="shared" ref="D43:H43" si="6">SUM(D24+D41)</f>
        <v>-55949.790000000037</v>
      </c>
      <c r="E43" s="1037">
        <f t="shared" si="6"/>
        <v>369992.81000000006</v>
      </c>
      <c r="F43" s="1037">
        <f t="shared" si="6"/>
        <v>14418.209999999963</v>
      </c>
      <c r="G43" s="1037">
        <f t="shared" si="6"/>
        <v>1399151.2</v>
      </c>
      <c r="H43" s="1037">
        <f t="shared" si="6"/>
        <v>1666952.4396727453</v>
      </c>
    </row>
    <row r="44" spans="2:10" ht="13" customHeight="1" thickBot="1">
      <c r="B44" s="994" t="s">
        <v>1033</v>
      </c>
      <c r="C44" s="1037">
        <f>+'Flujo Redco Chile'!C8</f>
        <v>52257.137339055793</v>
      </c>
      <c r="D44" s="1218">
        <f>+'Flujo Redco Perú'!C9</f>
        <v>136767.69351264619</v>
      </c>
      <c r="E44" s="1037">
        <f>+'Flujo Redco Brasil'!C9</f>
        <v>9622.33</v>
      </c>
      <c r="F44" s="1037">
        <f>+'Flujo Redco USA'!C9</f>
        <v>55345</v>
      </c>
      <c r="G44" s="1674">
        <f>+'Flujo Redco BVI'!C9</f>
        <v>0</v>
      </c>
      <c r="H44" s="1037">
        <f>+C44+D44+E44+F44</f>
        <v>253992.16085170198</v>
      </c>
    </row>
    <row r="45" spans="2:10" ht="13" customHeight="1" thickBot="1">
      <c r="B45" s="1216" t="s">
        <v>1394</v>
      </c>
      <c r="C45" s="1834">
        <f t="shared" ref="C45:H45" si="7">SUM(C43:C44)</f>
        <v>-8402.8529881979121</v>
      </c>
      <c r="D45" s="1024">
        <f t="shared" si="7"/>
        <v>80817.903512646153</v>
      </c>
      <c r="E45" s="1024">
        <f t="shared" si="7"/>
        <v>379615.14000000007</v>
      </c>
      <c r="F45" s="1024">
        <f t="shared" si="7"/>
        <v>69763.209999999963</v>
      </c>
      <c r="G45" s="1024">
        <f t="shared" si="7"/>
        <v>1399151.2</v>
      </c>
      <c r="H45" s="1217">
        <f t="shared" si="7"/>
        <v>1920944.6005244474</v>
      </c>
    </row>
    <row r="46" spans="2:10" ht="13" customHeight="1">
      <c r="B46" s="985"/>
      <c r="C46" s="2231">
        <f>+'Flujo Redco Chile'!O62</f>
        <v>23284.056883047357</v>
      </c>
      <c r="D46" s="991">
        <f>+'Flujo Redco Perú'!O58</f>
        <v>80817.903512646153</v>
      </c>
      <c r="E46" s="991">
        <f>+'Flujo Redco Brasil'!O49</f>
        <v>389088.14000000007</v>
      </c>
      <c r="F46" s="991">
        <f>+'Flujo Redco USA'!O51</f>
        <v>69763.209999999963</v>
      </c>
      <c r="G46" s="991">
        <f>+'Flujo Redco BVI'!O51</f>
        <v>1399151.2</v>
      </c>
      <c r="H46" s="991">
        <f>+'Tabla datos unidades'!P66</f>
        <v>1962104.5103956929</v>
      </c>
    </row>
    <row r="47" spans="2:10" ht="13" customHeight="1">
      <c r="B47" s="985"/>
      <c r="C47" s="108"/>
      <c r="D47" s="108"/>
      <c r="E47" s="108"/>
      <c r="H47" s="107"/>
    </row>
    <row r="48" spans="2:10" ht="13" customHeight="1">
      <c r="C48" s="108"/>
      <c r="D48" s="108"/>
      <c r="E48" s="108"/>
      <c r="G48" s="108"/>
      <c r="H48" s="107"/>
      <c r="J48" s="977"/>
    </row>
    <row r="49" spans="2:10" ht="13" customHeight="1">
      <c r="C49" s="162"/>
      <c r="D49" s="162"/>
      <c r="E49" s="162"/>
      <c r="F49" s="162"/>
      <c r="G49" s="162"/>
      <c r="H49" s="108"/>
    </row>
    <row r="50" spans="2:10" ht="13" customHeight="1">
      <c r="B50" s="105"/>
      <c r="C50" s="140"/>
      <c r="D50" s="140"/>
      <c r="E50" s="140"/>
      <c r="F50" s="140"/>
      <c r="G50" s="140"/>
      <c r="H50" s="140"/>
    </row>
    <row r="51" spans="2:10" ht="13" customHeight="1">
      <c r="C51" s="108"/>
      <c r="D51" s="108"/>
      <c r="E51" s="108"/>
      <c r="F51" s="108"/>
      <c r="G51" s="108"/>
      <c r="H51" s="162"/>
    </row>
    <row r="52" spans="2:10" ht="13" customHeight="1">
      <c r="C52" s="140"/>
      <c r="D52" s="140"/>
      <c r="E52" s="140"/>
      <c r="F52" s="108"/>
      <c r="G52" s="108"/>
      <c r="H52" s="108"/>
    </row>
    <row r="53" spans="2:10" ht="13" customHeight="1">
      <c r="C53" s="108"/>
    </row>
    <row r="54" spans="2:10" ht="13" customHeight="1">
      <c r="J54" s="140"/>
    </row>
    <row r="56" spans="2:10" ht="13" customHeight="1">
      <c r="J56" s="162"/>
    </row>
  </sheetData>
  <mergeCells count="2">
    <mergeCell ref="B3:H3"/>
    <mergeCell ref="C5:F5"/>
  </mergeCells>
  <pageMargins left="0.7" right="0.7" top="0.75" bottom="0.75" header="0.3" footer="0.3"/>
  <pageSetup scale="93" orientation="portrait" horizontalDpi="4294967295" verticalDpi="4294967295" r:id="rId1"/>
  <colBreaks count="1" manualBreakCount="1">
    <brk id="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6A9D-530B-4A5F-9952-1BA00ABEF43E}">
  <sheetPr codeName="Hoja9">
    <tabColor rgb="FFFFFF00"/>
  </sheetPr>
  <dimension ref="A1:AQ69"/>
  <sheetViews>
    <sheetView topLeftCell="A34" zoomScaleNormal="100" workbookViewId="0">
      <selection activeCell="C46" sqref="C46:K46"/>
    </sheetView>
  </sheetViews>
  <sheetFormatPr baseColWidth="10" defaultColWidth="11.5" defaultRowHeight="13" customHeight="1"/>
  <cols>
    <col min="1" max="1" width="11.5" style="104"/>
    <col min="2" max="2" width="32.5" style="104" customWidth="1"/>
    <col min="3" max="3" width="12.1640625" style="104" customWidth="1"/>
    <col min="4" max="4" width="14" style="104" customWidth="1"/>
    <col min="5" max="5" width="11.5" style="104" customWidth="1"/>
    <col min="6" max="8" width="10.1640625" style="104" customWidth="1"/>
    <col min="9" max="9" width="12.1640625" style="104" customWidth="1"/>
    <col min="10" max="11" width="12.83203125" style="966" customWidth="1"/>
    <col min="12" max="12" width="12" style="104" bestFit="1" customWidth="1"/>
    <col min="13" max="13" width="18.1640625" style="104" customWidth="1"/>
    <col min="14" max="14" width="17.5" style="104" bestFit="1" customWidth="1"/>
    <col min="15" max="24" width="11.5" style="104"/>
    <col min="25" max="25" width="17.5" style="104" bestFit="1" customWidth="1"/>
    <col min="26" max="35" width="11.5" style="104"/>
    <col min="36" max="36" width="17.5" style="104" bestFit="1" customWidth="1"/>
    <col min="37" max="16384" width="11.5" style="104"/>
  </cols>
  <sheetData>
    <row r="1" spans="1:43" ht="13" customHeight="1">
      <c r="J1" s="104"/>
      <c r="K1" s="104"/>
      <c r="L1" s="966"/>
    </row>
    <row r="2" spans="1:43" ht="13" customHeight="1">
      <c r="J2" s="104"/>
      <c r="K2" s="104"/>
      <c r="L2" s="966"/>
    </row>
    <row r="3" spans="1:43" ht="13" customHeight="1">
      <c r="B3" s="2503" t="s">
        <v>795</v>
      </c>
      <c r="C3" s="2503"/>
      <c r="D3" s="2503"/>
      <c r="E3" s="2503"/>
      <c r="F3" s="2503"/>
      <c r="G3" s="984"/>
      <c r="H3" s="984"/>
      <c r="I3" s="984"/>
      <c r="J3" s="984"/>
      <c r="K3" s="984"/>
      <c r="L3" s="985"/>
    </row>
    <row r="4" spans="1:43" ht="13" customHeight="1">
      <c r="B4" s="984">
        <v>2025</v>
      </c>
      <c r="C4" s="987"/>
      <c r="D4" s="987"/>
      <c r="E4" s="987"/>
      <c r="F4" s="987"/>
      <c r="G4" s="987"/>
      <c r="H4" s="987"/>
      <c r="I4" s="987"/>
      <c r="J4" s="987"/>
      <c r="K4" s="987"/>
      <c r="L4" s="162"/>
    </row>
    <row r="5" spans="1:43" ht="13" customHeight="1" thickBot="1">
      <c r="C5" s="406"/>
      <c r="D5" s="988"/>
      <c r="E5" s="988"/>
      <c r="F5" s="988"/>
      <c r="G5" s="988"/>
      <c r="H5" s="988"/>
      <c r="I5" s="988"/>
      <c r="J5" s="988"/>
      <c r="K5" s="988"/>
      <c r="L5" s="989"/>
    </row>
    <row r="6" spans="1:43" ht="13" customHeight="1" thickBot="1">
      <c r="B6" s="990" t="s">
        <v>619</v>
      </c>
      <c r="C6" s="2219" t="s">
        <v>735</v>
      </c>
      <c r="D6" s="2220"/>
      <c r="E6" s="2220"/>
      <c r="F6" s="2220"/>
      <c r="G6" s="2220"/>
      <c r="H6" s="2220"/>
      <c r="I6" s="2220"/>
      <c r="J6" s="2220"/>
      <c r="K6" s="2220"/>
      <c r="L6" s="2221"/>
      <c r="M6" s="966"/>
      <c r="P6" s="104">
        <v>1000</v>
      </c>
      <c r="AL6" s="104">
        <v>1000</v>
      </c>
    </row>
    <row r="7" spans="1:43" ht="13" customHeight="1" thickBot="1">
      <c r="B7" s="992" t="s">
        <v>1</v>
      </c>
      <c r="C7" s="993">
        <v>45658</v>
      </c>
      <c r="D7" s="993">
        <v>45689</v>
      </c>
      <c r="E7" s="993">
        <v>45717</v>
      </c>
      <c r="F7" s="993">
        <v>45748</v>
      </c>
      <c r="G7" s="993">
        <v>45778</v>
      </c>
      <c r="H7" s="993">
        <v>45809</v>
      </c>
      <c r="I7" s="993">
        <v>45839</v>
      </c>
      <c r="J7" s="993">
        <v>45870</v>
      </c>
      <c r="K7" s="993">
        <v>45901</v>
      </c>
      <c r="L7" s="993" t="s">
        <v>761</v>
      </c>
      <c r="M7" s="966"/>
      <c r="P7" s="983"/>
      <c r="Q7" s="983"/>
    </row>
    <row r="8" spans="1:43" ht="13" customHeight="1">
      <c r="C8" s="186"/>
      <c r="D8" s="186"/>
      <c r="E8" s="186"/>
      <c r="F8" s="186"/>
      <c r="G8" s="186"/>
      <c r="H8" s="186"/>
      <c r="I8" s="186"/>
      <c r="J8" s="186"/>
      <c r="K8" s="186"/>
      <c r="M8" s="966"/>
      <c r="P8" s="977"/>
      <c r="Q8" s="977"/>
      <c r="R8" s="977"/>
    </row>
    <row r="9" spans="1:43" ht="13" customHeight="1" thickBot="1">
      <c r="B9" s="996"/>
      <c r="C9" s="997"/>
      <c r="D9" s="997"/>
      <c r="E9" s="997"/>
      <c r="F9" s="997"/>
      <c r="G9" s="997"/>
      <c r="H9" s="997"/>
      <c r="I9" s="997"/>
      <c r="J9" s="997"/>
      <c r="K9" s="997"/>
      <c r="L9" s="997"/>
      <c r="M9" s="966"/>
      <c r="O9" s="104" t="s">
        <v>1461</v>
      </c>
      <c r="P9" s="1840">
        <v>45688</v>
      </c>
      <c r="Q9" s="1840">
        <v>45716</v>
      </c>
      <c r="R9" s="1840">
        <v>45747</v>
      </c>
      <c r="S9" s="1840">
        <v>45777</v>
      </c>
      <c r="T9" s="1840">
        <v>45808</v>
      </c>
      <c r="U9" s="1840">
        <v>45838</v>
      </c>
      <c r="V9" s="141" t="s">
        <v>734</v>
      </c>
      <c r="W9" s="104" t="s">
        <v>1460</v>
      </c>
      <c r="Z9" s="104" t="s">
        <v>1461</v>
      </c>
      <c r="AA9" s="1840">
        <v>45688</v>
      </c>
      <c r="AB9" s="1840">
        <v>45716</v>
      </c>
      <c r="AC9" s="1840">
        <v>45747</v>
      </c>
      <c r="AD9" s="1840">
        <v>45777</v>
      </c>
      <c r="AE9" s="1840">
        <v>45808</v>
      </c>
      <c r="AF9" s="1840">
        <v>45838</v>
      </c>
      <c r="AG9" s="141" t="s">
        <v>734</v>
      </c>
      <c r="AH9" s="104" t="s">
        <v>1460</v>
      </c>
      <c r="AK9" s="104" t="s">
        <v>1461</v>
      </c>
      <c r="AL9" s="104" t="s">
        <v>1336</v>
      </c>
      <c r="AM9" s="104" t="s">
        <v>1337</v>
      </c>
      <c r="AN9" s="104" t="s">
        <v>1338</v>
      </c>
      <c r="AO9" s="104" t="s">
        <v>790</v>
      </c>
      <c r="AP9" s="104" t="s">
        <v>734</v>
      </c>
    </row>
    <row r="10" spans="1:43" ht="13" customHeight="1">
      <c r="B10" s="1708" t="s">
        <v>627</v>
      </c>
      <c r="C10" s="1704">
        <f>+'Flujo Redco Chile'!C10+'Flujo Redco Perú'!C11+'Flujo Redco Brasil'!C12+'Flujo Redco USA'!C11+'Flujo Redco BVI'!C11</f>
        <v>658814.12446351931</v>
      </c>
      <c r="D10" s="1705">
        <f>+'Flujo Redco Chile'!D10+'Flujo Redco Perú'!D11+'Flujo Redco Brasil'!D12+'Flujo Redco USA'!D11+'Flujo Redco BVI'!D11</f>
        <v>273304.06330472103</v>
      </c>
      <c r="E10" s="1705">
        <f>+'Flujo Redco Chile'!E10+'Flujo Redco Perú'!E11+'Flujo Redco Brasil'!E12+'Flujo Redco USA'!E11+'Flujo Redco BVI'!E11</f>
        <v>87972</v>
      </c>
      <c r="F10" s="1705">
        <f>+'Flujo Redco Chile'!F10+'Flujo Redco Perú'!F11+'Flujo Redco Brasil'!F12+'Flujo Redco USA'!F11+'Flujo Redco BVI'!F11</f>
        <v>0</v>
      </c>
      <c r="G10" s="1705">
        <f>+'Flujo Redco Chile'!G10+'Flujo Redco Perú'!G11+'Flujo Redco Brasil'!G12+'Flujo Redco USA'!G11+'Flujo Redco BVI'!G11</f>
        <v>0</v>
      </c>
      <c r="H10" s="1705">
        <f>+'Flujo Redco Chile'!H10+'Flujo Redco Perú'!H11+'Flujo Redco Brasil'!H12+'Flujo Redco USA'!H11+'Flujo Redco BVI'!H11</f>
        <v>0</v>
      </c>
      <c r="I10" s="1705">
        <f>+'Flujo Redco Chile'!I10+'Flujo Redco Perú'!I11+'Flujo Redco Brasil'!I12+'Flujo Redco USA'!I11+'Flujo Redco BVI'!I11</f>
        <v>0</v>
      </c>
      <c r="J10" s="1705">
        <f>+'Flujo Redco Chile'!J10+'Flujo Redco Perú'!J11+'Flujo Redco Brasil'!J12+'Flujo Redco USA'!J11+'Flujo Redco BVI'!J11</f>
        <v>0</v>
      </c>
      <c r="K10" s="1705">
        <f>+'Flujo Redco Chile'!K10+'Flujo Redco Perú'!K11+'Flujo Redco Brasil'!K12+'Flujo Redco USA'!K11+'Flujo Redco BVI'!K11-1</f>
        <v>0</v>
      </c>
      <c r="L10" s="999">
        <f>SUM(C10:K10)</f>
        <v>1020090.1877682403</v>
      </c>
      <c r="M10" s="966"/>
      <c r="O10" s="104" t="s">
        <v>1454</v>
      </c>
      <c r="P10" s="107">
        <f t="shared" ref="P10:U12" si="0">(+C15)/1000</f>
        <v>357.04874678111588</v>
      </c>
      <c r="Q10" s="107">
        <f t="shared" si="0"/>
        <v>288.64785515021464</v>
      </c>
      <c r="R10" s="107">
        <f t="shared" si="0"/>
        <v>295.05654077253223</v>
      </c>
      <c r="S10" s="107">
        <f t="shared" si="0"/>
        <v>303.79496137339055</v>
      </c>
      <c r="T10" s="107">
        <f t="shared" si="0"/>
        <v>317.00841416309015</v>
      </c>
      <c r="U10" s="107">
        <f t="shared" si="0"/>
        <v>332.72499356223176</v>
      </c>
      <c r="V10" s="406">
        <f>+SUM(P10:U10)</f>
        <v>1894.2815118025751</v>
      </c>
      <c r="W10" s="107">
        <f>+AVERAGE(P10:U10)</f>
        <v>315.7135853004292</v>
      </c>
      <c r="X10" s="1262">
        <f>+W10/$W$16</f>
        <v>0.55085149115651577</v>
      </c>
      <c r="Z10" s="104" t="s">
        <v>1454</v>
      </c>
      <c r="AA10" s="107">
        <f>+P10-99</f>
        <v>258.04874678111588</v>
      </c>
      <c r="AB10" s="107">
        <f>+Q10</f>
        <v>288.64785515021464</v>
      </c>
      <c r="AC10" s="107">
        <f>+R10</f>
        <v>295.05654077253223</v>
      </c>
      <c r="AD10" s="107">
        <f>+S10</f>
        <v>303.79496137339055</v>
      </c>
      <c r="AE10" s="107">
        <f>+T10</f>
        <v>317.00841416309015</v>
      </c>
      <c r="AF10" s="107">
        <f>+U10</f>
        <v>332.72499356223176</v>
      </c>
      <c r="AG10" s="406">
        <f>+SUM(AA10:AF10)</f>
        <v>1795.2815118025751</v>
      </c>
      <c r="AH10" s="107">
        <f>+AVERAGE(AA10:AF10)</f>
        <v>299.2135853004292</v>
      </c>
      <c r="AK10" s="104" t="s">
        <v>1454</v>
      </c>
      <c r="AL10" s="107">
        <f>1467.08134549356-99</f>
        <v>1368.0813454935601</v>
      </c>
      <c r="AM10" s="107">
        <v>388.09800000000001</v>
      </c>
      <c r="AN10" s="107">
        <v>43.03</v>
      </c>
      <c r="AO10" s="107">
        <v>0</v>
      </c>
      <c r="AP10" s="107">
        <f>SUM(AL10:AO10)</f>
        <v>1799.20934549356</v>
      </c>
      <c r="AQ10" s="107"/>
    </row>
    <row r="11" spans="1:43" ht="13" customHeight="1" thickBot="1">
      <c r="B11" s="1709" t="s">
        <v>626</v>
      </c>
      <c r="C11" s="1706">
        <f>+'Flujo Redco Chile'!C11+'Flujo Redco Perú'!C12+'Flujo Redco Brasil'!C13+'Flujo Redco USA'!C12+'Flujo Redco BVI'!C12</f>
        <v>58351.609442060086</v>
      </c>
      <c r="D11" s="1707">
        <f>+'Flujo Redco Chile'!D11+'Flujo Redco Perú'!D12+'Flujo Redco Brasil'!D13+'Flujo Redco USA'!D12+'Flujo Redco BVI'!D12</f>
        <v>661290.76579399139</v>
      </c>
      <c r="E11" s="1707">
        <f>+'Flujo Redco Chile'!E11+'Flujo Redco Perú'!E12+'Flujo Redco Brasil'!E13+'Flujo Redco USA'!E12+'Flujo Redco BVI'!E12</f>
        <v>690458.45708154514</v>
      </c>
      <c r="F11" s="1707">
        <f>+'Flujo Redco Chile'!F11+'Flujo Redco Perú'!F12+'Flujo Redco Brasil'!F13+'Flujo Redco USA'!F12+'Flujo Redco BVI'!F12</f>
        <v>613921.18497854075</v>
      </c>
      <c r="G11" s="1707">
        <f>+'Flujo Redco Chile'!G11+'Flujo Redco Perú'!G12+'Flujo Redco Brasil'!G13+'Flujo Redco USA'!G12+'Flujo Redco BVI'!G12</f>
        <v>647405.08476394857</v>
      </c>
      <c r="H11" s="1707">
        <f>+'Flujo Redco Chile'!H11+'Flujo Redco Perú'!H12+'Flujo Redco Brasil'!H13+'Flujo Redco USA'!H12+'Flujo Redco BVI'!H12</f>
        <v>807411.07296137337</v>
      </c>
      <c r="I11" s="1707">
        <f>+'Flujo Redco Chile'!I11+'Flujo Redco Perú'!I12+'Flujo Redco Brasil'!I13+'Flujo Redco USA'!I12+'Flujo Redco BVI'!I12</f>
        <v>774989.74892703863</v>
      </c>
      <c r="J11" s="1707" t="e">
        <f>+'Flujo Redco Chile'!J11+'Flujo Redco Perú'!J12+'Flujo Redco Brasil'!J13+'Flujo Redco USA'!J12+'Flujo Redco BVI'!#REF!</f>
        <v>#REF!</v>
      </c>
      <c r="K11" s="1707">
        <f>+'Flujo Redco Chile'!K11+'Flujo Redco Perú'!K12+'Flujo Redco Brasil'!K13+'Flujo Redco USA'!K12+'Flujo Redco BVI'!J12</f>
        <v>720169.05042918457</v>
      </c>
      <c r="L11" s="1000" t="e">
        <f>SUM(C11:K11)</f>
        <v>#REF!</v>
      </c>
      <c r="M11" s="966"/>
      <c r="O11" s="104" t="s">
        <v>1455</v>
      </c>
      <c r="P11" s="107">
        <f t="shared" si="0"/>
        <v>58.297762875536485</v>
      </c>
      <c r="Q11" s="107">
        <f t="shared" si="0"/>
        <v>115.21986909871244</v>
      </c>
      <c r="R11" s="107">
        <f t="shared" si="0"/>
        <v>127.98132510729614</v>
      </c>
      <c r="S11" s="107">
        <f t="shared" si="0"/>
        <v>97.67312510729613</v>
      </c>
      <c r="T11" s="107">
        <f t="shared" si="0"/>
        <v>122.48897424892702</v>
      </c>
      <c r="U11" s="107">
        <f t="shared" si="0"/>
        <v>167.93194635193132</v>
      </c>
      <c r="V11" s="406">
        <f t="shared" ref="V11:V16" si="1">+SUM(P11:U11)</f>
        <v>689.59300278969954</v>
      </c>
      <c r="W11" s="107">
        <f t="shared" ref="W11:W16" si="2">+AVERAGE(P11:U11)</f>
        <v>114.93216713161659</v>
      </c>
      <c r="X11" s="1262">
        <f t="shared" ref="X11:X15" si="3">+W11/$W$16</f>
        <v>0.2005316166108447</v>
      </c>
      <c r="Z11" s="104" t="s">
        <v>1456</v>
      </c>
      <c r="AA11" s="107">
        <f>+P13+28</f>
        <v>43.122477467811159</v>
      </c>
      <c r="AB11" s="107">
        <f>+Q13</f>
        <v>42.528747854077253</v>
      </c>
      <c r="AC11" s="107">
        <f>+R13</f>
        <v>40.494748927038628</v>
      </c>
      <c r="AD11" s="107">
        <f>+S13</f>
        <v>39.999069742489269</v>
      </c>
      <c r="AE11" s="107">
        <f>+T13</f>
        <v>35.904984978540774</v>
      </c>
      <c r="AF11" s="107">
        <f>+U13</f>
        <v>36.03101824034335</v>
      </c>
      <c r="AG11" s="406">
        <f>+SUM(AA11:AF11)</f>
        <v>238.0810472103004</v>
      </c>
      <c r="AH11" s="107">
        <f>+AVERAGE(AA11:AF11)</f>
        <v>39.680174535050064</v>
      </c>
      <c r="AK11" s="104" t="s">
        <v>1456</v>
      </c>
      <c r="AL11" s="107">
        <f>185.446213519313+28</f>
        <v>213.44621351931301</v>
      </c>
      <c r="AM11" s="107">
        <v>0</v>
      </c>
      <c r="AN11" s="107">
        <v>2.867</v>
      </c>
      <c r="AO11" s="107">
        <v>0</v>
      </c>
      <c r="AP11" s="107">
        <f>SUM(AL11:AO11)</f>
        <v>216.313213519313</v>
      </c>
      <c r="AQ11" s="107"/>
    </row>
    <row r="12" spans="1:43" ht="13" customHeight="1" thickBot="1">
      <c r="B12" s="1001" t="s">
        <v>759</v>
      </c>
      <c r="C12" s="1002">
        <f t="shared" ref="C12:L12" si="4">SUM(C10:C11)</f>
        <v>717165.73390557943</v>
      </c>
      <c r="D12" s="1002">
        <f t="shared" si="4"/>
        <v>934594.82909871242</v>
      </c>
      <c r="E12" s="1002">
        <f t="shared" si="4"/>
        <v>778430.45708154514</v>
      </c>
      <c r="F12" s="1002">
        <f t="shared" si="4"/>
        <v>613921.18497854075</v>
      </c>
      <c r="G12" s="1002">
        <f t="shared" si="4"/>
        <v>647405.08476394857</v>
      </c>
      <c r="H12" s="1002">
        <f t="shared" si="4"/>
        <v>807411.07296137337</v>
      </c>
      <c r="I12" s="1002">
        <f t="shared" ref="I12:J12" si="5">SUM(I10:I11)</f>
        <v>774989.74892703863</v>
      </c>
      <c r="J12" s="1002" t="e">
        <f t="shared" si="5"/>
        <v>#REF!</v>
      </c>
      <c r="K12" s="1002">
        <f t="shared" ref="K12" si="6">SUM(K10:K11)</f>
        <v>720169.05042918457</v>
      </c>
      <c r="L12" s="1003" t="e">
        <f t="shared" si="4"/>
        <v>#REF!</v>
      </c>
      <c r="M12" s="966"/>
      <c r="N12" s="140"/>
      <c r="O12" s="104" t="s">
        <v>1458</v>
      </c>
      <c r="P12" s="107">
        <f t="shared" si="0"/>
        <v>55.14640150214592</v>
      </c>
      <c r="Q12" s="107">
        <f t="shared" si="0"/>
        <v>43.459546137339061</v>
      </c>
      <c r="R12" s="107">
        <f t="shared" si="0"/>
        <v>107.99125107296138</v>
      </c>
      <c r="S12" s="107">
        <f t="shared" si="0"/>
        <v>43.21821652360515</v>
      </c>
      <c r="T12" s="107">
        <f t="shared" si="0"/>
        <v>19.887891630901287</v>
      </c>
      <c r="U12" s="107">
        <f t="shared" si="0"/>
        <v>48.528437768240344</v>
      </c>
      <c r="V12" s="406">
        <f t="shared" si="1"/>
        <v>318.23174463519314</v>
      </c>
      <c r="W12" s="107">
        <f t="shared" si="2"/>
        <v>53.038624105865523</v>
      </c>
      <c r="X12" s="1262">
        <f t="shared" si="3"/>
        <v>9.2540855186209262E-2</v>
      </c>
      <c r="Z12" s="1007" t="s">
        <v>1457</v>
      </c>
      <c r="AA12" s="107">
        <f>+P14+4+4</f>
        <v>25.728622317596567</v>
      </c>
      <c r="AB12" s="107">
        <f>+Q14-4</f>
        <v>34.142619098712444</v>
      </c>
      <c r="AC12" s="107">
        <f>+R14</f>
        <v>36.60831330472103</v>
      </c>
      <c r="AD12" s="107">
        <f>+S14</f>
        <v>53.393673819742489</v>
      </c>
      <c r="AE12" s="107">
        <f>+T14</f>
        <v>34.088224248927041</v>
      </c>
      <c r="AF12" s="107">
        <f>+U14-25</f>
        <v>25.449772532188845</v>
      </c>
      <c r="AG12" s="406">
        <f>+SUM(AA12:AF12)</f>
        <v>209.41122532188842</v>
      </c>
      <c r="AH12" s="107">
        <f>+AVERAGE(AA12:AF12)</f>
        <v>34.901870886981406</v>
      </c>
      <c r="AK12" s="104" t="s">
        <v>1457</v>
      </c>
      <c r="AL12" s="107">
        <f>127.745530042918+8-4-25+1</f>
        <v>107.74553004291801</v>
      </c>
      <c r="AM12" s="107">
        <v>81.733999999999995</v>
      </c>
      <c r="AN12" s="107">
        <v>30.67</v>
      </c>
      <c r="AO12" s="107">
        <v>8.5510000000000002</v>
      </c>
      <c r="AP12" s="107">
        <f>SUM(AL12:AO12)</f>
        <v>228.70053004291799</v>
      </c>
      <c r="AQ12" s="107"/>
    </row>
    <row r="13" spans="1:43" ht="13" customHeight="1" thickBot="1">
      <c r="B13" s="1004"/>
      <c r="C13" s="987"/>
      <c r="D13" s="987"/>
      <c r="E13" s="987"/>
      <c r="F13" s="987"/>
      <c r="G13" s="987"/>
      <c r="H13" s="987"/>
      <c r="I13" s="987"/>
      <c r="J13" s="987"/>
      <c r="K13" s="987"/>
      <c r="L13" s="1005"/>
      <c r="M13" s="966"/>
      <c r="O13" s="104" t="s">
        <v>1456</v>
      </c>
      <c r="P13" s="107">
        <f t="shared" ref="P13:U14" si="7">(+C21)/1000</f>
        <v>15.122477467811159</v>
      </c>
      <c r="Q13" s="107">
        <f t="shared" si="7"/>
        <v>42.528747854077253</v>
      </c>
      <c r="R13" s="107">
        <f t="shared" si="7"/>
        <v>40.494748927038628</v>
      </c>
      <c r="S13" s="107">
        <f t="shared" si="7"/>
        <v>39.999069742489269</v>
      </c>
      <c r="T13" s="107">
        <f t="shared" si="7"/>
        <v>35.904984978540774</v>
      </c>
      <c r="U13" s="107">
        <f t="shared" si="7"/>
        <v>36.03101824034335</v>
      </c>
      <c r="V13" s="406">
        <f t="shared" si="1"/>
        <v>210.08104721030043</v>
      </c>
      <c r="W13" s="107">
        <f t="shared" si="2"/>
        <v>35.013507868383407</v>
      </c>
      <c r="X13" s="1262">
        <f t="shared" si="3"/>
        <v>6.1090950525825138E-2</v>
      </c>
      <c r="Z13" s="141" t="s">
        <v>734</v>
      </c>
      <c r="AA13" s="406">
        <f t="shared" ref="AA13:AF13" si="8">SUM(AA10:AA12)</f>
        <v>326.89984656652359</v>
      </c>
      <c r="AB13" s="406">
        <f t="shared" si="8"/>
        <v>365.31922210300434</v>
      </c>
      <c r="AC13" s="406">
        <f t="shared" si="8"/>
        <v>372.15960300429191</v>
      </c>
      <c r="AD13" s="406">
        <f t="shared" si="8"/>
        <v>397.18770493562232</v>
      </c>
      <c r="AE13" s="406">
        <f t="shared" si="8"/>
        <v>387.00162339055794</v>
      </c>
      <c r="AF13" s="406">
        <f t="shared" si="8"/>
        <v>394.20578433476396</v>
      </c>
      <c r="AG13" s="406">
        <f>+SUM(AA13:AF13)</f>
        <v>2242.7737843347641</v>
      </c>
      <c r="AH13" s="406">
        <f>+AVERAGE(AA13:AF13)</f>
        <v>373.79563072246066</v>
      </c>
      <c r="AK13" s="141" t="s">
        <v>734</v>
      </c>
      <c r="AL13" s="406">
        <f>SUM(AL10:AL12)</f>
        <v>1689.2730890557912</v>
      </c>
      <c r="AM13" s="406">
        <f>SUM(AM10:AM12)</f>
        <v>469.83199999999999</v>
      </c>
      <c r="AN13" s="406">
        <f>SUM(AN10:AN12)</f>
        <v>76.567000000000007</v>
      </c>
      <c r="AO13" s="406">
        <f>SUM(AO10:AO12)</f>
        <v>8.5510000000000002</v>
      </c>
      <c r="AP13" s="406">
        <f>SUM(AL13:AO13)</f>
        <v>2244.2230890557912</v>
      </c>
      <c r="AQ13" s="107"/>
    </row>
    <row r="14" spans="1:43" ht="13" customHeight="1" thickBot="1">
      <c r="B14" s="1006" t="s">
        <v>600</v>
      </c>
      <c r="C14" s="966"/>
      <c r="D14" s="966"/>
      <c r="E14" s="966"/>
      <c r="F14" s="966"/>
      <c r="G14" s="966"/>
      <c r="H14" s="966"/>
      <c r="I14" s="966"/>
      <c r="L14" s="1005"/>
      <c r="M14" s="966"/>
      <c r="N14" s="1263"/>
      <c r="O14" s="1007" t="s">
        <v>1457</v>
      </c>
      <c r="P14" s="107">
        <f t="shared" si="7"/>
        <v>17.728622317596567</v>
      </c>
      <c r="Q14" s="107">
        <f t="shared" si="7"/>
        <v>38.142619098712444</v>
      </c>
      <c r="R14" s="107">
        <f t="shared" si="7"/>
        <v>36.60831330472103</v>
      </c>
      <c r="S14" s="107">
        <f t="shared" si="7"/>
        <v>53.393673819742489</v>
      </c>
      <c r="T14" s="107">
        <f t="shared" si="7"/>
        <v>34.088224248927041</v>
      </c>
      <c r="U14" s="107">
        <f t="shared" si="7"/>
        <v>50.449772532188845</v>
      </c>
      <c r="V14" s="406">
        <f t="shared" si="1"/>
        <v>230.41122532188842</v>
      </c>
      <c r="W14" s="107">
        <f t="shared" si="2"/>
        <v>38.401870886981406</v>
      </c>
      <c r="X14" s="1262">
        <f t="shared" si="3"/>
        <v>6.7002906514662855E-2</v>
      </c>
      <c r="AI14" s="107">
        <f>+W16-AH13</f>
        <v>199.34175815450652</v>
      </c>
    </row>
    <row r="15" spans="1:43" ht="13" customHeight="1">
      <c r="A15" s="1838"/>
      <c r="B15" s="1008" t="s">
        <v>7</v>
      </c>
      <c r="C15" s="1009">
        <f>+'Flujo Redco Chile'!C15+'Flujo Redco Perú'!C16+'Flujo Redco Brasil'!C17+'Flujo Redco USA'!C16+'Flujo Redco BVI'!C16</f>
        <v>357048.74678111589</v>
      </c>
      <c r="D15" s="1009">
        <f>+'Flujo Redco Chile'!D15+'Flujo Redco Perú'!D16+'Flujo Redco Brasil'!D17+'Flujo Redco USA'!D16+'Flujo Redco BVI'!D16</f>
        <v>288647.85515021463</v>
      </c>
      <c r="E15" s="1009">
        <f>+'Flujo Redco Chile'!E15+'Flujo Redco Perú'!E16+'Flujo Redco Brasil'!E17+'Flujo Redco USA'!E16+'Flujo Redco BVI'!E16</f>
        <v>295056.54077253223</v>
      </c>
      <c r="F15" s="1009">
        <f>+'Flujo Redco Chile'!F15+'Flujo Redco Perú'!F16+'Flujo Redco Brasil'!F17+'Flujo Redco USA'!F16+'Flujo Redco BVI'!F16</f>
        <v>303794.96137339057</v>
      </c>
      <c r="G15" s="1009">
        <f>+'Flujo Redco Chile'!G15+'Flujo Redco Perú'!G16+'Flujo Redco Brasil'!G17+'Flujo Redco USA'!G16+'Flujo Redco BVI'!G16</f>
        <v>317008.41416309017</v>
      </c>
      <c r="H15" s="1009">
        <f>+'Flujo Redco Chile'!H15+'Flujo Redco Perú'!H16+'Flujo Redco Brasil'!H17+'Flujo Redco USA'!H16+'Flujo Redco BVI'!H16</f>
        <v>332724.99356223177</v>
      </c>
      <c r="I15" s="1009">
        <f>+'Flujo Redco Chile'!I15+'Flujo Redco Perú'!I16+'Flujo Redco Brasil'!I17+'Flujo Redco USA'!I16+'Flujo Redco BVI'!I16</f>
        <v>364882.71459227469</v>
      </c>
      <c r="J15" s="1009">
        <f>+'Flujo Redco Chile'!J15+'Flujo Redco Perú'!J16+'Flujo Redco Brasil'!J17+'Flujo Redco USA'!J16+'Flujo Redco BVI'!J16</f>
        <v>345533.61266094423</v>
      </c>
      <c r="K15" s="1009">
        <f>+'Flujo Redco Chile'!K15+'Flujo Redco Perú'!K16+'Flujo Redco Brasil'!K17+'Flujo Redco USA'!K16+'Flujo Redco BVI'!K16</f>
        <v>391050.99356223177</v>
      </c>
      <c r="L15" s="2222">
        <f>SUM(C15:K15)</f>
        <v>2995748.8326180261</v>
      </c>
      <c r="M15" s="966"/>
      <c r="N15" s="140"/>
      <c r="O15" s="104" t="s">
        <v>1459</v>
      </c>
      <c r="P15" s="107">
        <f t="shared" ref="P15:U15" si="9">(+C25)/1000</f>
        <v>18.477487124463519</v>
      </c>
      <c r="Q15" s="107">
        <f t="shared" si="9"/>
        <v>5.5620000000000003</v>
      </c>
      <c r="R15" s="107">
        <f t="shared" si="9"/>
        <v>9.6750000000000007</v>
      </c>
      <c r="S15" s="107">
        <f t="shared" si="9"/>
        <v>17.382999999999999</v>
      </c>
      <c r="T15" s="107">
        <f t="shared" si="9"/>
        <v>36.675314377682398</v>
      </c>
      <c r="U15" s="107">
        <f t="shared" si="9"/>
        <v>8.4529999999999994</v>
      </c>
      <c r="V15" s="406">
        <f t="shared" si="1"/>
        <v>96.225801502145913</v>
      </c>
      <c r="W15" s="107">
        <f t="shared" si="2"/>
        <v>16.037633583690987</v>
      </c>
      <c r="X15" s="1262">
        <f t="shared" si="3"/>
        <v>2.7982180005942194E-2</v>
      </c>
      <c r="AI15" s="1262">
        <f>+AH13/W16</f>
        <v>0.65219201883669409</v>
      </c>
    </row>
    <row r="16" spans="1:43" ht="13" customHeight="1">
      <c r="A16" s="1838"/>
      <c r="B16" s="1010" t="s">
        <v>8</v>
      </c>
      <c r="C16" s="1011">
        <f>+'Flujo Redco Chile'!C16+'Flujo Redco Perú'!C17+'Flujo Redco Brasil'!C18+'Flujo Redco USA'!C17+'Flujo Redco BVI'!C17</f>
        <v>58297.762875536486</v>
      </c>
      <c r="D16" s="1012">
        <f>+'Flujo Redco Chile'!D16+'Flujo Redco Perú'!D17+'Flujo Redco Brasil'!D18+'Flujo Redco USA'!D17+'Flujo Redco BVI'!D17</f>
        <v>115219.86909871244</v>
      </c>
      <c r="E16" s="1012">
        <f>+'Flujo Redco Chile'!E16+'Flujo Redco Perú'!E17+'Flujo Redco Brasil'!E18+'Flujo Redco USA'!E17+'Flujo Redco BVI'!E17</f>
        <v>127981.32510729614</v>
      </c>
      <c r="F16" s="1012">
        <f>+'Flujo Redco Chile'!F16+'Flujo Redco Perú'!F17+'Flujo Redco Brasil'!F18+'Flujo Redco USA'!F17+'Flujo Redco BVI'!F17</f>
        <v>97673.125107296131</v>
      </c>
      <c r="G16" s="1012">
        <f>+'Flujo Redco Chile'!G16+'Flujo Redco Perú'!G17+'Flujo Redco Brasil'!G18+'Flujo Redco USA'!G17+'Flujo Redco BVI'!G17</f>
        <v>122488.97424892703</v>
      </c>
      <c r="H16" s="1012">
        <f>+'Flujo Redco Chile'!H16+'Flujo Redco Perú'!H17+'Flujo Redco Brasil'!H18+'Flujo Redco USA'!H17+'Flujo Redco BVI'!H17</f>
        <v>167931.94635193131</v>
      </c>
      <c r="I16" s="1012">
        <f>+'Flujo Redco Chile'!I16+'Flujo Redco Perú'!I17+'Flujo Redco Brasil'!I18+'Flujo Redco USA'!I17+'Flujo Redco BVI'!I17</f>
        <v>150747.83326180256</v>
      </c>
      <c r="J16" s="1012">
        <f>+'Flujo Redco Chile'!J16+'Flujo Redco Perú'!J17+'Flujo Redco Brasil'!J18+'Flujo Redco USA'!J17+'Flujo Redco BVI'!J17</f>
        <v>140211.46952789699</v>
      </c>
      <c r="K16" s="1012">
        <f>+'Flujo Redco Chile'!K16+'Flujo Redco Perú'!K17+'Flujo Redco Brasil'!K18+'Flujo Redco USA'!K17+'Flujo Redco BVI'!K17</f>
        <v>105300.1787553648</v>
      </c>
      <c r="L16" s="2213">
        <f t="shared" ref="L16:L17" si="10">SUM(C16:K16)</f>
        <v>1085852.4843347638</v>
      </c>
      <c r="M16" s="966"/>
      <c r="O16" s="141" t="s">
        <v>734</v>
      </c>
      <c r="P16" s="406">
        <f t="shared" ref="P16:U16" si="11">SUM(P10:P15)</f>
        <v>521.82149806866948</v>
      </c>
      <c r="Q16" s="406">
        <f t="shared" si="11"/>
        <v>533.56063733905592</v>
      </c>
      <c r="R16" s="406">
        <f t="shared" si="11"/>
        <v>617.80717918454934</v>
      </c>
      <c r="S16" s="406">
        <f t="shared" si="11"/>
        <v>555.46204656652367</v>
      </c>
      <c r="T16" s="406">
        <f t="shared" si="11"/>
        <v>566.05380364806865</v>
      </c>
      <c r="U16" s="406">
        <f t="shared" si="11"/>
        <v>644.11916845493556</v>
      </c>
      <c r="V16" s="406">
        <f t="shared" si="1"/>
        <v>3438.8243332618031</v>
      </c>
      <c r="W16" s="406">
        <f t="shared" si="2"/>
        <v>573.13738887696718</v>
      </c>
      <c r="X16" s="1841">
        <f>SUM(X10:X15)</f>
        <v>1</v>
      </c>
      <c r="AI16" s="1262">
        <f>+AI14/W16</f>
        <v>0.34780798116330591</v>
      </c>
    </row>
    <row r="17" spans="1:15" ht="13" customHeight="1" thickBot="1">
      <c r="A17" s="1838"/>
      <c r="B17" s="1010" t="s">
        <v>9</v>
      </c>
      <c r="C17" s="1013">
        <f>+'Flujo Redco Chile'!C17+'Flujo Redco Perú'!C18+'Flujo Redco Brasil'!C19+'Flujo Redco USA'!C18+'Flujo Redco BVI'!C18</f>
        <v>55146.40150214592</v>
      </c>
      <c r="D17" s="1014">
        <f>+'Flujo Redco Chile'!D17+'Flujo Redco Perú'!D18+'Flujo Redco Brasil'!D19+'Flujo Redco USA'!D18+'Flujo Redco BVI'!D18</f>
        <v>43459.546137339057</v>
      </c>
      <c r="E17" s="1014">
        <f>+'Flujo Redco Chile'!E17+'Flujo Redco Perú'!E18+'Flujo Redco Brasil'!E19+'Flujo Redco USA'!E18+'Flujo Redco BVI'!E18</f>
        <v>107991.25107296137</v>
      </c>
      <c r="F17" s="1014">
        <f>+'Flujo Redco Chile'!F17+'Flujo Redco Perú'!F18+'Flujo Redco Brasil'!F19+'Flujo Redco USA'!F18+'Flujo Redco BVI'!F18</f>
        <v>43218.216523605151</v>
      </c>
      <c r="G17" s="1014">
        <f>+'Flujo Redco Chile'!G17+'Flujo Redco Perú'!G18+'Flujo Redco Brasil'!G19+'Flujo Redco USA'!G18+'Flujo Redco BVI'!G18</f>
        <v>19887.891630901286</v>
      </c>
      <c r="H17" s="1014">
        <f>+'Flujo Redco Chile'!H17+'Flujo Redco Perú'!H18+'Flujo Redco Brasil'!H19+'Flujo Redco USA'!H18+'Flujo Redco BVI'!H18</f>
        <v>48528.437768240343</v>
      </c>
      <c r="I17" s="1014">
        <f>+'Flujo Redco Chile'!I17+'Flujo Redco Perú'!I18+'Flujo Redco Brasil'!I19+'Flujo Redco USA'!I18+'Flujo Redco BVI'!I18</f>
        <v>29408.506437768239</v>
      </c>
      <c r="J17" s="1014">
        <f>+'Flujo Redco Chile'!J17+'Flujo Redco Perú'!J18+'Flujo Redco Brasil'!J19+'Flujo Redco USA'!J18+'Flujo Redco BVI'!J18</f>
        <v>86643.267167381971</v>
      </c>
      <c r="K17" s="1014">
        <f>+'Flujo Redco Chile'!K17+'Flujo Redco Perú'!K18+'Flujo Redco Brasil'!K19+'Flujo Redco USA'!K18+'Flujo Redco BVI'!K18</f>
        <v>72880.803648068671</v>
      </c>
      <c r="L17" s="2214">
        <f t="shared" si="10"/>
        <v>507164.321888412</v>
      </c>
      <c r="M17" s="966"/>
    </row>
    <row r="18" spans="1:15" ht="13" customHeight="1" thickBot="1">
      <c r="B18" s="1001" t="s">
        <v>11</v>
      </c>
      <c r="C18" s="1002">
        <f t="shared" ref="C18:H18" si="12">SUM(C15:C17)</f>
        <v>470492.91115879826</v>
      </c>
      <c r="D18" s="1002">
        <f t="shared" si="12"/>
        <v>447327.27038626617</v>
      </c>
      <c r="E18" s="1002">
        <f t="shared" si="12"/>
        <v>531029.11695278971</v>
      </c>
      <c r="F18" s="1002">
        <f t="shared" si="12"/>
        <v>444686.30300429184</v>
      </c>
      <c r="G18" s="1002">
        <f t="shared" si="12"/>
        <v>459385.28004291852</v>
      </c>
      <c r="H18" s="1002">
        <f t="shared" si="12"/>
        <v>549185.37768240343</v>
      </c>
      <c r="I18" s="1002">
        <f t="shared" ref="I18:J18" si="13">SUM(I15:I17)</f>
        <v>545039.05429184553</v>
      </c>
      <c r="J18" s="1002">
        <f t="shared" si="13"/>
        <v>572388.34935622313</v>
      </c>
      <c r="K18" s="1002">
        <f t="shared" ref="K18" si="14">SUM(K15:K17)</f>
        <v>569231.97596566519</v>
      </c>
      <c r="L18" s="1015">
        <f>SUM(L15:L17)</f>
        <v>4588765.6388412025</v>
      </c>
      <c r="M18" s="966"/>
      <c r="N18" s="186"/>
      <c r="O18" s="140"/>
    </row>
    <row r="19" spans="1:15" ht="13" customHeight="1" thickBot="1">
      <c r="B19" s="1017"/>
      <c r="C19" s="1658"/>
      <c r="D19" s="1658"/>
      <c r="E19" s="1658"/>
      <c r="F19" s="1052"/>
      <c r="G19" s="1052"/>
      <c r="H19" s="1052"/>
      <c r="I19" s="1052"/>
      <c r="J19" s="1052"/>
      <c r="K19" s="1052"/>
      <c r="L19" s="1016"/>
      <c r="M19" s="966"/>
      <c r="N19" s="318"/>
      <c r="O19" s="966"/>
    </row>
    <row r="20" spans="1:15" ht="13" customHeight="1" thickBot="1">
      <c r="B20" s="1018" t="s">
        <v>601</v>
      </c>
      <c r="C20" s="1017"/>
      <c r="D20" s="1017"/>
      <c r="E20" s="1017"/>
      <c r="F20" s="1017"/>
      <c r="G20" s="1017"/>
      <c r="H20" s="1017"/>
      <c r="I20" s="1017"/>
      <c r="J20" s="1017"/>
      <c r="K20" s="1017"/>
      <c r="L20" s="1017"/>
      <c r="M20" s="966"/>
    </row>
    <row r="21" spans="1:15" ht="13" customHeight="1" thickBot="1">
      <c r="A21" s="1838"/>
      <c r="B21" s="1019" t="s">
        <v>614</v>
      </c>
      <c r="C21" s="1020">
        <f>+'Flujo Redco Chile'!C21+'Flujo Redco Perú'!C24+'Flujo Redco Brasil'!C23+'Flujo Redco USA'!C25+'Flujo Redco BVI'!C25</f>
        <v>15122.477467811159</v>
      </c>
      <c r="D21" s="1009">
        <f>+'Flujo Redco Chile'!D21+'Flujo Redco Perú'!D24+'Flujo Redco Brasil'!D23+'Flujo Redco USA'!D25+'Flujo Redco BVI'!D25</f>
        <v>42528.74785407725</v>
      </c>
      <c r="E21" s="1009">
        <f>+'Flujo Redco Chile'!E21+'Flujo Redco Perú'!E24+'Flujo Redco Brasil'!E23+'Flujo Redco USA'!E25+'Flujo Redco BVI'!E25</f>
        <v>40494.748927038629</v>
      </c>
      <c r="F21" s="1009">
        <f>+'Flujo Redco Chile'!F21+'Flujo Redco Perú'!F24+'Flujo Redco Brasil'!F23+'Flujo Redco USA'!F25+'Flujo Redco BVI'!F25</f>
        <v>39999.069742489271</v>
      </c>
      <c r="G21" s="1009">
        <f>+'Flujo Redco Chile'!G21+'Flujo Redco Perú'!G24+'Flujo Redco Brasil'!G23+'Flujo Redco USA'!G25+'Flujo Redco BVI'!G25</f>
        <v>35904.984978540771</v>
      </c>
      <c r="H21" s="1009">
        <f>+'Flujo Redco Chile'!H21+'Flujo Redco Perú'!H24+'Flujo Redco Brasil'!H23+'Flujo Redco USA'!H25+'Flujo Redco BVI'!H25</f>
        <v>36031.01824034335</v>
      </c>
      <c r="I21" s="1009">
        <f>+'Flujo Redco Chile'!I21+'Flujo Redco Perú'!I24+'Flujo Redco Brasil'!I23+'Flujo Redco USA'!I25+'Flujo Redco BVI'!I25</f>
        <v>36652.86480686695</v>
      </c>
      <c r="J21" s="1009">
        <f>+'Flujo Redco Chile'!J21+'Flujo Redco Perú'!J24+'Flujo Redco Brasil'!J23+'Flujo Redco USA'!J25+'Flujo Redco BVI'!J25</f>
        <v>40060.344420600857</v>
      </c>
      <c r="K21" s="1009">
        <f>+'Flujo Redco Chile'!K21+'Flujo Redco Perú'!K24+'Flujo Redco Brasil'!K23+'Flujo Redco USA'!K25+'Flujo Redco BVI'!K25</f>
        <v>41046.158798283264</v>
      </c>
      <c r="L21" s="1020">
        <f>SUM(C21:K21)</f>
        <v>327840.41523605149</v>
      </c>
      <c r="M21" s="966"/>
    </row>
    <row r="22" spans="1:15" ht="13" customHeight="1" thickBot="1">
      <c r="A22" s="1838"/>
      <c r="B22" s="1021" t="s">
        <v>13</v>
      </c>
      <c r="C22" s="1022">
        <f>+'Flujo Redco Chile'!C22+'Flujo Redco Perú'!C25+'Flujo Redco Brasil'!C24+'Flujo Redco USA'!C26+'Flujo Redco BVI'!C26</f>
        <v>17728.622317596568</v>
      </c>
      <c r="D22" s="1014">
        <f>+'Flujo Redco Chile'!D22+'Flujo Redco Perú'!D25+'Flujo Redco Brasil'!D24+'Flujo Redco USA'!D26+'Flujo Redco BVI'!D26</f>
        <v>38142.619098712443</v>
      </c>
      <c r="E22" s="1014">
        <f>+'Flujo Redco Chile'!E22+'Flujo Redco Perú'!E25+'Flujo Redco Brasil'!E24+'Flujo Redco USA'!E26+'Flujo Redco BVI'!E26</f>
        <v>36608.313304721029</v>
      </c>
      <c r="F22" s="1014">
        <f>+'Flujo Redco Chile'!F22+'Flujo Redco Perú'!F25+'Flujo Redco Brasil'!F24+'Flujo Redco USA'!F26+'Flujo Redco BVI'!F26</f>
        <v>53393.673819742486</v>
      </c>
      <c r="G22" s="1014">
        <f>+'Flujo Redco Chile'!G22+'Flujo Redco Perú'!G25+'Flujo Redco Brasil'!G24+'Flujo Redco USA'!G26+'Flujo Redco BVI'!G26</f>
        <v>34088.224248927043</v>
      </c>
      <c r="H22" s="1014">
        <f>+'Flujo Redco Chile'!H22+'Flujo Redco Perú'!H25+'Flujo Redco Brasil'!H24+'Flujo Redco USA'!H26+'Flujo Redco BVI'!H26</f>
        <v>50449.772532188843</v>
      </c>
      <c r="I22" s="1014">
        <f>+'Flujo Redco Chile'!I22+'Flujo Redco Perú'!I25+'Flujo Redco Brasil'!I24+'Flujo Redco USA'!I26+'Flujo Redco BVI'!I26</f>
        <v>52303.06652360515</v>
      </c>
      <c r="J22" s="1014">
        <f>+'Flujo Redco Chile'!J22+'Flujo Redco Perú'!J25+'Flujo Redco Brasil'!J24+'Flujo Redco USA'!J26+'Flujo Redco BVI'!J26</f>
        <v>51172.128755364807</v>
      </c>
      <c r="K22" s="1014">
        <f>+'Flujo Redco Chile'!K22+'Flujo Redco Perú'!K25+'Flujo Redco Brasil'!K24+'Flujo Redco USA'!K26+'Flujo Redco BVI'!K26</f>
        <v>41361.990343347643</v>
      </c>
      <c r="L22" s="1020">
        <f>SUM(C22:K22)</f>
        <v>375248.410944206</v>
      </c>
      <c r="M22" s="966"/>
    </row>
    <row r="23" spans="1:15" ht="13" customHeight="1" thickBot="1">
      <c r="B23" s="1001" t="s">
        <v>613</v>
      </c>
      <c r="C23" s="1002">
        <f>SUM(C21:C22)+1</f>
        <v>32852.099785407729</v>
      </c>
      <c r="D23" s="1002">
        <f>SUM(D21:D22)+1</f>
        <v>80672.366952789685</v>
      </c>
      <c r="E23" s="1002">
        <f>SUM(E21:E22)-1</f>
        <v>77102.062231759657</v>
      </c>
      <c r="F23" s="1002">
        <f t="shared" ref="F23:L23" si="15">SUM(F21:F22)</f>
        <v>93392.743562231757</v>
      </c>
      <c r="G23" s="1002">
        <f t="shared" si="15"/>
        <v>69993.209227467814</v>
      </c>
      <c r="H23" s="1002">
        <f t="shared" si="15"/>
        <v>86480.7907725322</v>
      </c>
      <c r="I23" s="1002">
        <f t="shared" si="15"/>
        <v>88955.9313304721</v>
      </c>
      <c r="J23" s="1002">
        <f t="shared" si="15"/>
        <v>91232.473175965657</v>
      </c>
      <c r="K23" s="1002">
        <f t="shared" ref="K23" si="16">SUM(K21:K22)</f>
        <v>82408.149141630915</v>
      </c>
      <c r="L23" s="1015">
        <f t="shared" si="15"/>
        <v>703088.82618025749</v>
      </c>
      <c r="M23" s="966"/>
      <c r="N23" s="162"/>
    </row>
    <row r="24" spans="1:15" ht="13" customHeight="1" thickBot="1">
      <c r="B24" s="996"/>
      <c r="J24" s="104"/>
      <c r="K24" s="104"/>
      <c r="M24" s="966"/>
      <c r="N24" s="140"/>
    </row>
    <row r="25" spans="1:15" ht="13" customHeight="1" thickBot="1">
      <c r="B25" s="1023" t="s">
        <v>604</v>
      </c>
      <c r="C25" s="1024">
        <f>+'Flujo Redco Chile'!C25+'Flujo Redco Perú'!C28+'Flujo Redco Brasil'!C27+'Flujo Redco USA'!C29+'Flujo Redco BVI'!C29</f>
        <v>18477.487124463518</v>
      </c>
      <c r="D25" s="1024">
        <f>+'Flujo Redco Chile'!D25+'Flujo Redco Perú'!D28+'Flujo Redco Brasil'!D27+'Flujo Redco USA'!D29+'Flujo Redco BVI'!D29</f>
        <v>5562</v>
      </c>
      <c r="E25" s="1024">
        <f>+'Flujo Redco Chile'!E25+'Flujo Redco Perú'!E28+'Flujo Redco Brasil'!E27+'Flujo Redco USA'!E29+'Flujo Redco BVI'!E29</f>
        <v>9675</v>
      </c>
      <c r="F25" s="1207">
        <f>+'Flujo Redco Chile'!F25+'Flujo Redco Perú'!F28+'Flujo Redco Brasil'!F27+'Flujo Redco USA'!F29+'Flujo Redco BVI'!F29</f>
        <v>17383</v>
      </c>
      <c r="G25" s="1207">
        <f>+'Flujo Redco Chile'!G25+'Flujo Redco Perú'!G28+'Flujo Redco Brasil'!G27+'Flujo Redco USA'!G29+'Flujo Redco BVI'!G29</f>
        <v>36675.3143776824</v>
      </c>
      <c r="H25" s="1207">
        <f>+'Flujo Redco Chile'!H25+'Flujo Redco Perú'!H28+'Flujo Redco Brasil'!H27+'Flujo Redco USA'!H29+'Flujo Redco BVI'!H29</f>
        <v>8453</v>
      </c>
      <c r="I25" s="1207">
        <f>+'Flujo Redco Chile'!I25+'Flujo Redco Perú'!I28+'Flujo Redco Brasil'!I27+'Flujo Redco USA'!I29+'Flujo Redco BVI'!I29</f>
        <v>7808</v>
      </c>
      <c r="J25" s="1207">
        <f>+'Flujo Redco Chile'!J25+'Flujo Redco Perú'!J28+'Flujo Redco Brasil'!J27+'Flujo Redco USA'!J29+'Flujo Redco BVI'!J29</f>
        <v>15374.8830472103</v>
      </c>
      <c r="K25" s="1207">
        <f>+'Flujo Redco Chile'!K25+'Flujo Redco Perú'!K28+'Flujo Redco Brasil'!K27+'Flujo Redco USA'!K29+'Flujo Redco BVI'!K29</f>
        <v>15336</v>
      </c>
      <c r="L25" s="1025">
        <f>SUM(C25:K25)</f>
        <v>134744.68454935623</v>
      </c>
    </row>
    <row r="26" spans="1:15" ht="13" customHeight="1" thickBot="1">
      <c r="B26" s="99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966"/>
    </row>
    <row r="27" spans="1:15" ht="13" customHeight="1" thickBot="1">
      <c r="B27" s="1712" t="s">
        <v>760</v>
      </c>
      <c r="C27" s="1713">
        <f>SUM(C12-C18-C23-C25)+1</f>
        <v>195344.23583690994</v>
      </c>
      <c r="D27" s="1713">
        <f t="shared" ref="D27:H27" si="17">SUM(D12-D18-D23-D25)</f>
        <v>401033.19175965653</v>
      </c>
      <c r="E27" s="1713">
        <f t="shared" si="17"/>
        <v>160624.27789699577</v>
      </c>
      <c r="F27" s="1713">
        <f t="shared" si="17"/>
        <v>58459.138412017157</v>
      </c>
      <c r="G27" s="1713">
        <f t="shared" si="17"/>
        <v>81351.281115879843</v>
      </c>
      <c r="H27" s="1713">
        <f t="shared" si="17"/>
        <v>163291.90450643774</v>
      </c>
      <c r="I27" s="1713">
        <f t="shared" ref="I27:J27" si="18">SUM(I12-I18-I23-I25)</f>
        <v>133186.76330472098</v>
      </c>
      <c r="J27" s="1713" t="e">
        <f t="shared" si="18"/>
        <v>#REF!</v>
      </c>
      <c r="K27" s="1713">
        <f t="shared" ref="K27" si="19">SUM(K12-K18-K23-K25)</f>
        <v>53192.92532188847</v>
      </c>
      <c r="L27" s="1713" t="e">
        <f>SUM(L12-L18-L23-L25)</f>
        <v>#REF!</v>
      </c>
      <c r="M27" s="966"/>
      <c r="N27" s="1262"/>
    </row>
    <row r="28" spans="1:15" ht="13" customHeight="1" thickBot="1">
      <c r="B28" s="996"/>
      <c r="C28" s="1662"/>
      <c r="D28" s="1662"/>
      <c r="E28" s="1662"/>
      <c r="F28" s="1662"/>
      <c r="G28" s="1662"/>
      <c r="H28" s="1662"/>
      <c r="I28" s="1662"/>
      <c r="J28" s="1662"/>
      <c r="K28" s="1662"/>
      <c r="L28" s="1017"/>
      <c r="M28" s="966"/>
    </row>
    <row r="29" spans="1:15" ht="13" customHeight="1" thickBot="1">
      <c r="B29" s="1202" t="s">
        <v>5</v>
      </c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318"/>
    </row>
    <row r="30" spans="1:15" ht="13" customHeight="1">
      <c r="B30" s="1203" t="s">
        <v>623</v>
      </c>
      <c r="C30" s="1710">
        <f>+'Flujo Redco Chile'!C31+'Flujo Redco Perú'!C35</f>
        <v>81339.939914163086</v>
      </c>
      <c r="D30" s="1710">
        <f>+'Flujo Redco Chile'!D31+'Flujo Redco Perú'!D35</f>
        <v>121311.89592274679</v>
      </c>
      <c r="E30" s="1710">
        <f>+'Flujo Redco Chile'!E31+'Flujo Redco Perú'!E35</f>
        <v>95276.023605150214</v>
      </c>
      <c r="F30" s="1710">
        <f>+'Flujo Redco Chile'!F31+'Flujo Redco Perú'!F35</f>
        <v>75623.724248927028</v>
      </c>
      <c r="G30" s="1710">
        <f>+'Flujo Redco Chile'!G31+'Flujo Redco Perú'!G35</f>
        <v>94077.512875536486</v>
      </c>
      <c r="H30" s="1710">
        <f>+'Flujo Redco Chile'!H31+'Flujo Redco Perú'!H35</f>
        <v>89916.214592274686</v>
      </c>
      <c r="I30" s="1710">
        <f>+'Flujo Redco Chile'!I31+'Flujo Redco Perú'!I35</f>
        <v>137841.78433476394</v>
      </c>
      <c r="J30" s="1710">
        <f>+'Flujo Redco Chile'!J31+'Flujo Redco Perú'!J35</f>
        <v>162260.6051502146</v>
      </c>
      <c r="K30" s="1710">
        <f>+'Flujo Redco Chile'!K31+'Flujo Redco Perú'!K35</f>
        <v>73317.831545064371</v>
      </c>
      <c r="L30" s="1204">
        <f>SUM(C30:K30)</f>
        <v>930965.53218884126</v>
      </c>
      <c r="M30" s="966"/>
      <c r="N30" s="186"/>
    </row>
    <row r="31" spans="1:15" ht="13" customHeight="1">
      <c r="B31" s="1028" t="s">
        <v>758</v>
      </c>
      <c r="C31" s="1711">
        <f>+'Flujo Redco Chile'!C38</f>
        <v>0</v>
      </c>
      <c r="D31" s="1711">
        <f>+'Flujo Redco Chile'!D38</f>
        <v>10399.31652360515</v>
      </c>
      <c r="E31" s="1711">
        <f>+'Flujo Redco Chile'!E38</f>
        <v>0</v>
      </c>
      <c r="F31" s="1711">
        <f>+'Flujo Redco Chile'!F38</f>
        <v>11315.144849785407</v>
      </c>
      <c r="G31" s="1711">
        <f>+'Flujo Redco Chile'!G38</f>
        <v>0</v>
      </c>
      <c r="H31" s="1711">
        <f>+'Flujo Redco Chile'!H38</f>
        <v>0</v>
      </c>
      <c r="I31" s="1711">
        <f>+'Flujo Redco Chile'!I38</f>
        <v>0</v>
      </c>
      <c r="J31" s="1711">
        <f>+'Flujo Redco Chile'!J38</f>
        <v>0</v>
      </c>
      <c r="K31" s="1711">
        <f>+'Flujo Redco Chile'!K38</f>
        <v>0</v>
      </c>
      <c r="L31" s="1068">
        <f>SUM(C31:K31)</f>
        <v>21714.461373390557</v>
      </c>
      <c r="M31" s="966"/>
    </row>
    <row r="32" spans="1:15" ht="13" customHeight="1">
      <c r="B32" s="1028" t="s">
        <v>791</v>
      </c>
      <c r="C32" s="1711">
        <f>+'Flujo Redco Chile'!C32+'Flujo Redco Chile'!C35+'Flujo Redco Chile'!C36+'Flujo Redco Chile'!C37+'Flujo Redco Perú'!C36+'Flujo Redco Perú'!C37+'Flujo Redco Perú'!C38</f>
        <v>191140.58798283263</v>
      </c>
      <c r="D32" s="1711">
        <f>+'Flujo Redco Chile'!D32+'Flujo Redco Chile'!D35+'Flujo Redco Chile'!D36+'Flujo Redco Chile'!D37+'Flujo Redco Perú'!D36+'Flujo Redco Perú'!D37+'Flujo Redco Perú'!D38</f>
        <v>113524.19957081546</v>
      </c>
      <c r="E32" s="1711">
        <f>+'Flujo Redco Chile'!E32+'Flujo Redco Chile'!E35+'Flujo Redco Chile'!E36+'Flujo Redco Chile'!E37+'Flujo Redco Perú'!E36+'Flujo Redco Perú'!E37+'Flujo Redco Perú'!E38</f>
        <v>71709.289699570814</v>
      </c>
      <c r="F32" s="1711">
        <f>+'Flujo Redco Chile'!F32+'Flujo Redco Chile'!F35+'Flujo Redco Chile'!F36+'Flujo Redco Chile'!F37+'Flujo Redco Perú'!F36+'Flujo Redco Perú'!F37+'Flujo Redco Perú'!F38</f>
        <v>194838.46137339054</v>
      </c>
      <c r="G32" s="1711">
        <f>+'Flujo Redco Chile'!G32+'Flujo Redco Chile'!G35+'Flujo Redco Chile'!G36+'Flujo Redco Chile'!G37+'Flujo Redco Perú'!G36+'Flujo Redco Perú'!G37+'Flujo Redco Perú'!G38</f>
        <v>41551.9474248927</v>
      </c>
      <c r="H32" s="1711">
        <f>+'Flujo Redco Chile'!H32+'Flujo Redco Chile'!H35+'Flujo Redco Chile'!H36+'Flujo Redco Chile'!H37+'Flujo Redco Perú'!H36+'Flujo Redco Perú'!H37+'Flujo Redco Perú'!H38</f>
        <v>0</v>
      </c>
      <c r="I32" s="1711">
        <f>+'Flujo Redco Chile'!I32+'Flujo Redco Chile'!I35+'Flujo Redco Chile'!I36+'Flujo Redco Chile'!I37+'Flujo Redco Perú'!I36+'Flujo Redco Perú'!I37+'Flujo Redco Perú'!I38</f>
        <v>46679.405579399143</v>
      </c>
      <c r="J32" s="1711">
        <f>+'Flujo Redco Chile'!J32+'Flujo Redco Chile'!J35+'Flujo Redco Chile'!J36+'Flujo Redco Chile'!J37+'Flujo Redco Perú'!J36+'Flujo Redco Perú'!J37+'Flujo Redco Perú'!J38</f>
        <v>459872.82296137337</v>
      </c>
      <c r="K32" s="1711">
        <f>+'Flujo Redco Chile'!K32+'Flujo Redco Chile'!K35+'Flujo Redco Chile'!K36+'Flujo Redco Chile'!K37+'Flujo Redco Perú'!K36+'Flujo Redco Perú'!K37+'Flujo Redco Perú'!K38</f>
        <v>27214.363733905579</v>
      </c>
      <c r="L32" s="1068">
        <f t="shared" ref="L32:L33" si="20">SUM(C32:K32)</f>
        <v>1146531.0783261803</v>
      </c>
      <c r="M32" s="966"/>
      <c r="N32" s="108"/>
    </row>
    <row r="33" spans="2:16" ht="13" customHeight="1" thickBot="1">
      <c r="B33" s="1030" t="s">
        <v>1346</v>
      </c>
      <c r="C33" s="1711">
        <f>+'Flujo Redco Chile'!C39+'Flujo Redco Chile'!C40+'Flujo Redco Perú'!C40+'Flujo Redco Brasil'!C34+'Flujo Redco USA'!C38+'Flujo Redco BVI'!C38</f>
        <v>7091.2854077253214</v>
      </c>
      <c r="D33" s="1711">
        <f>+'Flujo Redco Chile'!D39+'Flujo Redco Chile'!D40+'Flujo Redco Perú'!D40+'Flujo Redco Brasil'!D34+'Flujo Redco USA'!D38+'Flujo Redco BVI'!D38</f>
        <v>363</v>
      </c>
      <c r="E33" s="1711">
        <f>+'Flujo Redco Chile'!E39+'Flujo Redco Chile'!E40+'Flujo Redco Perú'!E40+'Flujo Redco Brasil'!E34+'Flujo Redco USA'!E38+'Flujo Redco BVI'!E38+'Flujo Redco Chile'!E34</f>
        <v>5265.8025751072964</v>
      </c>
      <c r="F33" s="1711">
        <f>+'Flujo Redco Chile'!F39+'Flujo Redco Chile'!F40+'Flujo Redco Perú'!F40+'Flujo Redco Brasil'!F34+'Flujo Redco USA'!F38+'Flujo Redco BVI'!F38+'Flujo Redco Chile'!F34</f>
        <v>10432.480686695279</v>
      </c>
      <c r="G33" s="1711">
        <f>+'Flujo Redco Chile'!G39+'Flujo Redco Chile'!G40+'Flujo Redco Perú'!G40+'Flujo Redco Brasil'!G34+'Flujo Redco USA'!G38+'Flujo Redco BVI'!G38+'Flujo Redco Chile'!G34</f>
        <v>472755.02896995709</v>
      </c>
      <c r="H33" s="1711">
        <f>+'Flujo Redco Chile'!H39+'Flujo Redco Chile'!H40+'Flujo Redco Perú'!H40+'Flujo Redco Brasil'!H34+'Flujo Redco USA'!H38+'Flujo Redco BVI'!H38+'Flujo Redco Chile'!H34</f>
        <v>89784.033261802571</v>
      </c>
      <c r="I33" s="1711">
        <f>+'Flujo Redco Chile'!I39+'Flujo Redco Chile'!I40+'Flujo Redco Perú'!I40+'Flujo Redco Brasil'!I34+'Flujo Redco USA'!I38+'Flujo Redco BVI'!I38+'Flujo Redco Chile'!I34</f>
        <v>68680.615879828329</v>
      </c>
      <c r="J33" s="1711">
        <f>+'Flujo Redco Chile'!J39+'Flujo Redco Chile'!J40+'Flujo Redco Perú'!J40+'Flujo Redco Brasil'!J34+'Flujo Redco USA'!J38+'Flujo Redco BVI'!J38+'Flujo Redco Chile'!J34</f>
        <v>37073.081545064379</v>
      </c>
      <c r="K33" s="1711">
        <f>+'Flujo Redco Chile'!K39+'Flujo Redco Chile'!K40+'Flujo Redco Perú'!K40+'Flujo Redco Brasil'!K34+'Flujo Redco USA'!K38+'Flujo Redco BVI'!K38+'Flujo Redco Chile'!K34</f>
        <v>4069.947424892704</v>
      </c>
      <c r="L33" s="1068">
        <f t="shared" si="20"/>
        <v>695515.27575107291</v>
      </c>
      <c r="M33" s="966"/>
      <c r="N33" s="108"/>
    </row>
    <row r="34" spans="2:16" ht="13" customHeight="1" thickBot="1">
      <c r="B34" s="1205" t="s">
        <v>5</v>
      </c>
      <c r="C34" s="1206">
        <f t="shared" ref="C34:H34" si="21">SUM(C30:C33)</f>
        <v>279571.81330472103</v>
      </c>
      <c r="D34" s="1206">
        <f t="shared" si="21"/>
        <v>245598.4120171674</v>
      </c>
      <c r="E34" s="1206">
        <f t="shared" si="21"/>
        <v>172251.11587982831</v>
      </c>
      <c r="F34" s="1206">
        <f t="shared" si="21"/>
        <v>292209.81115879823</v>
      </c>
      <c r="G34" s="1206">
        <f t="shared" si="21"/>
        <v>608384.48927038629</v>
      </c>
      <c r="H34" s="1206">
        <f t="shared" si="21"/>
        <v>179700.24785407726</v>
      </c>
      <c r="I34" s="1206">
        <f t="shared" ref="I34:J34" si="22">SUM(I30:I33)</f>
        <v>253201.80579399143</v>
      </c>
      <c r="J34" s="1206">
        <f t="shared" si="22"/>
        <v>659206.50965665234</v>
      </c>
      <c r="K34" s="1206">
        <f t="shared" ref="K34" si="23">SUM(K30:K33)</f>
        <v>104602.14270386264</v>
      </c>
      <c r="L34" s="1207">
        <f>SUM(L30:L33)</f>
        <v>2794726.3476394853</v>
      </c>
      <c r="M34" s="966"/>
      <c r="N34" s="162"/>
      <c r="O34" s="162"/>
      <c r="P34" s="162"/>
    </row>
    <row r="35" spans="2:16" ht="13" customHeight="1" thickBot="1">
      <c r="B35" s="996"/>
      <c r="C35" s="1026"/>
      <c r="D35" s="1026"/>
      <c r="E35" s="1026"/>
      <c r="F35" s="1026"/>
      <c r="G35" s="1026"/>
      <c r="H35" s="1026"/>
      <c r="I35" s="1026"/>
      <c r="J35" s="1026"/>
      <c r="K35" s="1026"/>
      <c r="L35" s="1026"/>
      <c r="M35" s="966"/>
      <c r="N35" s="162"/>
      <c r="O35" s="162"/>
      <c r="P35" s="162"/>
    </row>
    <row r="36" spans="2:16" ht="13" customHeight="1" thickBot="1">
      <c r="B36" s="1720" t="s">
        <v>616</v>
      </c>
      <c r="C36" s="1026"/>
      <c r="D36" s="1026"/>
      <c r="E36" s="1026"/>
      <c r="F36" s="1026"/>
      <c r="G36" s="1026"/>
      <c r="H36" s="1026"/>
      <c r="I36" s="1026"/>
      <c r="J36" s="1026"/>
      <c r="K36" s="1026"/>
      <c r="L36" s="1026"/>
      <c r="M36" s="966"/>
    </row>
    <row r="37" spans="2:16" ht="13" customHeight="1">
      <c r="B37" s="1721" t="s">
        <v>15</v>
      </c>
      <c r="C37" s="1687">
        <f>+'Flujo Redco Chile'!C44+'Flujo Redco Perú'!C44+'Flujo Redco Brasil'!C37+'Flujo Redco USA'!C41+'Flujo Redco BVI'!C41</f>
        <v>91430.333690987114</v>
      </c>
      <c r="D37" s="1687">
        <f>+'Flujo Redco Chile'!D44+'Flujo Redco Perú'!D44+'Flujo Redco Brasil'!D37+'Flujo Redco USA'!D41+'Flujo Redco BVI'!D41</f>
        <v>78509.4517167382</v>
      </c>
      <c r="E37" s="1687">
        <f>+'Flujo Redco Chile'!E44+'Flujo Redco Perú'!E44+'Flujo Redco Brasil'!E37+'Flujo Redco USA'!E41+'Flujo Redco BVI'!E41</f>
        <v>25339.347639484979</v>
      </c>
      <c r="F37" s="1687">
        <f>+'Flujo Redco Chile'!F44+'Flujo Redco Perú'!F44+'Flujo Redco Brasil'!F37+'Flujo Redco USA'!F41+'Flujo Redco BVI'!F41</f>
        <v>60062.326180257514</v>
      </c>
      <c r="G37" s="1687">
        <f>+'Flujo Redco Chile'!G44+'Flujo Redco Perú'!G44+'Flujo Redco Brasil'!G37+'Flujo Redco USA'!G41+'Flujo Redco BVI'!G41</f>
        <v>125286.45064377683</v>
      </c>
      <c r="H37" s="1687">
        <f>+'Flujo Redco Chile'!H44+'Flujo Redco Perú'!H44+'Flujo Redco Brasil'!H37+'Flujo Redco USA'!H41+'Flujo Redco BVI'!H41</f>
        <v>95547.2660944206</v>
      </c>
      <c r="I37" s="1687">
        <f>+'Flujo Redco Chile'!I44+'Flujo Redco Perú'!I44+'Flujo Redco Brasil'!I37+'Flujo Redco USA'!I41+'Flujo Redco BVI'!I41</f>
        <v>65065.087982832614</v>
      </c>
      <c r="J37" s="1687">
        <f>+'Flujo Redco Chile'!J44+'Flujo Redco Perú'!J44+'Flujo Redco Brasil'!J37+'Flujo Redco USA'!J41+'Flujo Redco BVI'!J41</f>
        <v>216738.47424892703</v>
      </c>
      <c r="K37" s="1687">
        <f>+'Flujo Redco Chile'!K44+'Flujo Redco Perú'!K44+'Flujo Redco Brasil'!K37+'Flujo Redco USA'!K41+'Flujo Redco BVI'!K41</f>
        <v>68043.614806866957</v>
      </c>
      <c r="L37" s="1515">
        <f>SUM(C37:K37)</f>
        <v>826022.35300429189</v>
      </c>
      <c r="M37" s="966"/>
    </row>
    <row r="38" spans="2:16" ht="13" customHeight="1">
      <c r="B38" s="1722" t="s">
        <v>1019</v>
      </c>
      <c r="C38" s="1719">
        <f>+SUM('Flujo Redco Chile'!C45:C47)+SUM('Flujo Redco Perú'!C45:C47)</f>
        <v>27599.535407725321</v>
      </c>
      <c r="D38" s="1719">
        <f>+SUM('Flujo Redco Chile'!D45:D47)+SUM('Flujo Redco Perú'!D45:D47)</f>
        <v>38631.281115879829</v>
      </c>
      <c r="E38" s="1719">
        <f>+SUM('Flujo Redco Chile'!E45:E47)+SUM('Flujo Redco Perú'!E45:E47)</f>
        <v>30686.726394849786</v>
      </c>
      <c r="F38" s="1719">
        <f>+SUM('Flujo Redco Chile'!F45:F47)+SUM('Flujo Redco Perú'!F45:F47)</f>
        <v>31866.890557939911</v>
      </c>
      <c r="G38" s="1719">
        <f>+SUM('Flujo Redco Chile'!G45:G47)+SUM('Flujo Redco Perú'!G45:G47)</f>
        <v>32660.930257510732</v>
      </c>
      <c r="H38" s="1719">
        <f>+SUM('Flujo Redco Chile'!H45:H47)+SUM('Flujo Redco Perú'!H45:H47)</f>
        <v>27706.253218884121</v>
      </c>
      <c r="I38" s="1719">
        <f>+SUM('Flujo Redco Chile'!I45:I47)+SUM('Flujo Redco Perú'!I45:I47)</f>
        <v>31882.783261802575</v>
      </c>
      <c r="J38" s="1719">
        <f>+SUM('Flujo Redco Chile'!J45:J47)+SUM('Flujo Redco Perú'!J45:J47)</f>
        <v>30717.742489270389</v>
      </c>
      <c r="K38" s="1719">
        <f>+SUM('Flujo Redco Chile'!K45:K47)+SUM('Flujo Redco Perú'!K45:K47)</f>
        <v>29655.451716738193</v>
      </c>
      <c r="L38" s="1723">
        <f>SUM(C38:K38)</f>
        <v>281407.59442060086</v>
      </c>
      <c r="M38" s="966"/>
    </row>
    <row r="39" spans="2:16" ht="13" customHeight="1" thickBot="1">
      <c r="B39" s="1724" t="s">
        <v>883</v>
      </c>
      <c r="C39" s="1725">
        <f>+'Flujo Redco Chile'!C48+'Flujo Redco Perú'!C40</f>
        <v>0</v>
      </c>
      <c r="D39" s="1725">
        <f>+'Flujo Redco Chile'!D48+'Flujo Redco Perú'!D40</f>
        <v>0</v>
      </c>
      <c r="E39" s="1725">
        <f>+'Flujo Redco Chile'!E48+'Flujo Redco Perú'!E40</f>
        <v>0</v>
      </c>
      <c r="F39" s="1725">
        <f>+'Flujo Redco Chile'!F48+'Flujo Redco Perú'!F40</f>
        <v>0</v>
      </c>
      <c r="G39" s="1725">
        <f>+'Flujo Redco Chile'!G48+'Flujo Redco Perú'!G40</f>
        <v>0</v>
      </c>
      <c r="H39" s="1725">
        <f>+'Flujo Redco Chile'!H48+'Flujo Redco Perú'!H40</f>
        <v>0</v>
      </c>
      <c r="I39" s="1725">
        <f>+'Flujo Redco Chile'!I48+'Flujo Redco Perú'!I40</f>
        <v>0</v>
      </c>
      <c r="J39" s="1725">
        <f>+'Flujo Redco Chile'!J48+'Flujo Redco Perú'!J40</f>
        <v>0</v>
      </c>
      <c r="K39" s="1725">
        <f>+'Flujo Redco Chile'!K48+'Flujo Redco Perú'!K40</f>
        <v>0</v>
      </c>
      <c r="L39" s="1726">
        <f>SUM(C39:K39)</f>
        <v>0</v>
      </c>
      <c r="M39" s="966"/>
    </row>
    <row r="40" spans="2:16" ht="13" customHeight="1" thickBot="1">
      <c r="B40" s="1034" t="s">
        <v>631</v>
      </c>
      <c r="C40" s="1717">
        <f t="shared" ref="C40:H40" si="24">SUM(C37:C39)</f>
        <v>119029.86909871243</v>
      </c>
      <c r="D40" s="1717">
        <f t="shared" si="24"/>
        <v>117140.73283261803</v>
      </c>
      <c r="E40" s="1717">
        <f>SUM(E37:E39)</f>
        <v>56026.074034334764</v>
      </c>
      <c r="F40" s="1717">
        <f t="shared" si="24"/>
        <v>91929.216738197429</v>
      </c>
      <c r="G40" s="1717">
        <f t="shared" si="24"/>
        <v>157947.38090128757</v>
      </c>
      <c r="H40" s="1717">
        <f t="shared" si="24"/>
        <v>123253.51931330471</v>
      </c>
      <c r="I40" s="1717">
        <f t="shared" ref="I40:J40" si="25">SUM(I37:I39)</f>
        <v>96947.871244635186</v>
      </c>
      <c r="J40" s="1717">
        <f t="shared" si="25"/>
        <v>247456.21673819743</v>
      </c>
      <c r="K40" s="1717">
        <f t="shared" ref="K40" si="26">SUM(K37:K39)</f>
        <v>97699.066523605143</v>
      </c>
      <c r="L40" s="1718">
        <f>SUM(L37:L39)</f>
        <v>1107429.9474248928</v>
      </c>
      <c r="M40" s="966"/>
      <c r="N40" s="162"/>
    </row>
    <row r="41" spans="2:16" ht="13" customHeight="1" thickBot="1">
      <c r="B41" s="985"/>
      <c r="C41" s="987"/>
      <c r="D41" s="985"/>
      <c r="E41" s="985"/>
      <c r="F41" s="985"/>
      <c r="G41" s="985"/>
      <c r="H41" s="985"/>
      <c r="I41" s="985"/>
      <c r="J41" s="985"/>
      <c r="K41" s="985"/>
      <c r="L41" s="985"/>
      <c r="M41" s="966"/>
    </row>
    <row r="42" spans="2:16" ht="13" customHeight="1" thickBot="1">
      <c r="B42" s="1650" t="s">
        <v>617</v>
      </c>
      <c r="C42" s="1651">
        <f>+'Flujo Redco Chile'!C58+'Flujo Redco Perú'!C54+'Flujo Redco Brasil'!C43+'Flujo Redco USA'!C47+'Flujo Redco BVI'!C47</f>
        <v>45388.466738197429</v>
      </c>
      <c r="D42" s="1651">
        <f>+'Flujo Redco Chile'!D58+'Flujo Redco Perú'!D54+'Flujo Redco Brasil'!D43+'Flujo Redco USA'!D47+'Flujo Redco BVI'!D47</f>
        <v>118859.4924892704</v>
      </c>
      <c r="E42" s="1651">
        <f>+'Flujo Redco Chile'!E58+'Flujo Redco Perú'!E54+'Flujo Redco Brasil'!E43+'Flujo Redco USA'!E47+'Flujo Redco BVI'!E47</f>
        <v>91375.742489270386</v>
      </c>
      <c r="F42" s="1651">
        <f>+'Flujo Redco Chile'!F58+'Flujo Redco Perú'!F54+'Flujo Redco Brasil'!F43+'Flujo Redco USA'!F47+'Flujo Redco BVI'!F47</f>
        <v>209275.4592274678</v>
      </c>
      <c r="G42" s="1651">
        <f>+'Flujo Redco Chile'!G58+'Flujo Redco Perú'!G54+'Flujo Redco Brasil'!G43+'Flujo Redco USA'!G47+'Flujo Redco BVI'!G47</f>
        <v>450268.94742489269</v>
      </c>
      <c r="H42" s="1651">
        <f>+'Flujo Redco Chile'!H58+'Flujo Redco Perú'!H54+'Flujo Redco Brasil'!H43+'Flujo Redco USA'!H47+'Flujo Redco BVI'!H47</f>
        <v>33313.304721030043</v>
      </c>
      <c r="I42" s="1651">
        <f>+'Flujo Redco Chile'!I58+'Flujo Redco Perú'!I54+'Flujo Redco Brasil'!I43+'Flujo Redco USA'!I47+'Flujo Redco BVI'!I47</f>
        <v>66329.1448497854</v>
      </c>
      <c r="J42" s="1651">
        <f>+'Flujo Redco Chile'!J58+'Flujo Redco Perú'!J54+'Flujo Redco Brasil'!J43+'Flujo Redco USA'!J47+'Flujo Redco BVI'!J47</f>
        <v>479797.62231759657</v>
      </c>
      <c r="K42" s="1651">
        <f>+'Flujo Redco Chile'!K58+'Flujo Redco Perú'!K54+'Flujo Redco Brasil'!K43+'Flujo Redco USA'!K47+'Flujo Redco BVI'!K47</f>
        <v>58204.690987124457</v>
      </c>
      <c r="L42" s="1652">
        <f>SUM(C42:K42)</f>
        <v>1552812.8712446354</v>
      </c>
      <c r="M42" s="966"/>
    </row>
    <row r="43" spans="2:16" ht="13" customHeight="1" thickBot="1">
      <c r="B43" s="996"/>
      <c r="C43" s="997"/>
      <c r="D43" s="997"/>
      <c r="E43" s="997"/>
      <c r="F43" s="997"/>
      <c r="G43" s="997"/>
      <c r="H43" s="997"/>
      <c r="I43" s="997"/>
      <c r="J43" s="997"/>
      <c r="K43" s="997"/>
      <c r="L43" s="997"/>
      <c r="M43" s="966"/>
    </row>
    <row r="44" spans="2:16" ht="13" customHeight="1" thickBot="1">
      <c r="B44" s="1714" t="s">
        <v>617</v>
      </c>
      <c r="C44" s="1715">
        <f t="shared" ref="C44:H44" si="27">+C34-C40-C42</f>
        <v>115153.47746781117</v>
      </c>
      <c r="D44" s="1715">
        <f>+D34-D40-D42</f>
        <v>9598.1866952789715</v>
      </c>
      <c r="E44" s="1715">
        <f t="shared" si="27"/>
        <v>24849.299356223157</v>
      </c>
      <c r="F44" s="1715">
        <f t="shared" si="27"/>
        <v>-8994.8648068670009</v>
      </c>
      <c r="G44" s="1715">
        <f t="shared" si="27"/>
        <v>168.16094420605805</v>
      </c>
      <c r="H44" s="1715">
        <f t="shared" si="27"/>
        <v>23133.4238197425</v>
      </c>
      <c r="I44" s="1715">
        <f t="shared" ref="I44:J44" si="28">+I34-I40-I42</f>
        <v>89924.789699570829</v>
      </c>
      <c r="J44" s="1715">
        <f t="shared" si="28"/>
        <v>-68047.329399141658</v>
      </c>
      <c r="K44" s="1715">
        <f t="shared" ref="K44" si="29">+K34-K40-K42</f>
        <v>-51301.614806866957</v>
      </c>
      <c r="L44" s="1716">
        <f>SUM(C44:K44)</f>
        <v>134483.52896995709</v>
      </c>
      <c r="M44" s="966"/>
    </row>
    <row r="45" spans="2:16" ht="13" customHeight="1" thickBot="1">
      <c r="B45" s="996"/>
      <c r="C45" s="997"/>
      <c r="D45" s="997"/>
      <c r="E45" s="997"/>
      <c r="F45" s="997"/>
      <c r="G45" s="997"/>
      <c r="H45" s="997"/>
      <c r="I45" s="997"/>
      <c r="J45" s="997"/>
      <c r="K45" s="997"/>
      <c r="L45" s="997"/>
      <c r="M45" s="966"/>
    </row>
    <row r="46" spans="2:16" ht="13" customHeight="1" thickBot="1">
      <c r="B46" s="994" t="s">
        <v>1031</v>
      </c>
      <c r="C46" s="1037">
        <f>+C27+C44</f>
        <v>310497.71330472111</v>
      </c>
      <c r="D46" s="1037">
        <f>+D27+D44</f>
        <v>410631.3784549355</v>
      </c>
      <c r="E46" s="1037">
        <f>+E27+E44</f>
        <v>185473.57725321891</v>
      </c>
      <c r="F46" s="1037">
        <f>+F27+F44</f>
        <v>49464.273605150156</v>
      </c>
      <c r="G46" s="1659">
        <f t="shared" ref="G46:H46" si="30">+G27+G44</f>
        <v>81519.442060085901</v>
      </c>
      <c r="H46" s="1659">
        <f t="shared" si="30"/>
        <v>186425.32832618023</v>
      </c>
      <c r="I46" s="1659">
        <f t="shared" ref="I46:J46" si="31">+I27+I44</f>
        <v>223111.55300429181</v>
      </c>
      <c r="J46" s="1659" t="e">
        <f t="shared" si="31"/>
        <v>#REF!</v>
      </c>
      <c r="K46" s="1659">
        <f t="shared" ref="K46" si="32">+K27+K44</f>
        <v>1891.3105150215124</v>
      </c>
      <c r="L46" s="1037" t="e">
        <f>+L27+L44</f>
        <v>#REF!</v>
      </c>
      <c r="M46" s="966"/>
      <c r="N46" s="108"/>
    </row>
    <row r="47" spans="2:16" ht="13" customHeight="1" thickBot="1">
      <c r="B47" s="994" t="s">
        <v>606</v>
      </c>
      <c r="C47" s="1037">
        <f>+'Flujo Redco Chile'!C8+'Flujo Redco Perú'!C9+'Flujo Redco Brasil'!C9+'Flujo Redco USA'!C9+'Flujo Redco BVI'!C9</f>
        <v>253992.16085170198</v>
      </c>
      <c r="D47" s="1037">
        <f>+'Flujo Redco Chile'!D8+'Flujo Redco Perú'!D9+'Flujo Redco Brasil'!D9+'Flujo Redco USA'!D9+'Flujo Redco BVI'!D9</f>
        <v>564489.87415642303</v>
      </c>
      <c r="E47" s="1037">
        <f>+'Flujo Redco Chile'!E8+'Flujo Redco Perú'!E9+'Flujo Redco Brasil'!E9+'Flujo Redco USA'!E9+'Flujo Redco BVI'!E9</f>
        <v>975122.25261135865</v>
      </c>
      <c r="F47" s="1037">
        <f>+'Flujo Redco Chile'!F8+'Flujo Redco Perú'!F9+'Flujo Redco Brasil'!F9+'Flujo Redco USA'!F9+'Flujo Redco BVI'!F9</f>
        <v>1160594.8298645774</v>
      </c>
      <c r="G47" s="1037">
        <f>+'Flujo Redco Chile'!G8+'Flujo Redco Perú'!G9+'Flujo Redco Brasil'!G9+'Flujo Redco USA'!G9+'Flujo Redco BVI'!G9</f>
        <v>1210059.1034697276</v>
      </c>
      <c r="H47" s="1037">
        <f>+'Flujo Redco Chile'!H8+'Flujo Redco Perú'!H9+'Flujo Redco Brasil'!H9+'Flujo Redco USA'!H9+'Flujo Redco BVI'!H9</f>
        <v>1291578.5455298135</v>
      </c>
      <c r="I47" s="1037">
        <f>+'Flujo Redco Chile'!I8+'Flujo Redco Perú'!I9+'Flujo Redco Brasil'!I9+'Flujo Redco USA'!I9+'Flujo Redco BVI'!I9</f>
        <v>1478003.8738559936</v>
      </c>
      <c r="J47" s="1037">
        <f>+'Flujo Redco Chile'!J8+'Flujo Redco Perú'!J9+'Flujo Redco Brasil'!J9+'Flujo Redco USA'!J9+'Flujo Redco BVI'!J9</f>
        <v>1701115.4268602855</v>
      </c>
      <c r="K47" s="1037">
        <f>+'Flujo Redco Chile'!K8+'Flujo Redco Perú'!K9+'Flujo Redco Brasil'!K9+'Flujo Redco USA'!K9+'Flujo Redco BVI'!K9</f>
        <v>1986304.1290062082</v>
      </c>
      <c r="L47" s="1037">
        <f>SUM(C47)</f>
        <v>253992.16085170198</v>
      </c>
      <c r="M47" s="966"/>
      <c r="N47" s="108"/>
    </row>
    <row r="48" spans="2:16" ht="13" customHeight="1" thickBot="1">
      <c r="B48" s="1040" t="s">
        <v>1032</v>
      </c>
      <c r="C48" s="1041">
        <f t="shared" ref="C48:H48" si="33">SUM(C46:C47)</f>
        <v>564489.87415642315</v>
      </c>
      <c r="D48" s="1041">
        <f t="shared" si="33"/>
        <v>975121.25261135853</v>
      </c>
      <c r="E48" s="1041">
        <f>SUM(E46:E47)</f>
        <v>1160595.8298645776</v>
      </c>
      <c r="F48" s="1041">
        <f t="shared" si="33"/>
        <v>1210059.1034697276</v>
      </c>
      <c r="G48" s="1041">
        <f t="shared" si="33"/>
        <v>1291578.5455298135</v>
      </c>
      <c r="H48" s="1041">
        <f t="shared" si="33"/>
        <v>1478003.8738559936</v>
      </c>
      <c r="I48" s="1041">
        <f t="shared" ref="I48:J48" si="34">SUM(I46:I47)</f>
        <v>1701115.4268602855</v>
      </c>
      <c r="J48" s="1041" t="e">
        <f t="shared" si="34"/>
        <v>#REF!</v>
      </c>
      <c r="K48" s="1041">
        <f t="shared" ref="K48" si="35">SUM(K46:K47)</f>
        <v>1988195.4395212296</v>
      </c>
      <c r="L48" s="1042" t="e">
        <f>SUM(L46:L47)</f>
        <v>#REF!</v>
      </c>
      <c r="M48" s="966"/>
      <c r="N48" s="162"/>
    </row>
    <row r="49" spans="2:17" ht="13" customHeight="1">
      <c r="B49" s="985"/>
      <c r="C49" s="991">
        <f>+'Flujo Redco Chile'!C62+'Flujo Redco Perú'!C58+'Flujo Redco Brasil'!C49+'Flujo Redco USA'!C51+'Flujo Redco BVI'!C51</f>
        <v>564489.87415642303</v>
      </c>
      <c r="D49" s="991">
        <f>+'Flujo Redco Chile'!D62+'Flujo Redco Perú'!D58+'Flujo Redco Brasil'!D49+'Flujo Redco USA'!D51+'Flujo Redco BVI'!D51</f>
        <v>975122.25261135865</v>
      </c>
      <c r="E49" s="991">
        <f>+'Flujo Redco Chile'!E62+'Flujo Redco Perú'!E58+'Flujo Redco Brasil'!E49+'Flujo Redco USA'!E51+'Flujo Redco BVI'!E51</f>
        <v>1160594.8298645776</v>
      </c>
      <c r="F49" s="991">
        <f>+'Flujo Redco Chile'!F62+'Flujo Redco Perú'!F58+'Flujo Redco Brasil'!F49+'Flujo Redco USA'!F51+'Flujo Redco BVI'!F51</f>
        <v>1210059.1034697276</v>
      </c>
      <c r="G49" s="991">
        <f>+'Flujo Redco Chile'!G62+'Flujo Redco Perú'!G58+'Flujo Redco Brasil'!G49+'Flujo Redco USA'!G51+'Flujo Redco BVI'!G51</f>
        <v>1291578.5455298135</v>
      </c>
      <c r="H49" s="991">
        <f>+'Flujo Redco Chile'!H62+'Flujo Redco Perú'!H58+'Flujo Redco Brasil'!H49+'Flujo Redco USA'!H51+'Flujo Redco BVI'!H51</f>
        <v>1478003.8738559936</v>
      </c>
      <c r="I49" s="991">
        <f>+'Flujo Redco Chile'!I62+'Flujo Redco Perú'!I58+'Flujo Redco Brasil'!I49+'Flujo Redco USA'!I51+'Flujo Redco BVI'!I51</f>
        <v>1701115.4268602855</v>
      </c>
      <c r="J49" s="991">
        <f>+'Flujo Redco Chile'!J62+'Flujo Redco Perú'!J58+'Flujo Redco Brasil'!J49+'Flujo Redco USA'!J51+'Flujo Redco BVI'!J51</f>
        <v>1986304.1290062082</v>
      </c>
      <c r="K49" s="991">
        <f>+'Flujo Redco Chile'!K62+'Flujo Redco Perú'!K58+'Flujo Redco Brasil'!K49+'Flujo Redco USA'!K51+'Flujo Redco BVI'!K51-1</f>
        <v>1896323.4395212296</v>
      </c>
      <c r="L49" s="991"/>
      <c r="M49" s="966"/>
    </row>
    <row r="50" spans="2:17" ht="13" hidden="1" customHeight="1" thickBot="1">
      <c r="B50" s="996" t="s">
        <v>1399</v>
      </c>
      <c r="C50" s="991"/>
      <c r="D50" s="991"/>
      <c r="E50" s="991"/>
      <c r="F50" s="991"/>
      <c r="G50" s="991"/>
      <c r="H50" s="991"/>
      <c r="I50" s="991"/>
      <c r="J50" s="991"/>
      <c r="K50" s="991"/>
      <c r="L50" s="1264"/>
      <c r="M50" s="966"/>
    </row>
    <row r="51" spans="2:17" ht="13" hidden="1" customHeight="1">
      <c r="B51" s="1502" t="s">
        <v>599</v>
      </c>
      <c r="C51" s="1498">
        <f>+'Flujo Redco Chile'!C60</f>
        <v>118395.56330472103</v>
      </c>
      <c r="D51" s="1498">
        <f>+'Flujo Redco Chile'!D60</f>
        <v>133162.16845493563</v>
      </c>
      <c r="E51" s="1660">
        <f>+'Flujo Redco Chile'!E60</f>
        <v>-69890.4227467811</v>
      </c>
      <c r="F51" s="1660">
        <f>+'Flujo Redco Chile'!F60</f>
        <v>-113200.7263948498</v>
      </c>
      <c r="G51" s="1660">
        <f>+'Flujo Redco Chile'!G60</f>
        <v>-40765.557939914223</v>
      </c>
      <c r="H51" s="1660">
        <f>+'Flujo Redco Chile'!H60</f>
        <v>-48061.671673819757</v>
      </c>
      <c r="I51" s="1942"/>
      <c r="J51" s="1942"/>
      <c r="K51" s="1942"/>
      <c r="L51" s="1495"/>
      <c r="M51" s="162"/>
      <c r="N51" s="162"/>
      <c r="O51" s="162"/>
      <c r="P51" s="162"/>
      <c r="Q51" s="162"/>
    </row>
    <row r="52" spans="2:17" ht="13" hidden="1" customHeight="1">
      <c r="B52" s="1503" t="s">
        <v>788</v>
      </c>
      <c r="C52" s="1499">
        <f>+'Flujo Redco Perú'!C274</f>
        <v>3798.1499999999942</v>
      </c>
      <c r="D52" s="1661">
        <f>+'Flujo Redco Perú'!D274</f>
        <v>-2643</v>
      </c>
      <c r="E52" s="1499">
        <f>+'Flujo Redco Perú'!E274</f>
        <v>65135</v>
      </c>
      <c r="F52" s="1661">
        <f>+'Flujo Redco Perú'!F274</f>
        <v>-1064.2999999999884</v>
      </c>
      <c r="G52" s="1661">
        <f>+'Flujo Redco Perú'!G274</f>
        <v>-4999</v>
      </c>
      <c r="H52" s="1661">
        <f>+'Flujo Redco Perú'!H274</f>
        <v>42095</v>
      </c>
      <c r="I52" s="1943"/>
      <c r="J52" s="1943"/>
      <c r="K52" s="2217"/>
      <c r="L52" s="1496"/>
      <c r="M52" s="162"/>
    </row>
    <row r="53" spans="2:17" ht="13" hidden="1" customHeight="1">
      <c r="B53" s="1504" t="s">
        <v>1288</v>
      </c>
      <c r="C53" s="1499">
        <f>+'Flujo Redco Brasil'!C45</f>
        <v>51910</v>
      </c>
      <c r="D53" s="1499">
        <f>+'Flujo Redco Brasil'!D45</f>
        <v>16991</v>
      </c>
      <c r="E53" s="1499">
        <f>+'Flujo Redco Brasil'!E45</f>
        <v>61952</v>
      </c>
      <c r="F53" s="1499">
        <f>+'Flujo Redco Brasil'!F45</f>
        <v>18807.299999999996</v>
      </c>
      <c r="G53" s="1661">
        <f>+'Flujo Redco Brasil'!G45</f>
        <v>-137850</v>
      </c>
      <c r="H53" s="1661">
        <f>+'Flujo Redco Brasil'!H45</f>
        <v>-22177</v>
      </c>
      <c r="I53" s="1944"/>
      <c r="J53" s="1944"/>
      <c r="K53" s="2218"/>
      <c r="L53" s="1497"/>
      <c r="M53" s="162"/>
    </row>
    <row r="54" spans="2:17" ht="13" hidden="1" customHeight="1">
      <c r="B54" s="1504" t="s">
        <v>1052</v>
      </c>
      <c r="C54" s="1499">
        <f>+'Flujo Redco USA'!C49</f>
        <v>150438</v>
      </c>
      <c r="D54" s="1499">
        <f>+'Flujo Redco USA'!D49</f>
        <v>241440.21</v>
      </c>
      <c r="E54" s="1499">
        <f>+'Flujo Redco USA'!E49</f>
        <v>82798</v>
      </c>
      <c r="F54" s="1499">
        <f>+'Flujo Redco USA'!F49</f>
        <v>159302</v>
      </c>
      <c r="G54" s="1661">
        <f>+'Flujo Redco USA'!G49</f>
        <v>-134434</v>
      </c>
      <c r="H54" s="1661">
        <f>+'Flujo Redco USA'!H49</f>
        <v>57618</v>
      </c>
      <c r="I54" s="1944"/>
      <c r="J54" s="1944"/>
      <c r="K54" s="2218"/>
      <c r="L54" s="1497"/>
      <c r="M54" s="162"/>
    </row>
    <row r="55" spans="2:17" ht="13" hidden="1" customHeight="1" thickBot="1">
      <c r="B55" s="1504" t="s">
        <v>1398</v>
      </c>
      <c r="C55" s="1661">
        <f>+'Flujo Redco BVI'!C49</f>
        <v>-14044</v>
      </c>
      <c r="D55" s="1499">
        <f>+'Flujo Redco BVI'!D49</f>
        <v>21682</v>
      </c>
      <c r="E55" s="1499">
        <f>+'Flujo Redco BVI'!E49</f>
        <v>45478</v>
      </c>
      <c r="F55" s="1661">
        <f>+'Flujo Redco BVI'!F49</f>
        <v>-14380</v>
      </c>
      <c r="G55" s="1661">
        <f>+'Flujo Redco BVI'!G49</f>
        <v>399568</v>
      </c>
      <c r="H55" s="1661">
        <f>+'Flujo Redco BVI'!H49</f>
        <v>156951</v>
      </c>
      <c r="I55" s="1944"/>
      <c r="J55" s="1944"/>
      <c r="K55" s="2218"/>
      <c r="L55" s="1497"/>
      <c r="M55" s="162"/>
    </row>
    <row r="56" spans="2:17" ht="13" hidden="1" customHeight="1" thickBot="1">
      <c r="B56" s="1506" t="s">
        <v>1389</v>
      </c>
      <c r="C56" s="1470">
        <f t="shared" ref="C56:H56" si="36">SUM(C51:C55)</f>
        <v>310497.71330472105</v>
      </c>
      <c r="D56" s="1470">
        <f t="shared" si="36"/>
        <v>410632.37845493562</v>
      </c>
      <c r="E56" s="1470">
        <f t="shared" si="36"/>
        <v>185472.57725321891</v>
      </c>
      <c r="F56" s="1470">
        <f t="shared" si="36"/>
        <v>49464.2736051502</v>
      </c>
      <c r="G56" s="1470">
        <f t="shared" si="36"/>
        <v>81519.44206008577</v>
      </c>
      <c r="H56" s="1470">
        <f t="shared" si="36"/>
        <v>186425.32832618023</v>
      </c>
      <c r="I56" s="1945"/>
      <c r="J56" s="1945"/>
      <c r="K56" s="1945"/>
      <c r="L56" s="1470"/>
      <c r="M56" s="162"/>
    </row>
    <row r="57" spans="2:17" ht="13" hidden="1" customHeight="1">
      <c r="C57" s="108"/>
      <c r="D57" s="108"/>
      <c r="E57" s="108"/>
      <c r="F57" s="108"/>
      <c r="G57" s="108"/>
      <c r="H57" s="108"/>
      <c r="I57" s="108"/>
      <c r="J57" s="108"/>
      <c r="K57" s="108"/>
      <c r="L57" s="966"/>
      <c r="M57" s="186"/>
    </row>
    <row r="58" spans="2:17" ht="13" hidden="1" customHeight="1">
      <c r="C58" s="991"/>
      <c r="D58" s="991"/>
      <c r="E58" s="991"/>
      <c r="F58" s="991"/>
      <c r="G58" s="991"/>
      <c r="H58" s="991"/>
      <c r="I58" s="991"/>
      <c r="J58" s="991"/>
      <c r="K58" s="991"/>
      <c r="L58" s="991"/>
    </row>
    <row r="59" spans="2:17" ht="13" hidden="1" customHeight="1" thickBot="1">
      <c r="B59" s="141" t="s">
        <v>1400</v>
      </c>
      <c r="J59" s="104"/>
      <c r="K59" s="104"/>
      <c r="L59" s="966"/>
    </row>
    <row r="60" spans="2:17" ht="13" hidden="1" customHeight="1">
      <c r="B60" s="1502" t="s">
        <v>599</v>
      </c>
      <c r="C60" s="1498">
        <f>+'Flujo Redco Chile'!C62</f>
        <v>170652.70064377683</v>
      </c>
      <c r="D60" s="1498">
        <f>+'Flujo Redco Chile'!D62</f>
        <v>303814.86909871246</v>
      </c>
      <c r="E60" s="1498">
        <f>+'Flujo Redco Chile'!E62</f>
        <v>233924.44635193137</v>
      </c>
      <c r="F60" s="1498">
        <f>+'Flujo Redco Chile'!F62</f>
        <v>120723.71995708154</v>
      </c>
      <c r="G60" s="1777">
        <f>+'Flujo Redco Chile'!G62</f>
        <v>79958.162017167313</v>
      </c>
      <c r="H60" s="1777">
        <f>+'Flujo Redco Chile'!H62</f>
        <v>31896.490343347556</v>
      </c>
      <c r="I60" s="1946"/>
      <c r="J60" s="1946"/>
      <c r="K60" s="1946"/>
      <c r="L60" s="991"/>
    </row>
    <row r="61" spans="2:17" ht="13" hidden="1" customHeight="1">
      <c r="B61" s="1503" t="s">
        <v>788</v>
      </c>
      <c r="C61" s="1499">
        <f>'Flujo Redco Perú'!C58</f>
        <v>140565.84351264618</v>
      </c>
      <c r="D61" s="1499">
        <f>'Flujo Redco Perú'!D58</f>
        <v>137922.84351264618</v>
      </c>
      <c r="E61" s="1499">
        <f>'Flujo Redco Perú'!E58</f>
        <v>203057.84351264618</v>
      </c>
      <c r="F61" s="1499">
        <f>'Flujo Redco Perú'!F58</f>
        <v>201993.54351264617</v>
      </c>
      <c r="G61" s="1775">
        <f>'Flujo Redco Perú'!G58</f>
        <v>196994.54351264617</v>
      </c>
      <c r="H61" s="1775">
        <f>'Flujo Redco Perú'!H58</f>
        <v>239089.54351264617</v>
      </c>
      <c r="I61" s="1946"/>
      <c r="J61" s="1946"/>
      <c r="K61" s="1946"/>
      <c r="L61" s="991"/>
    </row>
    <row r="62" spans="2:17" ht="13" hidden="1" customHeight="1">
      <c r="B62" s="1504" t="s">
        <v>1288</v>
      </c>
      <c r="C62" s="1499">
        <f>'Flujo Redco Brasil'!C49</f>
        <v>61532.33</v>
      </c>
      <c r="D62" s="1499">
        <f>'Flujo Redco Brasil'!D49</f>
        <v>78523.33</v>
      </c>
      <c r="E62" s="1499">
        <f>'Flujo Redco Brasil'!E49</f>
        <v>140475.33000000002</v>
      </c>
      <c r="F62" s="1499">
        <f>'Flujo Redco Brasil'!F49</f>
        <v>159282.63</v>
      </c>
      <c r="G62" s="1775">
        <f>'Flujo Redco Brasil'!G49</f>
        <v>21432.630000000005</v>
      </c>
      <c r="H62" s="1775">
        <f>'Flujo Redco Brasil'!H49</f>
        <v>-744.36999999999534</v>
      </c>
      <c r="I62" s="1946"/>
      <c r="J62" s="1946"/>
      <c r="K62" s="1946"/>
      <c r="L62" s="991"/>
    </row>
    <row r="63" spans="2:17" ht="13" hidden="1" customHeight="1">
      <c r="B63" s="1505" t="s">
        <v>1052</v>
      </c>
      <c r="C63" s="1500">
        <f>'Flujo Redco USA'!C51</f>
        <v>205783</v>
      </c>
      <c r="D63" s="1500">
        <f>'Flujo Redco USA'!D51</f>
        <v>447223.20999999996</v>
      </c>
      <c r="E63" s="1500">
        <f>'Flujo Redco USA'!E51</f>
        <v>530021.21</v>
      </c>
      <c r="F63" s="1500">
        <f>'Flujo Redco USA'!F51</f>
        <v>689323.21</v>
      </c>
      <c r="G63" s="1775">
        <f>'Flujo Redco USA'!G51</f>
        <v>554889.21</v>
      </c>
      <c r="H63" s="1775">
        <f>'Flujo Redco USA'!H51</f>
        <v>612507.21</v>
      </c>
      <c r="I63" s="1946"/>
      <c r="J63" s="1946"/>
      <c r="K63" s="1946"/>
      <c r="L63" s="991"/>
    </row>
    <row r="64" spans="2:17" ht="13" hidden="1" customHeight="1" thickBot="1">
      <c r="B64" s="1504"/>
      <c r="C64" s="1661">
        <f>+'Flujo Redco BVI'!C51</f>
        <v>-14044</v>
      </c>
      <c r="D64" s="1499">
        <f>+'Flujo Redco BVI'!D51</f>
        <v>7638</v>
      </c>
      <c r="E64" s="1499">
        <f>+'Flujo Redco BVI'!E51</f>
        <v>53116</v>
      </c>
      <c r="F64" s="1499">
        <f>+'Flujo Redco BVI'!F51</f>
        <v>38736</v>
      </c>
      <c r="G64" s="1776">
        <f>+'Flujo Redco BVI'!G51</f>
        <v>438304</v>
      </c>
      <c r="H64" s="1776">
        <f>+'Flujo Redco BVI'!H51</f>
        <v>595255</v>
      </c>
      <c r="I64" s="1946"/>
      <c r="J64" s="1946"/>
      <c r="K64" s="1946"/>
      <c r="L64" s="991"/>
    </row>
    <row r="65" spans="2:12" ht="13" hidden="1" customHeight="1" thickBot="1">
      <c r="B65" s="1506" t="s">
        <v>1389</v>
      </c>
      <c r="C65" s="1501">
        <f>SUM(C60:C64)</f>
        <v>564489.87415642303</v>
      </c>
      <c r="D65" s="1501">
        <f>SUM(D60:D64)-1</f>
        <v>975121.25261135865</v>
      </c>
      <c r="E65" s="1501">
        <f>SUM(E60:E64)+1</f>
        <v>1160595.8298645776</v>
      </c>
      <c r="F65" s="1501">
        <f>SUM(F60:F64)</f>
        <v>1210059.1034697276</v>
      </c>
      <c r="G65" s="1778">
        <f>SUM(G60:G64)</f>
        <v>1291578.5455298135</v>
      </c>
      <c r="H65" s="1778">
        <f>SUM(H60:H64)</f>
        <v>1478003.8738559936</v>
      </c>
      <c r="I65" s="1209"/>
      <c r="J65" s="1209"/>
      <c r="K65" s="1209"/>
      <c r="L65" s="991"/>
    </row>
    <row r="66" spans="2:12" ht="13" hidden="1" customHeight="1">
      <c r="C66" s="108">
        <f>SUM(C48-C65)</f>
        <v>1.1641532182693481E-10</v>
      </c>
      <c r="D66" s="108">
        <f>SUM(D48-D65)</f>
        <v>-1.1641532182693481E-10</v>
      </c>
      <c r="E66" s="108">
        <f>SUM(E48-E65)</f>
        <v>0</v>
      </c>
      <c r="F66" s="108">
        <f>SUM(F48-F65)</f>
        <v>0</v>
      </c>
      <c r="G66" s="108">
        <f>SUM(G48-G65)</f>
        <v>0</v>
      </c>
      <c r="H66" s="108"/>
      <c r="I66" s="108"/>
      <c r="J66" s="108"/>
      <c r="K66" s="108"/>
      <c r="L66" s="991"/>
    </row>
    <row r="67" spans="2:12" ht="13" customHeight="1">
      <c r="C67" s="108"/>
      <c r="D67" s="108"/>
      <c r="J67" s="104"/>
      <c r="K67" s="104"/>
      <c r="L67" s="991"/>
    </row>
    <row r="68" spans="2:12" ht="13" customHeight="1">
      <c r="E68" s="108"/>
      <c r="F68" s="108"/>
      <c r="G68" s="108"/>
      <c r="H68" s="108"/>
      <c r="I68" s="108"/>
      <c r="J68" s="108"/>
      <c r="K68" s="108"/>
    </row>
    <row r="69" spans="2:12" ht="13" customHeight="1">
      <c r="J69" s="104"/>
      <c r="K69" s="104"/>
      <c r="L69" s="966"/>
    </row>
  </sheetData>
  <mergeCells count="1">
    <mergeCell ref="B3:F3"/>
  </mergeCells>
  <pageMargins left="0.7" right="0.7" top="0.75" bottom="0.75" header="0.3" footer="0.3"/>
  <pageSetup scale="84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088D-7C30-4E2E-BF34-54FDE17BBEC3}">
  <sheetPr codeName="Hoja10">
    <tabColor theme="3" tint="0.59999389629810485"/>
  </sheetPr>
  <dimension ref="B3:K56"/>
  <sheetViews>
    <sheetView topLeftCell="A19" zoomScaleNormal="100" workbookViewId="0">
      <selection activeCell="C43" sqref="C43"/>
    </sheetView>
  </sheetViews>
  <sheetFormatPr baseColWidth="10" defaultColWidth="11.5" defaultRowHeight="13" customHeight="1"/>
  <cols>
    <col min="1" max="1" width="11.5" style="104"/>
    <col min="2" max="2" width="37.1640625" style="104" bestFit="1" customWidth="1"/>
    <col min="3" max="3" width="12.5" style="104" customWidth="1"/>
    <col min="4" max="4" width="10.5" style="104" customWidth="1"/>
    <col min="5" max="7" width="9.5" style="104" customWidth="1"/>
    <col min="8" max="8" width="12.83203125" style="104" customWidth="1"/>
    <col min="9" max="9" width="14" style="104" bestFit="1" customWidth="1"/>
    <col min="10" max="10" width="13.5" style="104" bestFit="1" customWidth="1"/>
    <col min="11" max="16384" width="11.5" style="104"/>
  </cols>
  <sheetData>
    <row r="3" spans="2:11" ht="13" customHeight="1">
      <c r="B3" s="2503" t="s">
        <v>787</v>
      </c>
      <c r="C3" s="2503"/>
      <c r="D3" s="2503"/>
      <c r="E3" s="2503"/>
      <c r="F3" s="2503"/>
      <c r="G3" s="2503"/>
      <c r="H3" s="2503"/>
    </row>
    <row r="4" spans="2:11" ht="13" customHeight="1" thickBot="1">
      <c r="B4" s="141"/>
      <c r="C4" s="406"/>
      <c r="D4" s="988"/>
      <c r="E4" s="988"/>
      <c r="F4" s="988"/>
      <c r="G4" s="988"/>
      <c r="H4" s="989"/>
      <c r="I4" s="162"/>
      <c r="J4" s="107"/>
    </row>
    <row r="5" spans="2:11" ht="13" customHeight="1" thickBot="1">
      <c r="B5" s="1698" t="s">
        <v>793</v>
      </c>
      <c r="C5" s="2504" t="s">
        <v>735</v>
      </c>
      <c r="D5" s="2505"/>
      <c r="E5" s="2505"/>
      <c r="F5" s="2505"/>
      <c r="G5" s="1647"/>
      <c r="H5" s="1208" t="s">
        <v>761</v>
      </c>
      <c r="I5" s="162"/>
      <c r="J5" s="162"/>
    </row>
    <row r="6" spans="2:11" ht="13" customHeight="1" thickBot="1">
      <c r="B6" s="1699" t="s">
        <v>1</v>
      </c>
      <c r="C6" s="1208" t="s">
        <v>599</v>
      </c>
      <c r="D6" s="1208" t="s">
        <v>788</v>
      </c>
      <c r="E6" s="1208" t="s">
        <v>789</v>
      </c>
      <c r="F6" s="1208" t="s">
        <v>790</v>
      </c>
      <c r="G6" s="1208" t="s">
        <v>1388</v>
      </c>
      <c r="H6" s="1208">
        <v>45901</v>
      </c>
    </row>
    <row r="7" spans="2:11" ht="13" customHeight="1">
      <c r="B7" s="1700" t="s">
        <v>627</v>
      </c>
      <c r="C7" s="1697">
        <f>+'Flujo Redco Chile'!P10</f>
        <v>487680.18776824034</v>
      </c>
      <c r="D7" s="1697">
        <f>+'Flujo Redco Perú'!P11</f>
        <v>132119</v>
      </c>
      <c r="E7" s="1697">
        <f>+'Flujo Redco Brasil'!P12</f>
        <v>182679</v>
      </c>
      <c r="F7" s="1697">
        <f>+'Flujo Redco USA'!P11</f>
        <v>150453</v>
      </c>
      <c r="G7" s="1697">
        <f>+'Flujo Redco BVI'!P11</f>
        <v>67160</v>
      </c>
      <c r="H7" s="1701">
        <f>+SUM(C7:G7)</f>
        <v>1020091.1877682403</v>
      </c>
      <c r="J7" s="969"/>
    </row>
    <row r="8" spans="2:11" ht="13" customHeight="1" thickBot="1">
      <c r="B8" s="1702" t="s">
        <v>626</v>
      </c>
      <c r="C8" s="1697">
        <f>+'Flujo Redco Chile'!P11</f>
        <v>2524183.8015021458</v>
      </c>
      <c r="D8" s="1694">
        <f>+'Flujo Redco Perú'!P12</f>
        <v>1654243</v>
      </c>
      <c r="E8" s="1694">
        <f>+'Flujo Redco Brasil'!P13</f>
        <v>625631.69999999995</v>
      </c>
      <c r="F8" s="1694">
        <f>+'Flujo Redco USA'!P12</f>
        <v>831077.21</v>
      </c>
      <c r="G8" s="1697">
        <f>+'Flujo Redco BVI'!P12</f>
        <v>271569</v>
      </c>
      <c r="H8" s="1703">
        <f>SUM(C8:G8)</f>
        <v>5906704.711502146</v>
      </c>
      <c r="I8" s="1209"/>
      <c r="J8" s="140"/>
    </row>
    <row r="9" spans="2:11" ht="13" customHeight="1" thickBot="1">
      <c r="B9" s="1695" t="s">
        <v>759</v>
      </c>
      <c r="C9" s="1668">
        <f t="shared" ref="C9:H9" si="0">SUM(C7:C8)</f>
        <v>3011863.9892703863</v>
      </c>
      <c r="D9" s="1668">
        <f t="shared" si="0"/>
        <v>1786362</v>
      </c>
      <c r="E9" s="1668">
        <f t="shared" si="0"/>
        <v>808310.7</v>
      </c>
      <c r="F9" s="1668">
        <f t="shared" si="0"/>
        <v>981530.21</v>
      </c>
      <c r="G9" s="1668">
        <f t="shared" si="0"/>
        <v>338729</v>
      </c>
      <c r="H9" s="1696">
        <f t="shared" si="0"/>
        <v>6926795.8992703864</v>
      </c>
      <c r="I9" s="186">
        <v>5412000</v>
      </c>
      <c r="J9" s="140">
        <f>+H9-I9</f>
        <v>1514795.8992703864</v>
      </c>
      <c r="K9" s="1951">
        <f>+J9/H9</f>
        <v>0.21868637697697185</v>
      </c>
    </row>
    <row r="10" spans="2:11" ht="13" customHeight="1" thickBot="1">
      <c r="B10" s="1036"/>
      <c r="C10" s="987"/>
      <c r="D10" s="1005"/>
      <c r="E10" s="1005"/>
      <c r="F10" s="1005"/>
      <c r="G10" s="1005"/>
      <c r="H10" s="162"/>
      <c r="I10" s="186"/>
      <c r="J10" s="140"/>
    </row>
    <row r="11" spans="2:11" ht="13" customHeight="1" thickBot="1">
      <c r="B11" s="1050" t="s">
        <v>600</v>
      </c>
      <c r="C11" s="1005"/>
      <c r="D11" s="1005"/>
      <c r="E11" s="1005"/>
      <c r="F11" s="1005"/>
      <c r="G11" s="1005"/>
      <c r="H11" s="1005"/>
      <c r="I11" s="186"/>
      <c r="J11" s="969"/>
    </row>
    <row r="12" spans="2:11" ht="13" customHeight="1">
      <c r="B12" s="1008" t="s">
        <v>7</v>
      </c>
      <c r="C12" s="1020">
        <f>+'Flujo Redco Chile'!P15</f>
        <v>2211147.8326180261</v>
      </c>
      <c r="D12" s="1020">
        <f>+'Flujo Redco Perú'!P16</f>
        <v>663451</v>
      </c>
      <c r="E12" s="1648">
        <f>+'Flujo Redco Brasil'!P17</f>
        <v>121150</v>
      </c>
      <c r="F12" s="1648">
        <f>+'Flujo Redco USA'!P16</f>
        <v>0</v>
      </c>
      <c r="G12" s="1020">
        <f>+'Flujo Redco BVI'!P16</f>
        <v>0</v>
      </c>
      <c r="H12" s="1009">
        <f>SUM(C12:G12)</f>
        <v>2995748.8326180261</v>
      </c>
      <c r="J12" s="969"/>
    </row>
    <row r="13" spans="2:11" ht="13" customHeight="1">
      <c r="B13" s="1010" t="s">
        <v>8</v>
      </c>
      <c r="C13" s="2213">
        <f>+'Flujo Redco Chile'!P16</f>
        <v>485462.78433476388</v>
      </c>
      <c r="D13" s="1210">
        <f>+'Flujo Redco Perú'!P17</f>
        <v>313297.3</v>
      </c>
      <c r="E13" s="1655">
        <f>+'Flujo Redco Brasil'!P18</f>
        <v>113396</v>
      </c>
      <c r="F13" s="1655">
        <f>+'Flujo Redco USA'!P17</f>
        <v>113124</v>
      </c>
      <c r="G13" s="2297">
        <f>+'Flujo Redco BVI'!P17</f>
        <v>60572.400000000009</v>
      </c>
      <c r="H13" s="1011">
        <f>SUM(C13:G13)</f>
        <v>1085852.4843347638</v>
      </c>
      <c r="J13" s="969"/>
    </row>
    <row r="14" spans="2:11" ht="13" customHeight="1" thickBot="1">
      <c r="B14" s="1010" t="s">
        <v>9</v>
      </c>
      <c r="C14" s="2215">
        <f>+'Flujo Redco Chile'!P17</f>
        <v>387411.071888412</v>
      </c>
      <c r="D14" s="1210">
        <f>+'Flujo Redco Perú'!P18</f>
        <v>48883.85</v>
      </c>
      <c r="E14" s="1656">
        <f>+'Flujo Redco Brasil'!P19</f>
        <v>65549.399999999994</v>
      </c>
      <c r="F14" s="1656">
        <f>+'Flujo Redco USA'!P18</f>
        <v>5320</v>
      </c>
      <c r="G14" s="2297">
        <f>+'Flujo Redco BVI'!P18</f>
        <v>0</v>
      </c>
      <c r="H14" s="1013">
        <f>SUM(C14:G14)</f>
        <v>507164.321888412</v>
      </c>
      <c r="J14" s="969"/>
    </row>
    <row r="15" spans="2:11" ht="13" customHeight="1" thickBot="1">
      <c r="B15" s="1001" t="s">
        <v>11</v>
      </c>
      <c r="C15" s="1002">
        <f t="shared" ref="C15:H15" si="1">SUM(C12:C14)</f>
        <v>3084021.6888412018</v>
      </c>
      <c r="D15" s="1002">
        <f t="shared" si="1"/>
        <v>1025632.15</v>
      </c>
      <c r="E15" s="1002">
        <f t="shared" si="1"/>
        <v>300095.40000000002</v>
      </c>
      <c r="F15" s="1002">
        <f t="shared" si="1"/>
        <v>118444</v>
      </c>
      <c r="G15" s="1947">
        <f t="shared" si="1"/>
        <v>60572.400000000009</v>
      </c>
      <c r="H15" s="1003">
        <f t="shared" si="1"/>
        <v>4588765.6388412025</v>
      </c>
      <c r="I15" s="186"/>
      <c r="J15" s="107"/>
    </row>
    <row r="16" spans="2:11" ht="13" customHeight="1" thickBot="1">
      <c r="B16" s="996"/>
      <c r="C16" s="1016"/>
      <c r="D16" s="1016"/>
      <c r="E16" s="1016"/>
      <c r="F16" s="1016"/>
      <c r="G16" s="1016"/>
      <c r="H16" s="1016"/>
      <c r="J16" s="107"/>
    </row>
    <row r="17" spans="2:10" ht="13" customHeight="1" thickBot="1">
      <c r="B17" s="998" t="s">
        <v>601</v>
      </c>
      <c r="C17" s="1017"/>
      <c r="D17" s="1017"/>
      <c r="E17" s="1017"/>
      <c r="F17" s="1017"/>
      <c r="G17" s="1017"/>
      <c r="H17" s="1017"/>
      <c r="J17" s="1262"/>
    </row>
    <row r="18" spans="2:10" ht="13" customHeight="1">
      <c r="B18" s="1008" t="s">
        <v>614</v>
      </c>
      <c r="C18" s="1020">
        <f>+'Flujo Redco Chile'!P21</f>
        <v>316458.41523605149</v>
      </c>
      <c r="D18" s="1648">
        <f>'Flujo Redco Perú'!P24</f>
        <v>0</v>
      </c>
      <c r="E18" s="1648">
        <f>'Flujo Redco Brasil'!P23</f>
        <v>11382</v>
      </c>
      <c r="F18" s="1648">
        <f>'Flujo Redco USA'!P25</f>
        <v>0</v>
      </c>
      <c r="G18" s="1648">
        <f>'Flujo Redco BVI'!P25</f>
        <v>0</v>
      </c>
      <c r="H18" s="1020">
        <f>SUM(C18:G18)</f>
        <v>327840.41523605149</v>
      </c>
      <c r="I18" s="186"/>
    </row>
    <row r="19" spans="2:10" ht="13" customHeight="1" thickBot="1">
      <c r="B19" s="1212" t="s">
        <v>13</v>
      </c>
      <c r="C19" s="2215">
        <f>+'Flujo Redco Chile'!P22</f>
        <v>175824.410944206</v>
      </c>
      <c r="D19" s="1211">
        <f>'Flujo Redco Perú'!P25</f>
        <v>130958</v>
      </c>
      <c r="E19" s="1211">
        <f>'Flujo Redco Brasil'!P24</f>
        <v>52368</v>
      </c>
      <c r="F19" s="1656">
        <f>'Flujo Redco USA'!P26</f>
        <v>16098</v>
      </c>
      <c r="G19" s="1670">
        <f>'Flujo Redco BVI'!P26</f>
        <v>0</v>
      </c>
      <c r="H19" s="1013">
        <f>SUM(C19:G19)</f>
        <v>375248.410944206</v>
      </c>
    </row>
    <row r="20" spans="2:10" ht="13" customHeight="1" thickBot="1">
      <c r="B20" s="1001" t="s">
        <v>613</v>
      </c>
      <c r="C20" s="1002">
        <f t="shared" ref="C20:H20" si="2">SUM(C18:C19)</f>
        <v>492282.82618025749</v>
      </c>
      <c r="D20" s="1002">
        <f t="shared" si="2"/>
        <v>130958</v>
      </c>
      <c r="E20" s="1002">
        <f t="shared" si="2"/>
        <v>63750</v>
      </c>
      <c r="F20" s="1002">
        <f t="shared" si="2"/>
        <v>16098</v>
      </c>
      <c r="G20" s="1002">
        <f t="shared" si="2"/>
        <v>0</v>
      </c>
      <c r="H20" s="1015">
        <f t="shared" si="2"/>
        <v>703088.82618025749</v>
      </c>
      <c r="I20" s="186"/>
      <c r="J20" s="1224"/>
    </row>
    <row r="21" spans="2:10" ht="13" customHeight="1" thickBot="1">
      <c r="B21" s="996"/>
      <c r="C21" s="1017"/>
      <c r="D21" s="1017"/>
      <c r="E21" s="1017"/>
      <c r="F21" s="1017"/>
      <c r="G21" s="1017"/>
      <c r="H21" s="1017"/>
    </row>
    <row r="22" spans="2:10" ht="13" customHeight="1" thickBot="1">
      <c r="B22" s="1040" t="s">
        <v>1030</v>
      </c>
      <c r="C22" s="1024">
        <f>+'Flujo Redco Chile'!P25</f>
        <v>22053.684549356221</v>
      </c>
      <c r="D22" s="1024">
        <f>+'Flujo Redco Perú'!P28</f>
        <v>93840</v>
      </c>
      <c r="E22" s="1024">
        <f>+'Flujo Redco Brasil'!P27</f>
        <v>2851</v>
      </c>
      <c r="F22" s="1024">
        <f>+'Flujo Redco USA'!P29</f>
        <v>0</v>
      </c>
      <c r="G22" s="1671">
        <f>+'Flujo Redco BVI'!P29</f>
        <v>16000</v>
      </c>
      <c r="H22" s="1055">
        <f>SUM(C22:G22)</f>
        <v>134744.68454935623</v>
      </c>
      <c r="I22" s="186"/>
    </row>
    <row r="23" spans="2:10" ht="13" customHeight="1" thickBot="1">
      <c r="B23" s="996"/>
      <c r="C23" s="1017"/>
      <c r="D23" s="1017"/>
      <c r="E23" s="1017"/>
      <c r="F23" s="1017"/>
      <c r="G23" s="1017"/>
      <c r="H23" s="1017"/>
    </row>
    <row r="24" spans="2:10" ht="13" customHeight="1" thickBot="1">
      <c r="B24" s="1213" t="s">
        <v>1262</v>
      </c>
      <c r="C24" s="1774">
        <f t="shared" ref="C24:H24" si="3">SUM(C9-C15-C20-C22)</f>
        <v>-586494.21030042926</v>
      </c>
      <c r="D24" s="1214">
        <f>SUM(D9-D15-D20-D22)</f>
        <v>535931.85</v>
      </c>
      <c r="E24" s="1214">
        <f t="shared" si="3"/>
        <v>441614.29999999993</v>
      </c>
      <c r="F24" s="1214">
        <f t="shared" si="3"/>
        <v>846988.21</v>
      </c>
      <c r="G24" s="1214">
        <f>SUM(G9-G15-G20-G22)</f>
        <v>262156.59999999998</v>
      </c>
      <c r="H24" s="1214">
        <f t="shared" si="3"/>
        <v>1500196.7496995702</v>
      </c>
      <c r="I24" s="108"/>
    </row>
    <row r="25" spans="2:10" ht="13" customHeight="1" thickBot="1">
      <c r="B25" s="996"/>
      <c r="C25" s="1026"/>
      <c r="D25" s="1026"/>
      <c r="E25" s="1026"/>
      <c r="F25" s="1026"/>
      <c r="G25" s="1026"/>
      <c r="H25" s="1026"/>
    </row>
    <row r="26" spans="2:10" ht="13" customHeight="1" thickBot="1">
      <c r="B26" s="998" t="s">
        <v>5</v>
      </c>
      <c r="C26" s="1268" t="s">
        <v>599</v>
      </c>
      <c r="D26" s="1268" t="s">
        <v>788</v>
      </c>
      <c r="E26" s="1269" t="s">
        <v>789</v>
      </c>
      <c r="F26" s="1268" t="s">
        <v>790</v>
      </c>
      <c r="G26" s="1269" t="s">
        <v>1388</v>
      </c>
      <c r="H26" s="1268" t="s">
        <v>761</v>
      </c>
    </row>
    <row r="27" spans="2:10" ht="13" customHeight="1">
      <c r="B27" s="1677" t="s">
        <v>623</v>
      </c>
      <c r="C27" s="1779">
        <f>+'Flujo Redco Chile'!P31</f>
        <v>609875.53218884114</v>
      </c>
      <c r="D27" s="1679">
        <f>+'Flujo Redco Perú'!P35</f>
        <v>321090</v>
      </c>
      <c r="E27" s="1678">
        <v>0</v>
      </c>
      <c r="F27" s="1678">
        <v>0</v>
      </c>
      <c r="G27" s="1678">
        <v>0</v>
      </c>
      <c r="H27" s="1678">
        <f>SUM(C27:G27)</f>
        <v>930965.53218884114</v>
      </c>
      <c r="I27" s="186"/>
    </row>
    <row r="28" spans="2:10" ht="13" customHeight="1">
      <c r="B28" s="1680" t="s">
        <v>791</v>
      </c>
      <c r="C28" s="1781">
        <f>+'Flujo Redco Chile'!P32+'Flujo Redco Chile'!P35+'Flujo Redco Chile'!P36+'Flujo Redco Chile'!P37</f>
        <v>1094638.0783261803</v>
      </c>
      <c r="D28" s="1681">
        <f>+'Flujo Redco Perú'!P36</f>
        <v>51893</v>
      </c>
      <c r="E28" s="1681">
        <v>0</v>
      </c>
      <c r="F28" s="1115">
        <v>0</v>
      </c>
      <c r="G28" s="1115">
        <v>0</v>
      </c>
      <c r="H28" s="1681">
        <f>SUM(C28:G28)</f>
        <v>1146531.0783261803</v>
      </c>
      <c r="I28" s="186"/>
    </row>
    <row r="29" spans="2:10" ht="13" customHeight="1">
      <c r="B29" s="1680" t="s">
        <v>758</v>
      </c>
      <c r="C29" s="1781">
        <f>+'Flujo Redco Chile'!P38</f>
        <v>21714.461373390557</v>
      </c>
      <c r="D29" s="1681"/>
      <c r="E29" s="1681">
        <v>0</v>
      </c>
      <c r="F29" s="1115">
        <v>0</v>
      </c>
      <c r="G29" s="1115">
        <v>0</v>
      </c>
      <c r="H29" s="1681">
        <f>SUM(C29:G29)</f>
        <v>21714.461373390557</v>
      </c>
      <c r="I29" s="186"/>
    </row>
    <row r="30" spans="2:10" ht="13" customHeight="1" thickBot="1">
      <c r="B30" s="1682" t="s">
        <v>1807</v>
      </c>
      <c r="C30" s="1781">
        <f>+'Flujo Redco Chile'!P39+'Flujo Redco Chile'!P40+'Flujo Redco Chile'!P34</f>
        <v>271670.27575107291</v>
      </c>
      <c r="D30" s="1684"/>
      <c r="E30" s="1684">
        <f>+'Flujo Redco Brasil'!P34</f>
        <v>8277</v>
      </c>
      <c r="F30" s="1683">
        <f>+'Flujo Redco USA'!P38</f>
        <v>0</v>
      </c>
      <c r="G30" s="1685">
        <f>+'Flujo Redco BVI'!P38</f>
        <v>415568</v>
      </c>
      <c r="H30" s="1684">
        <f>SUM(C30:G30)</f>
        <v>695515.27575107291</v>
      </c>
      <c r="I30" s="186"/>
    </row>
    <row r="31" spans="2:10" ht="13" customHeight="1" thickBot="1">
      <c r="B31" s="1031" t="s">
        <v>5</v>
      </c>
      <c r="C31" s="1032">
        <f t="shared" ref="C31:H31" si="4">SUM(C27:C30)</f>
        <v>1997898.347639485</v>
      </c>
      <c r="D31" s="1032">
        <f t="shared" si="4"/>
        <v>372983</v>
      </c>
      <c r="E31" s="1032">
        <f t="shared" si="4"/>
        <v>8277</v>
      </c>
      <c r="F31" s="1032">
        <f t="shared" si="4"/>
        <v>0</v>
      </c>
      <c r="G31" s="1032">
        <f t="shared" si="4"/>
        <v>415568</v>
      </c>
      <c r="H31" s="1032">
        <f t="shared" si="4"/>
        <v>2794726.3476394848</v>
      </c>
      <c r="I31" s="108"/>
      <c r="J31"/>
    </row>
    <row r="32" spans="2:10" ht="13" customHeight="1" thickBot="1">
      <c r="B32" s="996"/>
      <c r="C32" s="1026"/>
      <c r="D32" s="1026"/>
      <c r="E32" s="1026"/>
      <c r="F32" s="1026"/>
      <c r="G32" s="1026"/>
      <c r="H32" s="1026"/>
    </row>
    <row r="33" spans="2:11" ht="13" customHeight="1" thickBot="1">
      <c r="B33" s="1001" t="s">
        <v>616</v>
      </c>
      <c r="C33" s="1026"/>
      <c r="D33" s="1026"/>
      <c r="E33" s="1026"/>
      <c r="F33" s="1026"/>
      <c r="G33" s="1026"/>
      <c r="H33" s="1026"/>
      <c r="J33" s="1223"/>
    </row>
    <row r="34" spans="2:11" ht="13" customHeight="1">
      <c r="B34" s="1008" t="s">
        <v>15</v>
      </c>
      <c r="C34" s="1686">
        <f>+'Flujo Redco Chile'!P44</f>
        <v>371769.35300429189</v>
      </c>
      <c r="D34" s="1687">
        <f>+'Flujo Redco Perú'!P44</f>
        <v>300771</v>
      </c>
      <c r="E34" s="1686">
        <f>+'Flujo Redco Brasil'!P37</f>
        <v>153482</v>
      </c>
      <c r="F34" s="1686">
        <f>+'Flujo Redco USA'!P41</f>
        <v>0</v>
      </c>
      <c r="G34" s="1688">
        <f>+'Flujo Redco BVI'!P41</f>
        <v>0</v>
      </c>
      <c r="H34" s="1689">
        <f>SUM(C34:G34)</f>
        <v>826022.35300429189</v>
      </c>
      <c r="J34" s="186"/>
    </row>
    <row r="35" spans="2:11" ht="13" customHeight="1" thickBot="1">
      <c r="B35" s="1690" t="s">
        <v>792</v>
      </c>
      <c r="C35" s="1691">
        <f>+'Flujo Redco Chile'!P45+'Flujo Redco Chile'!P46+'Flujo Redco Chile'!P47</f>
        <v>281407.59442060086</v>
      </c>
      <c r="D35" s="1691">
        <f>+SUM('Flujo Redco Perú'!P45:P47)</f>
        <v>0</v>
      </c>
      <c r="E35" s="1691"/>
      <c r="F35" s="1691"/>
      <c r="G35" s="1692"/>
      <c r="H35" s="1693">
        <f>SUM(C35:G35)</f>
        <v>281407.59442060086</v>
      </c>
      <c r="I35" s="1270"/>
      <c r="J35" s="186"/>
    </row>
    <row r="36" spans="2:11" ht="13" hidden="1" customHeight="1" thickBot="1">
      <c r="B36" s="1033" t="s">
        <v>883</v>
      </c>
      <c r="C36" s="1215">
        <f>SUM('Flujo Redco Chile'!F48)</f>
        <v>0</v>
      </c>
      <c r="D36" s="1215"/>
      <c r="E36" s="1215"/>
      <c r="F36" s="1215"/>
      <c r="G36" s="1672"/>
      <c r="H36" s="1516">
        <f>SUM(C36:F36)</f>
        <v>0</v>
      </c>
    </row>
    <row r="37" spans="2:11" ht="13" customHeight="1" thickBot="1">
      <c r="B37" s="1216" t="s">
        <v>631</v>
      </c>
      <c r="C37" s="1024">
        <f>SUM(C34:C36)</f>
        <v>653176.9474248928</v>
      </c>
      <c r="D37" s="1024">
        <f>SUM(D34:D35)</f>
        <v>300771</v>
      </c>
      <c r="E37" s="1024">
        <f>SUM(E34:E35)</f>
        <v>153482</v>
      </c>
      <c r="F37" s="1657">
        <f>SUM(F34:F35)</f>
        <v>0</v>
      </c>
      <c r="G37" s="1657">
        <f>SUM(G34:G35)</f>
        <v>0</v>
      </c>
      <c r="H37" s="1649">
        <f>SUM(H34:H36)</f>
        <v>1107429.9474248928</v>
      </c>
      <c r="I37" s="109"/>
    </row>
    <row r="38" spans="2:11" ht="13" customHeight="1" thickBot="1">
      <c r="B38" s="985"/>
      <c r="C38" s="987"/>
      <c r="D38" s="987"/>
      <c r="E38" s="987"/>
      <c r="F38" s="985"/>
      <c r="G38" s="985"/>
      <c r="H38" s="985"/>
      <c r="I38" s="109"/>
    </row>
    <row r="39" spans="2:11" ht="13" customHeight="1" thickBot="1">
      <c r="B39" s="1216" t="s">
        <v>617</v>
      </c>
      <c r="C39" s="1024">
        <f>+'Flujo Redco Chile'!P58</f>
        <v>609092.87124463532</v>
      </c>
      <c r="D39" s="1024">
        <f>+'Flujo Redco Perú'!P54</f>
        <v>528152</v>
      </c>
      <c r="E39" s="1024">
        <f>+'Flujo Redco Brasil'!P43</f>
        <v>133710</v>
      </c>
      <c r="F39" s="1024">
        <f>+'Flujo Redco USA'!P47</f>
        <v>281858</v>
      </c>
      <c r="G39" s="1024">
        <f>+'Flujo Redco BVI'!P47</f>
        <v>0</v>
      </c>
      <c r="H39" s="1207">
        <f>SUM(C39:G39)</f>
        <v>1552812.8712446354</v>
      </c>
      <c r="I39" s="109"/>
    </row>
    <row r="40" spans="2:11" ht="13" customHeight="1" thickBot="1">
      <c r="B40" s="1038"/>
      <c r="C40" s="1039"/>
      <c r="D40" s="1039"/>
      <c r="E40" s="1039"/>
      <c r="F40" s="1039"/>
      <c r="G40" s="1673"/>
      <c r="H40" s="1039"/>
      <c r="I40" s="1267"/>
    </row>
    <row r="41" spans="2:11" ht="13" customHeight="1" thickBot="1">
      <c r="B41" s="1258" t="s">
        <v>612</v>
      </c>
      <c r="C41" s="1259">
        <f t="shared" ref="C41:H41" si="5">SUM(C31-C37-C39)</f>
        <v>735628.52896995691</v>
      </c>
      <c r="D41" s="1259">
        <f>SUM(D31-D37-D39)</f>
        <v>-455940</v>
      </c>
      <c r="E41" s="1772">
        <f>SUM(E31-E37-E39)</f>
        <v>-278915</v>
      </c>
      <c r="F41" s="1772">
        <f t="shared" si="5"/>
        <v>-281858</v>
      </c>
      <c r="G41" s="1259">
        <f t="shared" si="5"/>
        <v>415568</v>
      </c>
      <c r="H41" s="1773">
        <f t="shared" si="5"/>
        <v>134483.52896995656</v>
      </c>
      <c r="I41" s="108"/>
    </row>
    <row r="42" spans="2:11" ht="13" customHeight="1" thickBot="1">
      <c r="B42" s="1038"/>
      <c r="C42" s="1039"/>
      <c r="D42" s="1039"/>
      <c r="E42" s="1039"/>
      <c r="F42" s="1039"/>
      <c r="G42" s="1673"/>
      <c r="H42" s="1039"/>
      <c r="I42" s="108"/>
    </row>
    <row r="43" spans="2:11" ht="13" customHeight="1" thickBot="1">
      <c r="B43" s="994" t="s">
        <v>1809</v>
      </c>
      <c r="C43" s="1037">
        <f t="shared" ref="C43:G43" si="6">SUM(C24+C41)</f>
        <v>149134.31866952765</v>
      </c>
      <c r="D43" s="1037">
        <f>SUM(D24+D41)</f>
        <v>79991.849999999977</v>
      </c>
      <c r="E43" s="1037">
        <f>SUM(E24+E41)</f>
        <v>162699.29999999993</v>
      </c>
      <c r="F43" s="1037">
        <f t="shared" si="6"/>
        <v>565130.21</v>
      </c>
      <c r="G43" s="1037">
        <f t="shared" si="6"/>
        <v>677724.6</v>
      </c>
      <c r="H43" s="1037">
        <f>SUM(H24+H41)</f>
        <v>1634680.2786695268</v>
      </c>
      <c r="I43" s="108"/>
    </row>
    <row r="44" spans="2:11" ht="13" customHeight="1" thickBot="1">
      <c r="B44" s="994" t="s">
        <v>1033</v>
      </c>
      <c r="C44" s="1037">
        <f>+'Flujo Redco Chile'!C8</f>
        <v>52257.137339055793</v>
      </c>
      <c r="D44" s="1218">
        <f>+'Flujo Redco Perú'!C9</f>
        <v>136767.69351264619</v>
      </c>
      <c r="E44" s="1037">
        <f>+'Flujo Redco Brasil'!C9</f>
        <v>9622.33</v>
      </c>
      <c r="F44" s="1037">
        <f>+'Flujo Redco USA'!C9</f>
        <v>55345</v>
      </c>
      <c r="G44" s="1674">
        <f>+'Flujo Redco BVI'!C9</f>
        <v>0</v>
      </c>
      <c r="H44" s="1037">
        <f>+C44+D44+E44+F44</f>
        <v>253992.16085170198</v>
      </c>
      <c r="I44" s="108"/>
    </row>
    <row r="45" spans="2:11" ht="13" customHeight="1" thickBot="1">
      <c r="B45" s="1216" t="s">
        <v>1808</v>
      </c>
      <c r="C45" s="1024">
        <f t="shared" ref="C45:G45" si="7">SUM(C43:C44)</f>
        <v>201391.45600858345</v>
      </c>
      <c r="D45" s="1024">
        <f>SUM(D43:D44)</f>
        <v>216759.54351264617</v>
      </c>
      <c r="E45" s="1024">
        <f t="shared" si="7"/>
        <v>172321.62999999992</v>
      </c>
      <c r="F45" s="1024">
        <f t="shared" si="7"/>
        <v>620475.21</v>
      </c>
      <c r="G45" s="1024">
        <f t="shared" si="7"/>
        <v>677724.6</v>
      </c>
      <c r="H45" s="1217">
        <f>SUM(H43:H44)-1</f>
        <v>1888671.4395212289</v>
      </c>
      <c r="I45" s="108"/>
    </row>
    <row r="46" spans="2:11" ht="13" customHeight="1">
      <c r="B46" s="985"/>
      <c r="C46" s="991">
        <f>+'Flujo Redco Chile'!P62</f>
        <v>201391.45600858345</v>
      </c>
      <c r="D46" s="991">
        <f>+'Flujo Redco Perú'!P58</f>
        <v>216759.54351264617</v>
      </c>
      <c r="E46" s="991">
        <f>+'Flujo Redco Brasil'!K276</f>
        <v>179973.63</v>
      </c>
      <c r="F46" s="991">
        <f>+'Flujo Redco USA'!P51</f>
        <v>620475.21</v>
      </c>
      <c r="G46" s="991">
        <f>+'Flujo Redco BVI'!P51</f>
        <v>677724.6</v>
      </c>
      <c r="H46" s="991" t="e">
        <f>+'Flujo Consolidado por mes'!L48</f>
        <v>#REF!</v>
      </c>
    </row>
    <row r="47" spans="2:11" ht="13" customHeight="1">
      <c r="B47" s="985"/>
      <c r="C47" s="108"/>
      <c r="D47" s="108"/>
      <c r="E47" s="108"/>
      <c r="H47" s="108"/>
    </row>
    <row r="48" spans="2:11" ht="13" customHeight="1">
      <c r="C48" s="108"/>
      <c r="D48" s="108"/>
      <c r="E48" s="108"/>
      <c r="F48" s="108"/>
      <c r="G48" s="108"/>
      <c r="H48" s="108"/>
      <c r="J48" s="977"/>
      <c r="K48" s="108"/>
    </row>
    <row r="49" spans="2:10" ht="13" customHeight="1">
      <c r="C49" s="162"/>
      <c r="D49" s="162"/>
      <c r="E49" s="162"/>
      <c r="F49" s="162"/>
      <c r="G49" s="162"/>
      <c r="H49" s="108"/>
    </row>
    <row r="50" spans="2:10" ht="13" customHeight="1">
      <c r="B50" s="105"/>
      <c r="C50" s="140"/>
      <c r="D50" s="140"/>
      <c r="E50" s="140"/>
      <c r="F50" s="140"/>
      <c r="G50" s="140"/>
      <c r="H50" s="108"/>
    </row>
    <row r="51" spans="2:10" ht="13" customHeight="1">
      <c r="C51" s="108"/>
      <c r="D51" s="108"/>
      <c r="E51" s="108"/>
      <c r="F51" s="108"/>
      <c r="G51" s="108"/>
      <c r="H51" s="108"/>
    </row>
    <row r="52" spans="2:10" ht="13" customHeight="1">
      <c r="C52" s="140"/>
      <c r="D52" s="140"/>
      <c r="E52" s="140"/>
      <c r="F52" s="108"/>
      <c r="G52" s="108"/>
      <c r="H52" s="140"/>
    </row>
    <row r="53" spans="2:10" ht="13" customHeight="1">
      <c r="C53" s="108"/>
    </row>
    <row r="54" spans="2:10" ht="13" customHeight="1">
      <c r="J54" s="140"/>
    </row>
    <row r="56" spans="2:10" ht="13" customHeight="1">
      <c r="J56" s="162"/>
    </row>
  </sheetData>
  <mergeCells count="2">
    <mergeCell ref="B3:H3"/>
    <mergeCell ref="C5:F5"/>
  </mergeCells>
  <pageMargins left="0.7" right="0.7" top="0.75" bottom="0.75" header="0.3" footer="0.3"/>
  <pageSetup scale="93" orientation="portrait" horizontalDpi="4294967295" verticalDpi="4294967295" r:id="rId1"/>
  <colBreaks count="1" manualBreakCount="1">
    <brk id="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E24E-3200-4950-B5AF-9A6DCEC1A1C1}">
  <sheetPr codeName="Hoja11"/>
  <dimension ref="A1:S1605"/>
  <sheetViews>
    <sheetView showGridLines="0" zoomScale="80" zoomScaleNormal="80" workbookViewId="0">
      <selection activeCell="A4" sqref="A4"/>
    </sheetView>
  </sheetViews>
  <sheetFormatPr baseColWidth="10" defaultColWidth="11.5" defaultRowHeight="13"/>
  <cols>
    <col min="1" max="1" width="16.5" style="1845" bestFit="1" customWidth="1"/>
    <col min="2" max="2" width="19.1640625" style="1845" bestFit="1" customWidth="1"/>
    <col min="3" max="14" width="15.6640625" style="1845" bestFit="1" customWidth="1"/>
    <col min="15" max="15" width="11.6640625" style="1845" bestFit="1" customWidth="1"/>
    <col min="16" max="16" width="11.5" style="1845"/>
    <col min="17" max="17" width="12.5" style="1845" bestFit="1" customWidth="1"/>
    <col min="18" max="16384" width="11.5" style="1845"/>
  </cols>
  <sheetData>
    <row r="1" spans="1:17">
      <c r="A1" s="2494" t="s">
        <v>1335</v>
      </c>
      <c r="B1" s="2495" t="s">
        <v>1337</v>
      </c>
    </row>
    <row r="3" spans="1:17">
      <c r="A3" s="2494" t="s">
        <v>1481</v>
      </c>
      <c r="B3" s="2495"/>
      <c r="C3" s="2494" t="s">
        <v>1482</v>
      </c>
      <c r="D3" s="2495"/>
      <c r="E3" s="2495"/>
      <c r="F3" s="2495"/>
      <c r="G3" s="2495"/>
      <c r="H3" s="2495"/>
      <c r="I3" s="2495"/>
      <c r="J3" s="2495"/>
      <c r="K3" s="2495"/>
      <c r="L3" s="2495"/>
      <c r="M3" s="2495"/>
      <c r="N3" s="2495"/>
      <c r="O3" s="2495"/>
    </row>
    <row r="4" spans="1:17">
      <c r="A4" s="2494" t="s">
        <v>1483</v>
      </c>
      <c r="B4" s="2494" t="s">
        <v>1484</v>
      </c>
      <c r="C4" s="2495" t="s">
        <v>1475</v>
      </c>
      <c r="D4" s="2495" t="s">
        <v>1476</v>
      </c>
      <c r="E4" s="2495" t="s">
        <v>1477</v>
      </c>
      <c r="F4" s="2495" t="s">
        <v>1478</v>
      </c>
      <c r="G4" s="2495" t="s">
        <v>1479</v>
      </c>
      <c r="H4" s="2495" t="s">
        <v>1480</v>
      </c>
      <c r="I4" s="2495" t="s">
        <v>1532</v>
      </c>
      <c r="J4" s="2495" t="s">
        <v>1811</v>
      </c>
      <c r="K4" s="2495" t="s">
        <v>1812</v>
      </c>
      <c r="L4" s="2495" t="s">
        <v>1864</v>
      </c>
      <c r="M4" s="2495" t="s">
        <v>1902</v>
      </c>
      <c r="N4" s="2495" t="s">
        <v>1929</v>
      </c>
      <c r="O4" s="2495" t="s">
        <v>1474</v>
      </c>
    </row>
    <row r="5" spans="1:17">
      <c r="A5" s="2498" t="s">
        <v>1462</v>
      </c>
      <c r="B5" s="2495"/>
      <c r="C5" s="2497">
        <v>56167</v>
      </c>
      <c r="D5" s="2497">
        <v>68951</v>
      </c>
      <c r="E5" s="2497">
        <v>65846</v>
      </c>
      <c r="F5" s="2497">
        <v>74395.3</v>
      </c>
      <c r="G5" s="2497">
        <v>80078</v>
      </c>
      <c r="H5" s="2497">
        <v>83448</v>
      </c>
      <c r="I5" s="2497">
        <v>110998</v>
      </c>
      <c r="J5" s="2497">
        <v>103781</v>
      </c>
      <c r="K5" s="2497">
        <v>65332</v>
      </c>
      <c r="L5" s="2497">
        <v>51905</v>
      </c>
      <c r="M5" s="2497">
        <v>108888.64</v>
      </c>
      <c r="N5" s="2497">
        <v>176448</v>
      </c>
      <c r="O5" s="2497">
        <v>1046237.9400000001</v>
      </c>
      <c r="P5" s="2334" t="e">
        <f>+O5/$O$11</f>
        <v>#DIV/0!</v>
      </c>
      <c r="Q5" s="1846"/>
    </row>
    <row r="6" spans="1:17">
      <c r="A6" s="2498" t="s">
        <v>1463</v>
      </c>
      <c r="B6" s="2495"/>
      <c r="C6" s="2496">
        <v>2656</v>
      </c>
      <c r="D6" s="2496">
        <v>700</v>
      </c>
      <c r="E6" s="2496">
        <v>0</v>
      </c>
      <c r="F6" s="2496">
        <v>27486</v>
      </c>
      <c r="G6" s="2496">
        <v>21514</v>
      </c>
      <c r="H6" s="2496">
        <v>54577</v>
      </c>
      <c r="I6" s="2496">
        <v>64701</v>
      </c>
      <c r="J6" s="2496">
        <v>72469</v>
      </c>
      <c r="K6" s="2496">
        <v>23649</v>
      </c>
      <c r="L6" s="2496">
        <v>14178</v>
      </c>
      <c r="M6" s="2496">
        <v>1442</v>
      </c>
      <c r="N6" s="2496">
        <v>14814</v>
      </c>
      <c r="O6" s="2496">
        <v>298186</v>
      </c>
      <c r="P6" s="2334" t="e">
        <f t="shared" ref="P6:P10" si="0">+O6/$O$11</f>
        <v>#DIV/0!</v>
      </c>
      <c r="Q6" s="1846"/>
    </row>
    <row r="7" spans="1:17">
      <c r="A7" s="2495" t="s">
        <v>1465</v>
      </c>
      <c r="B7" s="2495"/>
      <c r="C7" s="2496">
        <v>17654.849999999999</v>
      </c>
      <c r="D7" s="2496">
        <v>6859</v>
      </c>
      <c r="E7" s="2496">
        <v>13939</v>
      </c>
      <c r="F7" s="2496">
        <v>15401</v>
      </c>
      <c r="G7" s="2496">
        <v>12265</v>
      </c>
      <c r="H7" s="2496">
        <v>15122</v>
      </c>
      <c r="I7" s="2496">
        <v>10676</v>
      </c>
      <c r="J7" s="2496">
        <v>31713</v>
      </c>
      <c r="K7" s="2496">
        <v>23787</v>
      </c>
      <c r="L7" s="2496">
        <v>22073</v>
      </c>
      <c r="M7" s="2496">
        <v>8692</v>
      </c>
      <c r="N7" s="2496">
        <v>14389</v>
      </c>
      <c r="O7" s="2496">
        <v>192570.85</v>
      </c>
      <c r="P7" s="2334" t="e">
        <f t="shared" si="0"/>
        <v>#DIV/0!</v>
      </c>
      <c r="Q7" s="1846"/>
    </row>
    <row r="8" spans="1:17">
      <c r="A8" s="2532" t="s">
        <v>490</v>
      </c>
      <c r="B8" s="2495"/>
      <c r="C8" s="2496">
        <v>9720</v>
      </c>
      <c r="D8" s="2496">
        <v>2711</v>
      </c>
      <c r="E8" s="2496">
        <v>9675</v>
      </c>
      <c r="F8" s="2496">
        <v>17383</v>
      </c>
      <c r="G8" s="2496">
        <v>11056</v>
      </c>
      <c r="H8" s="2496">
        <v>8453</v>
      </c>
      <c r="I8" s="2496">
        <v>7808</v>
      </c>
      <c r="J8" s="2496">
        <v>6464</v>
      </c>
      <c r="K8" s="2496">
        <v>9114</v>
      </c>
      <c r="L8" s="2496">
        <v>13294</v>
      </c>
      <c r="M8" s="2496">
        <v>13325</v>
      </c>
      <c r="N8" s="2496">
        <v>21627</v>
      </c>
      <c r="O8" s="2496">
        <v>130630</v>
      </c>
      <c r="P8" s="2334" t="e">
        <f t="shared" si="0"/>
        <v>#DIV/0!</v>
      </c>
      <c r="Q8" s="1846"/>
    </row>
    <row r="9" spans="1:17">
      <c r="A9" s="2495" t="s">
        <v>1487</v>
      </c>
      <c r="B9" s="2495"/>
      <c r="C9" s="2496">
        <v>3265</v>
      </c>
      <c r="D9" s="2496">
        <v>2376</v>
      </c>
      <c r="E9" s="2496">
        <v>3295</v>
      </c>
      <c r="F9" s="2496">
        <v>3007</v>
      </c>
      <c r="G9" s="2496">
        <v>4011</v>
      </c>
      <c r="H9" s="2496">
        <v>6395</v>
      </c>
      <c r="I9" s="2496">
        <v>5172</v>
      </c>
      <c r="J9" s="2496">
        <v>11145</v>
      </c>
      <c r="K9" s="2496">
        <v>5215</v>
      </c>
      <c r="L9" s="2496">
        <v>6724</v>
      </c>
      <c r="M9" s="2496">
        <v>6790</v>
      </c>
      <c r="N9" s="2496">
        <v>6843</v>
      </c>
      <c r="O9" s="2496">
        <v>64238</v>
      </c>
      <c r="P9" s="2334" t="e">
        <f t="shared" si="0"/>
        <v>#DIV/0!</v>
      </c>
      <c r="Q9" s="1846"/>
    </row>
    <row r="10" spans="1:17">
      <c r="A10" s="2495" t="s">
        <v>1474</v>
      </c>
      <c r="B10" s="2495"/>
      <c r="C10" s="2496">
        <v>89462.85</v>
      </c>
      <c r="D10" s="2496">
        <v>81597</v>
      </c>
      <c r="E10" s="2496">
        <v>92755</v>
      </c>
      <c r="F10" s="2496">
        <v>137672.29999999999</v>
      </c>
      <c r="G10" s="2496">
        <v>128924</v>
      </c>
      <c r="H10" s="2496">
        <v>167995</v>
      </c>
      <c r="I10" s="2496">
        <v>199355</v>
      </c>
      <c r="J10" s="2496">
        <v>225572</v>
      </c>
      <c r="K10" s="2496">
        <v>127097</v>
      </c>
      <c r="L10" s="2496">
        <v>108174</v>
      </c>
      <c r="M10" s="2496">
        <v>139137.64000000001</v>
      </c>
      <c r="N10" s="2496">
        <v>234121</v>
      </c>
      <c r="O10" s="2496">
        <v>1731862.79</v>
      </c>
      <c r="P10" s="2334" t="e">
        <f t="shared" si="0"/>
        <v>#DIV/0!</v>
      </c>
      <c r="Q10" s="1846"/>
    </row>
    <row r="11" spans="1:17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7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7">
      <c r="A14" s="2494" t="s">
        <v>1335</v>
      </c>
      <c r="B14" s="2495" t="s">
        <v>1867</v>
      </c>
      <c r="O14" s="2334"/>
    </row>
    <row r="16" spans="1:17" ht="15">
      <c r="A16" s="2494" t="s">
        <v>1481</v>
      </c>
      <c r="B16" s="2495"/>
      <c r="C16" s="2494" t="s">
        <v>1482</v>
      </c>
      <c r="D16"/>
      <c r="E16"/>
      <c r="F16"/>
      <c r="G16"/>
      <c r="H16"/>
      <c r="I16"/>
      <c r="J16"/>
      <c r="K16"/>
      <c r="L16"/>
      <c r="M16"/>
      <c r="N16"/>
      <c r="O16"/>
    </row>
    <row r="17" spans="1:19" ht="15">
      <c r="A17" s="2494" t="s">
        <v>1483</v>
      </c>
      <c r="B17" s="2494" t="s">
        <v>1484</v>
      </c>
      <c r="C17" s="2495" t="s">
        <v>1474</v>
      </c>
      <c r="D17"/>
      <c r="E17"/>
      <c r="F17"/>
      <c r="G17"/>
      <c r="H17"/>
      <c r="I17"/>
      <c r="J17"/>
      <c r="K17"/>
      <c r="L17"/>
      <c r="M17"/>
      <c r="N17"/>
      <c r="O17"/>
    </row>
    <row r="18" spans="1:19" ht="15">
      <c r="A18" s="2495" t="s">
        <v>1474</v>
      </c>
      <c r="B18" s="2495"/>
      <c r="C18" s="2496"/>
      <c r="D18"/>
      <c r="E18"/>
      <c r="F18"/>
      <c r="G18"/>
      <c r="H18"/>
      <c r="I18"/>
      <c r="J18"/>
      <c r="K18"/>
      <c r="L18"/>
      <c r="M18"/>
      <c r="N18"/>
      <c r="O18"/>
    </row>
    <row r="19" spans="1: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9" ht="15">
      <c r="A20"/>
      <c r="B20"/>
      <c r="C20" s="79">
        <f>C13+C18</f>
        <v>0</v>
      </c>
      <c r="D20" s="79">
        <f t="shared" ref="D20:O20" si="1">D13+D18</f>
        <v>0</v>
      </c>
      <c r="E20" s="79">
        <f t="shared" si="1"/>
        <v>0</v>
      </c>
      <c r="F20" s="79">
        <f t="shared" si="1"/>
        <v>0</v>
      </c>
      <c r="G20" s="79">
        <f t="shared" si="1"/>
        <v>0</v>
      </c>
      <c r="H20" s="79">
        <f t="shared" si="1"/>
        <v>0</v>
      </c>
      <c r="I20" s="79">
        <f t="shared" si="1"/>
        <v>0</v>
      </c>
      <c r="J20" s="79">
        <f t="shared" si="1"/>
        <v>0</v>
      </c>
      <c r="K20" s="79">
        <f t="shared" si="1"/>
        <v>0</v>
      </c>
      <c r="L20" s="79">
        <f t="shared" si="1"/>
        <v>0</v>
      </c>
      <c r="M20" s="79">
        <f t="shared" si="1"/>
        <v>0</v>
      </c>
      <c r="N20" s="79">
        <f t="shared" si="1"/>
        <v>0</v>
      </c>
      <c r="O20" s="79">
        <f>O10+O18</f>
        <v>1731862.79</v>
      </c>
      <c r="P20" s="1846"/>
      <c r="Q20" s="1846"/>
      <c r="R20" s="1846"/>
      <c r="S20" s="2334"/>
    </row>
    <row r="21" spans="1:19" ht="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9" ht="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9">
      <c r="A23" s="1844" t="s">
        <v>1335</v>
      </c>
      <c r="B23" s="1845" t="s">
        <v>1485</v>
      </c>
    </row>
    <row r="24" spans="1:19">
      <c r="L24" s="1846"/>
    </row>
    <row r="25" spans="1:19">
      <c r="A25" s="1844" t="s">
        <v>1481</v>
      </c>
      <c r="C25" s="1844" t="s">
        <v>1482</v>
      </c>
    </row>
    <row r="26" spans="1:19">
      <c r="A26" s="1844" t="s">
        <v>1483</v>
      </c>
      <c r="B26" s="1844" t="s">
        <v>1484</v>
      </c>
      <c r="C26" s="1845" t="s">
        <v>1475</v>
      </c>
      <c r="D26" s="1845" t="s">
        <v>1476</v>
      </c>
      <c r="E26" s="1845" t="s">
        <v>1477</v>
      </c>
      <c r="F26" s="1845" t="s">
        <v>1478</v>
      </c>
      <c r="G26" s="1845" t="s">
        <v>1479</v>
      </c>
      <c r="H26" s="1845" t="s">
        <v>1480</v>
      </c>
      <c r="I26" s="1845" t="s">
        <v>1532</v>
      </c>
      <c r="J26" s="1845" t="s">
        <v>1811</v>
      </c>
      <c r="K26" s="1845" t="s">
        <v>1812</v>
      </c>
      <c r="L26" s="1845" t="s">
        <v>1864</v>
      </c>
      <c r="M26" s="1845" t="s">
        <v>1902</v>
      </c>
      <c r="N26" s="1845" t="s">
        <v>1929</v>
      </c>
      <c r="O26" s="1845" t="s">
        <v>1474</v>
      </c>
    </row>
    <row r="27" spans="1:19">
      <c r="A27" s="1845" t="s">
        <v>1466</v>
      </c>
      <c r="C27" s="1846">
        <v>45388.466799999995</v>
      </c>
      <c r="D27" s="1846">
        <v>118859.49250000001</v>
      </c>
      <c r="E27" s="1846">
        <v>91375.742500000008</v>
      </c>
      <c r="F27" s="1846">
        <v>209275.45920000001</v>
      </c>
      <c r="G27" s="1846">
        <v>450268.94749999995</v>
      </c>
      <c r="H27" s="1846">
        <v>33313.304700000001</v>
      </c>
      <c r="I27" s="1846">
        <v>66329.144899999999</v>
      </c>
      <c r="J27" s="1846">
        <v>479797.62229999999</v>
      </c>
      <c r="K27" s="1846">
        <v>58204.690900000001</v>
      </c>
      <c r="L27" s="1846">
        <v>265471.59659999999</v>
      </c>
      <c r="M27" s="1846">
        <v>428566.897</v>
      </c>
      <c r="N27" s="1846">
        <v>694247.4743</v>
      </c>
      <c r="O27" s="1846">
        <v>2941098.8391999998</v>
      </c>
    </row>
    <row r="28" spans="1:19">
      <c r="A28" s="1845" t="s">
        <v>1464</v>
      </c>
      <c r="C28" s="1846">
        <v>91430.333700000003</v>
      </c>
      <c r="D28" s="1846">
        <v>78509.451700000005</v>
      </c>
      <c r="E28" s="1846">
        <v>25339.347699999998</v>
      </c>
      <c r="F28" s="1846">
        <v>60062.326199999996</v>
      </c>
      <c r="G28" s="1846">
        <v>125286.4506</v>
      </c>
      <c r="H28" s="1846">
        <v>95547.266100000008</v>
      </c>
      <c r="I28" s="1846">
        <v>65065.088000000003</v>
      </c>
      <c r="J28" s="1846">
        <v>216738.4742</v>
      </c>
      <c r="K28" s="1846">
        <v>68043.614799999996</v>
      </c>
      <c r="L28" s="1846">
        <v>144886.93890000001</v>
      </c>
      <c r="M28" s="1846">
        <v>148061.18030000001</v>
      </c>
      <c r="N28" s="1846">
        <v>156353.62549999999</v>
      </c>
      <c r="O28" s="1846">
        <v>1275324.0977000003</v>
      </c>
    </row>
    <row r="29" spans="1:19">
      <c r="A29" s="1845" t="s">
        <v>219</v>
      </c>
      <c r="C29" s="1846">
        <v>27599.535499999998</v>
      </c>
      <c r="D29" s="1846">
        <v>38631.2811</v>
      </c>
      <c r="E29" s="1846">
        <v>30686.7264</v>
      </c>
      <c r="F29" s="1846">
        <v>31866.890600000002</v>
      </c>
      <c r="G29" s="1846">
        <v>32660.9303</v>
      </c>
      <c r="H29" s="1846">
        <v>27706.253200000003</v>
      </c>
      <c r="I29" s="1846">
        <v>31882.783199999998</v>
      </c>
      <c r="J29" s="1846">
        <v>30717.742499999997</v>
      </c>
      <c r="K29" s="1846">
        <v>29655.451700000005</v>
      </c>
      <c r="L29" s="1846">
        <v>31895.060099999999</v>
      </c>
      <c r="M29" s="1846">
        <v>29668.006500000003</v>
      </c>
      <c r="N29" s="1846">
        <v>30784.118000000002</v>
      </c>
      <c r="O29" s="1846">
        <v>373754.77910000004</v>
      </c>
    </row>
    <row r="30" spans="1:19">
      <c r="A30" s="1845" t="s">
        <v>1474</v>
      </c>
      <c r="C30" s="1846">
        <v>164418.33600000001</v>
      </c>
      <c r="D30" s="1846">
        <v>236000.22530000002</v>
      </c>
      <c r="E30" s="1846">
        <v>147401.81660000002</v>
      </c>
      <c r="F30" s="1846">
        <v>301204.67600000004</v>
      </c>
      <c r="G30" s="1846">
        <v>608216.3284</v>
      </c>
      <c r="H30" s="1846">
        <v>156566.82400000002</v>
      </c>
      <c r="I30" s="1846">
        <v>163277.01610000001</v>
      </c>
      <c r="J30" s="1846">
        <v>727253.83899999992</v>
      </c>
      <c r="K30" s="1846">
        <v>155903.7574</v>
      </c>
      <c r="L30" s="1846">
        <v>442253.5956</v>
      </c>
      <c r="M30" s="1846">
        <v>606296.08380000002</v>
      </c>
      <c r="N30" s="1846">
        <v>881385.21779999998</v>
      </c>
      <c r="O30" s="1846">
        <v>4590177.716</v>
      </c>
    </row>
    <row r="31" spans="1:19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9" ht="1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ht="1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ht="1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ht="1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ht="1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ht="1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1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ht="1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ht="1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ht="1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ht="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5">
      <c r="A45"/>
      <c r="B45"/>
      <c r="C45"/>
      <c r="D45"/>
      <c r="E45"/>
      <c r="F45"/>
      <c r="G45"/>
      <c r="H45"/>
      <c r="I45"/>
      <c r="J45"/>
      <c r="K45"/>
      <c r="L45"/>
    </row>
    <row r="46" spans="1:14" ht="15">
      <c r="A46"/>
      <c r="B46"/>
      <c r="C46"/>
      <c r="D46"/>
      <c r="E46"/>
      <c r="F46"/>
      <c r="G46"/>
      <c r="H46"/>
      <c r="I46"/>
      <c r="J46"/>
      <c r="K46"/>
      <c r="L46"/>
    </row>
    <row r="47" spans="1:14" ht="15">
      <c r="A47"/>
      <c r="B47"/>
      <c r="C47"/>
      <c r="D47"/>
      <c r="E47"/>
      <c r="F47"/>
      <c r="G47"/>
      <c r="H47"/>
      <c r="I47"/>
      <c r="J47"/>
      <c r="K47"/>
      <c r="L47"/>
    </row>
    <row r="48" spans="1:14" ht="15">
      <c r="A48"/>
      <c r="B48"/>
      <c r="C48"/>
      <c r="D48"/>
      <c r="E48"/>
      <c r="F48"/>
      <c r="G48"/>
      <c r="H48"/>
      <c r="I48"/>
      <c r="J48"/>
      <c r="K48"/>
      <c r="L48"/>
    </row>
    <row r="49" spans="1:12" ht="15">
      <c r="A49"/>
      <c r="B49"/>
      <c r="C49"/>
      <c r="D49"/>
      <c r="E49"/>
      <c r="F49"/>
      <c r="G49"/>
      <c r="H49"/>
      <c r="I49"/>
      <c r="J49"/>
      <c r="K49"/>
      <c r="L49"/>
    </row>
    <row r="50" spans="1:12" ht="15">
      <c r="A50"/>
      <c r="B50"/>
      <c r="C50"/>
      <c r="D50"/>
      <c r="E50"/>
      <c r="F50"/>
      <c r="G50"/>
      <c r="H50"/>
      <c r="I50"/>
      <c r="J50"/>
      <c r="K50"/>
      <c r="L50"/>
    </row>
    <row r="51" spans="1:12" ht="15">
      <c r="A51"/>
      <c r="B51"/>
      <c r="C51"/>
      <c r="D51"/>
      <c r="E51"/>
      <c r="F51"/>
      <c r="G51"/>
      <c r="H51"/>
      <c r="I51"/>
      <c r="J51"/>
      <c r="K51"/>
      <c r="L51"/>
    </row>
    <row r="52" spans="1:12" ht="15">
      <c r="A52"/>
      <c r="B52"/>
      <c r="C52"/>
      <c r="D52"/>
      <c r="E52"/>
      <c r="F52"/>
      <c r="G52"/>
      <c r="H52"/>
      <c r="I52"/>
      <c r="J52"/>
      <c r="K52"/>
      <c r="L52"/>
    </row>
    <row r="53" spans="1:12" ht="15">
      <c r="A53"/>
      <c r="B53"/>
      <c r="C53"/>
      <c r="D53"/>
      <c r="E53"/>
      <c r="F53"/>
      <c r="G53"/>
      <c r="H53"/>
      <c r="I53"/>
      <c r="J53"/>
      <c r="K53"/>
      <c r="L53"/>
    </row>
    <row r="54" spans="1:12" ht="15">
      <c r="A54"/>
      <c r="B54"/>
      <c r="C54"/>
      <c r="D54"/>
      <c r="E54"/>
      <c r="F54"/>
      <c r="G54"/>
      <c r="H54"/>
      <c r="I54"/>
      <c r="J54"/>
      <c r="K54"/>
      <c r="L54"/>
    </row>
    <row r="55" spans="1:12" ht="15">
      <c r="A55"/>
      <c r="B55"/>
      <c r="C55"/>
      <c r="D55"/>
      <c r="E55"/>
      <c r="F55"/>
      <c r="G55"/>
      <c r="H55"/>
      <c r="I55"/>
    </row>
    <row r="56" spans="1:12" ht="15">
      <c r="A56"/>
      <c r="B56"/>
      <c r="C56"/>
      <c r="D56"/>
      <c r="E56"/>
      <c r="F56"/>
      <c r="G56"/>
      <c r="H56"/>
      <c r="I56"/>
    </row>
    <row r="57" spans="1:12" ht="15">
      <c r="A57"/>
      <c r="B57"/>
      <c r="C57"/>
      <c r="D57"/>
      <c r="E57"/>
      <c r="F57"/>
      <c r="G57"/>
      <c r="H57"/>
      <c r="I57"/>
    </row>
    <row r="58" spans="1:12" ht="15">
      <c r="A58"/>
      <c r="B58"/>
      <c r="C58"/>
      <c r="D58"/>
      <c r="E58"/>
      <c r="F58"/>
      <c r="G58"/>
      <c r="H58"/>
      <c r="I58"/>
    </row>
    <row r="59" spans="1:12" ht="15">
      <c r="A59"/>
      <c r="B59"/>
      <c r="C59"/>
      <c r="D59"/>
      <c r="E59"/>
      <c r="F59"/>
      <c r="G59"/>
      <c r="H59"/>
      <c r="I59"/>
    </row>
    <row r="60" spans="1:12" ht="15">
      <c r="A60"/>
      <c r="B60"/>
      <c r="C60"/>
      <c r="D60"/>
      <c r="E60"/>
      <c r="F60"/>
      <c r="G60"/>
      <c r="H60"/>
      <c r="I60"/>
    </row>
    <row r="61" spans="1:12" ht="15">
      <c r="A61"/>
      <c r="B61"/>
      <c r="C61"/>
      <c r="D61"/>
      <c r="E61"/>
      <c r="F61"/>
      <c r="G61"/>
      <c r="H61"/>
      <c r="I61"/>
    </row>
    <row r="62" spans="1:12" ht="15">
      <c r="A62"/>
      <c r="B62"/>
      <c r="C62"/>
      <c r="D62"/>
      <c r="E62"/>
      <c r="F62"/>
      <c r="G62"/>
      <c r="H62"/>
      <c r="I62"/>
    </row>
    <row r="63" spans="1:12" ht="15">
      <c r="A63"/>
      <c r="B63"/>
      <c r="C63"/>
      <c r="D63"/>
      <c r="E63"/>
      <c r="F63"/>
      <c r="G63"/>
      <c r="H63"/>
      <c r="I63"/>
    </row>
    <row r="64" spans="1:12" ht="15">
      <c r="A64"/>
      <c r="B64"/>
      <c r="C64"/>
      <c r="D64"/>
      <c r="E64"/>
      <c r="F64"/>
      <c r="G64"/>
      <c r="H64"/>
      <c r="I64"/>
    </row>
    <row r="65" spans="1:9" ht="15">
      <c r="A65"/>
      <c r="B65"/>
      <c r="C65"/>
      <c r="D65"/>
      <c r="E65"/>
      <c r="F65"/>
      <c r="G65"/>
      <c r="H65"/>
      <c r="I65"/>
    </row>
    <row r="66" spans="1:9" ht="15">
      <c r="A66"/>
      <c r="B66"/>
      <c r="C66"/>
      <c r="D66"/>
      <c r="E66"/>
      <c r="F66"/>
      <c r="G66"/>
      <c r="H66"/>
      <c r="I66"/>
    </row>
    <row r="67" spans="1:9" ht="15">
      <c r="A67"/>
      <c r="B67"/>
      <c r="C67"/>
      <c r="D67"/>
      <c r="E67"/>
      <c r="F67"/>
      <c r="G67"/>
      <c r="H67"/>
      <c r="I67"/>
    </row>
    <row r="68" spans="1:9" ht="15">
      <c r="A68"/>
      <c r="B68"/>
      <c r="C68"/>
      <c r="D68"/>
      <c r="E68"/>
      <c r="F68"/>
      <c r="G68"/>
      <c r="H68"/>
      <c r="I68"/>
    </row>
    <row r="69" spans="1:9" ht="15">
      <c r="A69"/>
      <c r="B69"/>
      <c r="C69"/>
      <c r="D69"/>
      <c r="E69"/>
      <c r="F69"/>
      <c r="G69"/>
      <c r="H69"/>
      <c r="I69"/>
    </row>
    <row r="70" spans="1:9" ht="15">
      <c r="A70"/>
      <c r="B70"/>
      <c r="C70"/>
      <c r="D70"/>
      <c r="E70"/>
      <c r="F70"/>
      <c r="G70"/>
      <c r="H70"/>
      <c r="I70"/>
    </row>
    <row r="71" spans="1:9" ht="15">
      <c r="A71"/>
      <c r="B71"/>
      <c r="C71"/>
      <c r="D71"/>
      <c r="E71"/>
      <c r="F71"/>
      <c r="G71"/>
      <c r="H71"/>
      <c r="I71"/>
    </row>
    <row r="72" spans="1:9" ht="15">
      <c r="A72"/>
      <c r="B72"/>
      <c r="C72"/>
      <c r="D72"/>
      <c r="E72"/>
      <c r="F72"/>
      <c r="G72"/>
      <c r="H72"/>
      <c r="I72"/>
    </row>
    <row r="73" spans="1:9" ht="15">
      <c r="A73"/>
      <c r="B73"/>
      <c r="C73"/>
      <c r="D73"/>
      <c r="E73"/>
      <c r="F73"/>
      <c r="G73"/>
      <c r="H73"/>
      <c r="I73"/>
    </row>
    <row r="74" spans="1:9" ht="15">
      <c r="A74"/>
      <c r="B74"/>
      <c r="C74"/>
      <c r="D74"/>
      <c r="E74"/>
      <c r="F74"/>
      <c r="G74"/>
      <c r="H74"/>
      <c r="I74"/>
    </row>
    <row r="75" spans="1:9" ht="15">
      <c r="A75"/>
      <c r="B75"/>
      <c r="C75"/>
      <c r="D75"/>
      <c r="E75"/>
      <c r="F75"/>
      <c r="G75"/>
      <c r="H75"/>
      <c r="I75"/>
    </row>
    <row r="76" spans="1:9" ht="15">
      <c r="A76"/>
      <c r="B76"/>
      <c r="C76"/>
      <c r="D76"/>
      <c r="E76"/>
      <c r="F76"/>
      <c r="G76"/>
      <c r="H76"/>
      <c r="I76"/>
    </row>
    <row r="77" spans="1:9" ht="15">
      <c r="A77"/>
      <c r="B77"/>
      <c r="C77"/>
      <c r="D77"/>
      <c r="E77"/>
      <c r="F77"/>
      <c r="G77"/>
      <c r="H77"/>
      <c r="I77"/>
    </row>
    <row r="78" spans="1:9" ht="15">
      <c r="A78"/>
      <c r="B78"/>
      <c r="C78"/>
      <c r="D78"/>
      <c r="E78"/>
      <c r="F78"/>
      <c r="G78"/>
      <c r="H78"/>
      <c r="I78"/>
    </row>
    <row r="79" spans="1:9" ht="15">
      <c r="A79"/>
      <c r="B79"/>
      <c r="C79"/>
      <c r="D79"/>
      <c r="E79"/>
      <c r="F79"/>
      <c r="G79"/>
      <c r="H79"/>
      <c r="I79"/>
    </row>
    <row r="80" spans="1:9" ht="15">
      <c r="A80"/>
      <c r="B80"/>
      <c r="C80"/>
      <c r="D80"/>
      <c r="E80"/>
      <c r="F80"/>
      <c r="G80"/>
      <c r="H80"/>
      <c r="I80"/>
    </row>
    <row r="81" spans="1:9" ht="15">
      <c r="A81"/>
      <c r="B81"/>
      <c r="C81"/>
      <c r="D81"/>
      <c r="E81"/>
      <c r="F81"/>
      <c r="G81"/>
      <c r="H81"/>
      <c r="I81"/>
    </row>
    <row r="82" spans="1:9" ht="15">
      <c r="A82"/>
      <c r="B82"/>
      <c r="C82"/>
      <c r="D82"/>
      <c r="E82"/>
      <c r="F82"/>
      <c r="G82"/>
      <c r="H82"/>
      <c r="I82"/>
    </row>
    <row r="83" spans="1:9" ht="15">
      <c r="A83"/>
      <c r="B83"/>
      <c r="C83"/>
      <c r="D83"/>
      <c r="E83"/>
      <c r="F83"/>
      <c r="G83"/>
      <c r="H83"/>
      <c r="I83"/>
    </row>
    <row r="84" spans="1:9" ht="15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  <row r="104" spans="1:9" ht="15">
      <c r="A104"/>
      <c r="B104"/>
      <c r="C104"/>
      <c r="D104"/>
      <c r="E104"/>
      <c r="F104"/>
      <c r="G104"/>
      <c r="H104"/>
      <c r="I104"/>
    </row>
    <row r="105" spans="1:9" ht="15">
      <c r="A105"/>
      <c r="B105"/>
      <c r="C105"/>
      <c r="D105"/>
      <c r="E105"/>
      <c r="F105"/>
      <c r="G105"/>
      <c r="H105"/>
      <c r="I105"/>
    </row>
    <row r="106" spans="1:9" ht="15">
      <c r="A106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">
      <c r="A108"/>
      <c r="B108"/>
      <c r="C108"/>
      <c r="D108"/>
      <c r="E108"/>
      <c r="F108"/>
      <c r="G108"/>
      <c r="H108"/>
      <c r="I108"/>
    </row>
    <row r="109" spans="1:9" ht="15">
      <c r="A109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A111"/>
      <c r="B111"/>
      <c r="C111"/>
      <c r="D111"/>
      <c r="E111"/>
      <c r="F111"/>
      <c r="G111"/>
      <c r="H111"/>
      <c r="I111"/>
    </row>
    <row r="112" spans="1:9" ht="15">
      <c r="A112"/>
      <c r="B112"/>
      <c r="C112"/>
      <c r="D112"/>
      <c r="E112"/>
      <c r="F112"/>
      <c r="G112"/>
      <c r="H112"/>
      <c r="I112"/>
    </row>
    <row r="113" spans="1:9" ht="15">
      <c r="A113"/>
      <c r="B113"/>
      <c r="C113"/>
      <c r="D113"/>
      <c r="E113"/>
      <c r="F113"/>
      <c r="G113"/>
      <c r="H113"/>
      <c r="I113"/>
    </row>
    <row r="114" spans="1:9" ht="15">
      <c r="A114"/>
      <c r="B114"/>
      <c r="C114"/>
      <c r="D114"/>
      <c r="E114"/>
      <c r="F114"/>
      <c r="G114"/>
      <c r="H114"/>
      <c r="I114"/>
    </row>
    <row r="115" spans="1:9" ht="15">
      <c r="A115"/>
      <c r="B115"/>
      <c r="C115"/>
      <c r="D115"/>
      <c r="E115"/>
      <c r="F115"/>
      <c r="G115"/>
      <c r="H115"/>
      <c r="I115"/>
    </row>
    <row r="116" spans="1:9" ht="15">
      <c r="A116"/>
      <c r="B116"/>
      <c r="C116"/>
      <c r="D116"/>
      <c r="E116"/>
      <c r="F116"/>
      <c r="G116"/>
      <c r="H116"/>
      <c r="I116"/>
    </row>
    <row r="117" spans="1:9" ht="15">
      <c r="A117"/>
      <c r="B117"/>
      <c r="C117"/>
      <c r="D117"/>
      <c r="E117"/>
      <c r="F117"/>
      <c r="G117"/>
      <c r="H117"/>
      <c r="I117"/>
    </row>
    <row r="118" spans="1:9" ht="15">
      <c r="A118"/>
      <c r="B118"/>
      <c r="C118"/>
      <c r="D118"/>
      <c r="E118"/>
      <c r="F118"/>
      <c r="G118"/>
      <c r="H118"/>
      <c r="I118"/>
    </row>
    <row r="119" spans="1:9" ht="15">
      <c r="A119"/>
      <c r="B119"/>
      <c r="C119"/>
      <c r="D119"/>
      <c r="E119"/>
      <c r="F119"/>
      <c r="G119"/>
      <c r="H119"/>
      <c r="I119"/>
    </row>
    <row r="120" spans="1:9" ht="15">
      <c r="A120"/>
      <c r="B120"/>
      <c r="C120"/>
      <c r="D120"/>
      <c r="E120"/>
      <c r="F120"/>
      <c r="G120"/>
      <c r="H120"/>
      <c r="I120"/>
    </row>
    <row r="121" spans="1:9" ht="15">
      <c r="A121"/>
      <c r="B121"/>
      <c r="C121"/>
      <c r="D121"/>
      <c r="E121"/>
      <c r="F121"/>
      <c r="G121"/>
      <c r="H121"/>
      <c r="I121"/>
    </row>
    <row r="122" spans="1:9" ht="15">
      <c r="A122"/>
      <c r="B122"/>
      <c r="C122"/>
      <c r="D122"/>
      <c r="E122"/>
      <c r="F122"/>
      <c r="G122"/>
      <c r="H122"/>
      <c r="I122"/>
    </row>
    <row r="123" spans="1:9" ht="15">
      <c r="A123"/>
      <c r="B123"/>
      <c r="C123"/>
      <c r="D123"/>
      <c r="E123"/>
      <c r="F123"/>
      <c r="G123"/>
      <c r="H123"/>
      <c r="I123"/>
    </row>
    <row r="124" spans="1:9" ht="15">
      <c r="A124"/>
      <c r="B124"/>
      <c r="C124"/>
      <c r="D124"/>
      <c r="E124"/>
      <c r="F124"/>
      <c r="G124"/>
      <c r="H124"/>
      <c r="I124"/>
    </row>
    <row r="125" spans="1:9" ht="15">
      <c r="A125"/>
      <c r="B125"/>
      <c r="C125"/>
      <c r="D125"/>
      <c r="E125"/>
      <c r="F125"/>
      <c r="G125"/>
      <c r="H125"/>
      <c r="I125"/>
    </row>
    <row r="126" spans="1:9" ht="15">
      <c r="A126"/>
      <c r="B126"/>
      <c r="C126"/>
      <c r="D126"/>
      <c r="E126"/>
      <c r="F126"/>
      <c r="G126"/>
      <c r="H126"/>
      <c r="I126"/>
    </row>
    <row r="127" spans="1:9" ht="15">
      <c r="A127"/>
      <c r="B127"/>
      <c r="C127"/>
      <c r="D127"/>
      <c r="E127"/>
      <c r="F127"/>
      <c r="G127"/>
      <c r="H127"/>
      <c r="I127"/>
    </row>
    <row r="128" spans="1:9" ht="15">
      <c r="A128"/>
      <c r="B128"/>
      <c r="C128"/>
      <c r="D128"/>
      <c r="E128"/>
      <c r="F128"/>
      <c r="G128"/>
      <c r="H128"/>
      <c r="I128"/>
    </row>
    <row r="129" spans="1:9" ht="15">
      <c r="A129"/>
      <c r="B129"/>
      <c r="C129"/>
      <c r="D129"/>
      <c r="E129"/>
      <c r="F129"/>
      <c r="G129"/>
      <c r="H129"/>
      <c r="I129"/>
    </row>
    <row r="130" spans="1:9" ht="15">
      <c r="A130"/>
      <c r="B130"/>
      <c r="C130"/>
      <c r="D130"/>
      <c r="E130"/>
      <c r="F130"/>
      <c r="G130"/>
      <c r="H130"/>
      <c r="I130"/>
    </row>
    <row r="257" spans="3:3">
      <c r="C257" s="1847"/>
    </row>
    <row r="258" spans="3:3">
      <c r="C258" s="1847"/>
    </row>
    <row r="259" spans="3:3">
      <c r="C259" s="1847"/>
    </row>
    <row r="260" spans="3:3">
      <c r="C260" s="1847"/>
    </row>
    <row r="261" spans="3:3">
      <c r="C261" s="1847"/>
    </row>
    <row r="262" spans="3:3">
      <c r="C262" s="1847"/>
    </row>
    <row r="263" spans="3:3">
      <c r="C263" s="1847"/>
    </row>
    <row r="264" spans="3:3">
      <c r="C264" s="1847"/>
    </row>
    <row r="265" spans="3:3">
      <c r="C265" s="1847"/>
    </row>
    <row r="266" spans="3:3">
      <c r="C266" s="1847"/>
    </row>
    <row r="267" spans="3:3">
      <c r="C267" s="1847"/>
    </row>
    <row r="268" spans="3:3">
      <c r="C268" s="1847"/>
    </row>
    <row r="269" spans="3:3">
      <c r="C269" s="1847"/>
    </row>
    <row r="270" spans="3:3">
      <c r="C270" s="1847"/>
    </row>
    <row r="271" spans="3:3">
      <c r="C271" s="1847"/>
    </row>
    <row r="272" spans="3:3">
      <c r="C272" s="1847"/>
    </row>
    <row r="273" spans="3:3">
      <c r="C273" s="1847"/>
    </row>
    <row r="274" spans="3:3">
      <c r="C274" s="1847"/>
    </row>
    <row r="275" spans="3:3">
      <c r="C275" s="1847"/>
    </row>
    <row r="276" spans="3:3">
      <c r="C276" s="1847"/>
    </row>
    <row r="277" spans="3:3">
      <c r="C277" s="1847"/>
    </row>
    <row r="278" spans="3:3">
      <c r="C278" s="1847"/>
    </row>
    <row r="279" spans="3:3">
      <c r="C279" s="1847"/>
    </row>
    <row r="280" spans="3:3">
      <c r="C280" s="1847"/>
    </row>
    <row r="281" spans="3:3">
      <c r="C281" s="1847"/>
    </row>
    <row r="282" spans="3:3">
      <c r="C282" s="1847"/>
    </row>
    <row r="283" spans="3:3">
      <c r="C283" s="1847"/>
    </row>
    <row r="284" spans="3:3">
      <c r="C284" s="1847"/>
    </row>
    <row r="285" spans="3:3">
      <c r="C285" s="1847"/>
    </row>
    <row r="286" spans="3:3">
      <c r="C286" s="1847"/>
    </row>
    <row r="287" spans="3:3">
      <c r="C287" s="1847"/>
    </row>
    <row r="288" spans="3:3">
      <c r="C288" s="1847"/>
    </row>
    <row r="289" spans="3:3">
      <c r="C289" s="1847"/>
    </row>
    <row r="290" spans="3:3">
      <c r="C290" s="1847"/>
    </row>
    <row r="291" spans="3:3">
      <c r="C291" s="1847"/>
    </row>
    <row r="292" spans="3:3">
      <c r="C292" s="1847"/>
    </row>
    <row r="293" spans="3:3">
      <c r="C293" s="1847"/>
    </row>
    <row r="294" spans="3:3">
      <c r="C294" s="1847"/>
    </row>
    <row r="295" spans="3:3">
      <c r="C295" s="1847"/>
    </row>
    <row r="296" spans="3:3">
      <c r="C296" s="1847"/>
    </row>
    <row r="297" spans="3:3">
      <c r="C297" s="1847"/>
    </row>
    <row r="298" spans="3:3">
      <c r="C298" s="1847"/>
    </row>
    <row r="299" spans="3:3">
      <c r="C299" s="1847"/>
    </row>
    <row r="300" spans="3:3">
      <c r="C300" s="1847"/>
    </row>
    <row r="301" spans="3:3">
      <c r="C301" s="1847"/>
    </row>
    <row r="302" spans="3:3">
      <c r="C302" s="1847"/>
    </row>
    <row r="303" spans="3:3">
      <c r="C303" s="1847"/>
    </row>
    <row r="304" spans="3:3">
      <c r="C304" s="1847"/>
    </row>
    <row r="305" spans="3:3">
      <c r="C305" s="1847"/>
    </row>
    <row r="306" spans="3:3">
      <c r="C306" s="1847"/>
    </row>
    <row r="307" spans="3:3">
      <c r="C307" s="1847"/>
    </row>
    <row r="308" spans="3:3">
      <c r="C308" s="1847"/>
    </row>
    <row r="309" spans="3:3">
      <c r="C309" s="1847"/>
    </row>
    <row r="310" spans="3:3">
      <c r="C310" s="1847"/>
    </row>
    <row r="311" spans="3:3">
      <c r="C311" s="1847"/>
    </row>
    <row r="312" spans="3:3">
      <c r="C312" s="1847"/>
    </row>
    <row r="313" spans="3:3">
      <c r="C313" s="1847"/>
    </row>
    <row r="314" spans="3:3">
      <c r="C314" s="1847"/>
    </row>
    <row r="315" spans="3:3">
      <c r="C315" s="1847"/>
    </row>
    <row r="316" spans="3:3">
      <c r="C316" s="1847"/>
    </row>
    <row r="317" spans="3:3">
      <c r="C317" s="1847"/>
    </row>
    <row r="318" spans="3:3">
      <c r="C318" s="1847"/>
    </row>
    <row r="319" spans="3:3">
      <c r="C319" s="1847"/>
    </row>
    <row r="320" spans="3:3">
      <c r="C320" s="1847"/>
    </row>
    <row r="321" spans="3:3">
      <c r="C321" s="1847"/>
    </row>
    <row r="322" spans="3:3">
      <c r="C322" s="1847"/>
    </row>
    <row r="323" spans="3:3">
      <c r="C323" s="1847"/>
    </row>
    <row r="324" spans="3:3">
      <c r="C324" s="1847"/>
    </row>
    <row r="325" spans="3:3">
      <c r="C325" s="1847"/>
    </row>
    <row r="326" spans="3:3">
      <c r="C326" s="1847"/>
    </row>
    <row r="327" spans="3:3">
      <c r="C327" s="1847"/>
    </row>
    <row r="328" spans="3:3">
      <c r="C328" s="1847"/>
    </row>
    <row r="329" spans="3:3">
      <c r="C329" s="1847"/>
    </row>
    <row r="330" spans="3:3">
      <c r="C330" s="1847"/>
    </row>
    <row r="331" spans="3:3">
      <c r="C331" s="1847"/>
    </row>
    <row r="332" spans="3:3">
      <c r="C332" s="1847"/>
    </row>
    <row r="333" spans="3:3">
      <c r="C333" s="1847"/>
    </row>
    <row r="334" spans="3:3">
      <c r="C334" s="1847"/>
    </row>
    <row r="335" spans="3:3">
      <c r="C335" s="1847"/>
    </row>
    <row r="336" spans="3:3">
      <c r="C336" s="1847"/>
    </row>
    <row r="337" spans="3:3">
      <c r="C337" s="1847"/>
    </row>
    <row r="338" spans="3:3">
      <c r="C338" s="1847"/>
    </row>
    <row r="339" spans="3:3">
      <c r="C339" s="1847"/>
    </row>
    <row r="340" spans="3:3">
      <c r="C340" s="1847"/>
    </row>
    <row r="341" spans="3:3">
      <c r="C341" s="1847"/>
    </row>
    <row r="342" spans="3:3">
      <c r="C342" s="1847"/>
    </row>
    <row r="343" spans="3:3">
      <c r="C343" s="1847"/>
    </row>
    <row r="344" spans="3:3">
      <c r="C344" s="1847"/>
    </row>
    <row r="345" spans="3:3">
      <c r="C345" s="1847"/>
    </row>
    <row r="346" spans="3:3">
      <c r="C346" s="1847"/>
    </row>
    <row r="347" spans="3:3">
      <c r="C347" s="1847"/>
    </row>
    <row r="348" spans="3:3">
      <c r="C348" s="1847"/>
    </row>
    <row r="349" spans="3:3">
      <c r="C349" s="1847"/>
    </row>
    <row r="350" spans="3:3">
      <c r="C350" s="1847"/>
    </row>
    <row r="351" spans="3:3">
      <c r="C351" s="1847"/>
    </row>
    <row r="352" spans="3:3">
      <c r="C352" s="1847"/>
    </row>
    <row r="353" spans="3:3">
      <c r="C353" s="1847"/>
    </row>
    <row r="354" spans="3:3">
      <c r="C354" s="1847"/>
    </row>
    <row r="355" spans="3:3">
      <c r="C355" s="1847"/>
    </row>
    <row r="356" spans="3:3">
      <c r="C356" s="1847"/>
    </row>
    <row r="357" spans="3:3">
      <c r="C357" s="1847"/>
    </row>
    <row r="358" spans="3:3">
      <c r="C358" s="1847"/>
    </row>
    <row r="359" spans="3:3">
      <c r="C359" s="1847"/>
    </row>
    <row r="360" spans="3:3">
      <c r="C360" s="1847"/>
    </row>
    <row r="361" spans="3:3">
      <c r="C361" s="1847"/>
    </row>
    <row r="362" spans="3:3">
      <c r="C362" s="1847"/>
    </row>
    <row r="363" spans="3:3">
      <c r="C363" s="1847"/>
    </row>
    <row r="364" spans="3:3">
      <c r="C364" s="1847"/>
    </row>
    <row r="365" spans="3:3">
      <c r="C365" s="1847"/>
    </row>
    <row r="366" spans="3:3">
      <c r="C366" s="1847"/>
    </row>
    <row r="367" spans="3:3">
      <c r="C367" s="1847"/>
    </row>
    <row r="368" spans="3:3">
      <c r="C368" s="1847"/>
    </row>
    <row r="369" spans="3:3">
      <c r="C369" s="1847"/>
    </row>
    <row r="370" spans="3:3">
      <c r="C370" s="1847"/>
    </row>
    <row r="371" spans="3:3">
      <c r="C371" s="1847"/>
    </row>
    <row r="372" spans="3:3">
      <c r="C372" s="1847"/>
    </row>
    <row r="373" spans="3:3">
      <c r="C373" s="1847"/>
    </row>
    <row r="374" spans="3:3">
      <c r="C374" s="1847"/>
    </row>
    <row r="375" spans="3:3">
      <c r="C375" s="1847"/>
    </row>
    <row r="376" spans="3:3">
      <c r="C376" s="1847"/>
    </row>
    <row r="377" spans="3:3">
      <c r="C377" s="1847"/>
    </row>
    <row r="378" spans="3:3">
      <c r="C378" s="1847"/>
    </row>
    <row r="379" spans="3:3">
      <c r="C379" s="1847"/>
    </row>
    <row r="380" spans="3:3">
      <c r="C380" s="1847"/>
    </row>
    <row r="381" spans="3:3">
      <c r="C381" s="1847"/>
    </row>
    <row r="382" spans="3:3">
      <c r="C382" s="1847"/>
    </row>
    <row r="383" spans="3:3">
      <c r="C383" s="1847"/>
    </row>
    <row r="384" spans="3:3">
      <c r="C384" s="1847"/>
    </row>
    <row r="385" spans="3:3">
      <c r="C385" s="1847"/>
    </row>
    <row r="386" spans="3:3">
      <c r="C386" s="1847"/>
    </row>
    <row r="387" spans="3:3">
      <c r="C387" s="1847"/>
    </row>
    <row r="388" spans="3:3">
      <c r="C388" s="1847"/>
    </row>
    <row r="389" spans="3:3">
      <c r="C389" s="1847"/>
    </row>
    <row r="390" spans="3:3">
      <c r="C390" s="1847"/>
    </row>
    <row r="391" spans="3:3">
      <c r="C391" s="1847"/>
    </row>
    <row r="392" spans="3:3">
      <c r="C392" s="1847"/>
    </row>
    <row r="393" spans="3:3">
      <c r="C393" s="1847"/>
    </row>
    <row r="394" spans="3:3">
      <c r="C394" s="1847"/>
    </row>
    <row r="395" spans="3:3">
      <c r="C395" s="1847"/>
    </row>
    <row r="396" spans="3:3">
      <c r="C396" s="1847"/>
    </row>
    <row r="397" spans="3:3">
      <c r="C397" s="1847"/>
    </row>
    <row r="398" spans="3:3">
      <c r="C398" s="1847"/>
    </row>
    <row r="399" spans="3:3">
      <c r="C399" s="1847"/>
    </row>
    <row r="400" spans="3:3">
      <c r="C400" s="1847"/>
    </row>
    <row r="401" spans="3:3">
      <c r="C401" s="1847"/>
    </row>
    <row r="402" spans="3:3">
      <c r="C402" s="1847"/>
    </row>
    <row r="403" spans="3:3">
      <c r="C403" s="1847"/>
    </row>
    <row r="404" spans="3:3">
      <c r="C404" s="1847"/>
    </row>
    <row r="405" spans="3:3">
      <c r="C405" s="1847"/>
    </row>
    <row r="406" spans="3:3">
      <c r="C406" s="1847"/>
    </row>
    <row r="407" spans="3:3">
      <c r="C407" s="1847"/>
    </row>
    <row r="408" spans="3:3">
      <c r="C408" s="1847"/>
    </row>
    <row r="409" spans="3:3">
      <c r="C409" s="1847"/>
    </row>
    <row r="410" spans="3:3">
      <c r="C410" s="1847"/>
    </row>
    <row r="411" spans="3:3">
      <c r="C411" s="1847"/>
    </row>
    <row r="412" spans="3:3">
      <c r="C412" s="1847"/>
    </row>
    <row r="413" spans="3:3">
      <c r="C413" s="1847"/>
    </row>
    <row r="414" spans="3:3">
      <c r="C414" s="1847"/>
    </row>
    <row r="415" spans="3:3">
      <c r="C415" s="1847"/>
    </row>
    <row r="416" spans="3:3">
      <c r="C416" s="1847"/>
    </row>
    <row r="417" spans="3:3">
      <c r="C417" s="1847"/>
    </row>
    <row r="418" spans="3:3">
      <c r="C418" s="1847"/>
    </row>
    <row r="419" spans="3:3">
      <c r="C419" s="1847"/>
    </row>
    <row r="420" spans="3:3">
      <c r="C420" s="1847"/>
    </row>
    <row r="421" spans="3:3">
      <c r="C421" s="1847"/>
    </row>
    <row r="422" spans="3:3">
      <c r="C422" s="1847"/>
    </row>
    <row r="423" spans="3:3">
      <c r="C423" s="1847"/>
    </row>
    <row r="424" spans="3:3">
      <c r="C424" s="1847"/>
    </row>
    <row r="425" spans="3:3">
      <c r="C425" s="1847"/>
    </row>
    <row r="426" spans="3:3">
      <c r="C426" s="1847"/>
    </row>
    <row r="427" spans="3:3">
      <c r="C427" s="1847"/>
    </row>
    <row r="428" spans="3:3">
      <c r="C428" s="1847"/>
    </row>
    <row r="429" spans="3:3">
      <c r="C429" s="1847"/>
    </row>
    <row r="430" spans="3:3">
      <c r="C430" s="1847"/>
    </row>
    <row r="431" spans="3:3">
      <c r="C431" s="1847"/>
    </row>
    <row r="432" spans="3:3">
      <c r="C432" s="1847"/>
    </row>
    <row r="433" spans="3:3">
      <c r="C433" s="1847"/>
    </row>
    <row r="434" spans="3:3">
      <c r="C434" s="1847"/>
    </row>
    <row r="435" spans="3:3">
      <c r="C435" s="1847"/>
    </row>
    <row r="436" spans="3:3">
      <c r="C436" s="1847"/>
    </row>
    <row r="437" spans="3:3">
      <c r="C437" s="1847"/>
    </row>
    <row r="438" spans="3:3">
      <c r="C438" s="1847"/>
    </row>
    <row r="439" spans="3:3">
      <c r="C439" s="1847"/>
    </row>
    <row r="440" spans="3:3">
      <c r="C440" s="1847"/>
    </row>
    <row r="441" spans="3:3">
      <c r="C441" s="1847"/>
    </row>
    <row r="442" spans="3:3">
      <c r="C442" s="1847"/>
    </row>
    <row r="443" spans="3:3">
      <c r="C443" s="1847"/>
    </row>
    <row r="444" spans="3:3">
      <c r="C444" s="1847"/>
    </row>
    <row r="445" spans="3:3">
      <c r="C445" s="1847"/>
    </row>
    <row r="446" spans="3:3">
      <c r="C446" s="1847"/>
    </row>
    <row r="447" spans="3:3">
      <c r="C447" s="1847"/>
    </row>
    <row r="448" spans="3:3">
      <c r="C448" s="1847"/>
    </row>
    <row r="449" spans="3:3">
      <c r="C449" s="1847"/>
    </row>
    <row r="450" spans="3:3">
      <c r="C450" s="1847"/>
    </row>
    <row r="451" spans="3:3">
      <c r="C451" s="1847"/>
    </row>
    <row r="452" spans="3:3">
      <c r="C452" s="1847"/>
    </row>
    <row r="453" spans="3:3">
      <c r="C453" s="1847"/>
    </row>
    <row r="454" spans="3:3">
      <c r="C454" s="1847"/>
    </row>
    <row r="455" spans="3:3">
      <c r="C455" s="1847"/>
    </row>
    <row r="456" spans="3:3">
      <c r="C456" s="1847"/>
    </row>
    <row r="457" spans="3:3">
      <c r="C457" s="1847"/>
    </row>
    <row r="458" spans="3:3">
      <c r="C458" s="1847"/>
    </row>
    <row r="459" spans="3:3">
      <c r="C459" s="1847"/>
    </row>
    <row r="460" spans="3:3">
      <c r="C460" s="1847"/>
    </row>
    <row r="461" spans="3:3">
      <c r="C461" s="1847"/>
    </row>
    <row r="462" spans="3:3">
      <c r="C462" s="1847"/>
    </row>
    <row r="463" spans="3:3">
      <c r="C463" s="1847"/>
    </row>
    <row r="464" spans="3:3">
      <c r="C464" s="1847"/>
    </row>
    <row r="465" spans="3:3">
      <c r="C465" s="1847"/>
    </row>
    <row r="466" spans="3:3">
      <c r="C466" s="1847"/>
    </row>
    <row r="467" spans="3:3">
      <c r="C467" s="1847"/>
    </row>
    <row r="468" spans="3:3">
      <c r="C468" s="1847"/>
    </row>
    <row r="469" spans="3:3">
      <c r="C469" s="1847"/>
    </row>
    <row r="470" spans="3:3">
      <c r="C470" s="1847"/>
    </row>
    <row r="471" spans="3:3">
      <c r="C471" s="1847"/>
    </row>
    <row r="472" spans="3:3">
      <c r="C472" s="1847"/>
    </row>
    <row r="473" spans="3:3">
      <c r="C473" s="1847"/>
    </row>
    <row r="474" spans="3:3">
      <c r="C474" s="1847"/>
    </row>
    <row r="475" spans="3:3">
      <c r="C475" s="1847"/>
    </row>
    <row r="476" spans="3:3">
      <c r="C476" s="1847"/>
    </row>
    <row r="477" spans="3:3">
      <c r="C477" s="1847"/>
    </row>
    <row r="478" spans="3:3">
      <c r="C478" s="1847"/>
    </row>
    <row r="479" spans="3:3">
      <c r="C479" s="1847"/>
    </row>
    <row r="480" spans="3:3">
      <c r="C480" s="1847"/>
    </row>
    <row r="481" spans="3:3">
      <c r="C481" s="1847"/>
    </row>
    <row r="482" spans="3:3">
      <c r="C482" s="1847"/>
    </row>
    <row r="483" spans="3:3">
      <c r="C483" s="1847"/>
    </row>
    <row r="484" spans="3:3">
      <c r="C484" s="1847"/>
    </row>
    <row r="485" spans="3:3">
      <c r="C485" s="1847"/>
    </row>
    <row r="486" spans="3:3">
      <c r="C486" s="1847"/>
    </row>
    <row r="487" spans="3:3">
      <c r="C487" s="1847"/>
    </row>
    <row r="488" spans="3:3">
      <c r="C488" s="1847"/>
    </row>
    <row r="489" spans="3:3">
      <c r="C489" s="1847"/>
    </row>
    <row r="490" spans="3:3">
      <c r="C490" s="1847"/>
    </row>
    <row r="491" spans="3:3">
      <c r="C491" s="1847"/>
    </row>
    <row r="492" spans="3:3">
      <c r="C492" s="1847"/>
    </row>
    <row r="493" spans="3:3">
      <c r="C493" s="1847"/>
    </row>
    <row r="494" spans="3:3">
      <c r="C494" s="1847"/>
    </row>
    <row r="495" spans="3:3">
      <c r="C495" s="1847"/>
    </row>
    <row r="496" spans="3:3">
      <c r="C496" s="1847"/>
    </row>
    <row r="497" spans="3:3">
      <c r="C497" s="1847"/>
    </row>
    <row r="498" spans="3:3">
      <c r="C498" s="1847"/>
    </row>
    <row r="499" spans="3:3">
      <c r="C499" s="1847"/>
    </row>
    <row r="500" spans="3:3">
      <c r="C500" s="1847"/>
    </row>
    <row r="501" spans="3:3">
      <c r="C501" s="1847"/>
    </row>
    <row r="502" spans="3:3">
      <c r="C502" s="1847"/>
    </row>
    <row r="503" spans="3:3">
      <c r="C503" s="1847"/>
    </row>
    <row r="504" spans="3:3">
      <c r="C504" s="1847"/>
    </row>
    <row r="505" spans="3:3">
      <c r="C505" s="1847"/>
    </row>
    <row r="506" spans="3:3">
      <c r="C506" s="1847"/>
    </row>
    <row r="507" spans="3:3">
      <c r="C507" s="1847"/>
    </row>
    <row r="508" spans="3:3">
      <c r="C508" s="1847"/>
    </row>
    <row r="509" spans="3:3">
      <c r="C509" s="1847"/>
    </row>
    <row r="510" spans="3:3">
      <c r="C510" s="1847"/>
    </row>
    <row r="511" spans="3:3">
      <c r="C511" s="1847"/>
    </row>
    <row r="512" spans="3:3">
      <c r="C512" s="1847"/>
    </row>
    <row r="513" spans="3:3">
      <c r="C513" s="1847"/>
    </row>
    <row r="514" spans="3:3">
      <c r="C514" s="1847"/>
    </row>
    <row r="515" spans="3:3">
      <c r="C515" s="1847"/>
    </row>
    <row r="516" spans="3:3">
      <c r="C516" s="1847"/>
    </row>
    <row r="517" spans="3:3">
      <c r="C517" s="1847"/>
    </row>
    <row r="518" spans="3:3">
      <c r="C518" s="1847"/>
    </row>
    <row r="519" spans="3:3">
      <c r="C519" s="1847"/>
    </row>
    <row r="520" spans="3:3">
      <c r="C520" s="1847"/>
    </row>
    <row r="521" spans="3:3">
      <c r="C521" s="1847"/>
    </row>
    <row r="522" spans="3:3">
      <c r="C522" s="1847"/>
    </row>
    <row r="523" spans="3:3">
      <c r="C523" s="1847"/>
    </row>
    <row r="524" spans="3:3">
      <c r="C524" s="1847"/>
    </row>
    <row r="525" spans="3:3">
      <c r="C525" s="1847"/>
    </row>
    <row r="526" spans="3:3">
      <c r="C526" s="1847"/>
    </row>
    <row r="527" spans="3:3">
      <c r="C527" s="1847"/>
    </row>
    <row r="528" spans="3:3">
      <c r="C528" s="1847"/>
    </row>
    <row r="529" spans="3:3">
      <c r="C529" s="1847"/>
    </row>
    <row r="530" spans="3:3">
      <c r="C530" s="1847"/>
    </row>
    <row r="531" spans="3:3">
      <c r="C531" s="1847"/>
    </row>
    <row r="532" spans="3:3">
      <c r="C532" s="1847"/>
    </row>
    <row r="533" spans="3:3">
      <c r="C533" s="1847"/>
    </row>
    <row r="534" spans="3:3">
      <c r="C534" s="1847"/>
    </row>
    <row r="535" spans="3:3">
      <c r="C535" s="1847"/>
    </row>
    <row r="536" spans="3:3">
      <c r="C536" s="1847"/>
    </row>
    <row r="537" spans="3:3">
      <c r="C537" s="1847"/>
    </row>
    <row r="538" spans="3:3">
      <c r="C538" s="1847"/>
    </row>
    <row r="539" spans="3:3">
      <c r="C539" s="1847"/>
    </row>
    <row r="540" spans="3:3">
      <c r="C540" s="1847"/>
    </row>
    <row r="541" spans="3:3">
      <c r="C541" s="1847"/>
    </row>
    <row r="542" spans="3:3">
      <c r="C542" s="1847"/>
    </row>
    <row r="543" spans="3:3">
      <c r="C543" s="1847"/>
    </row>
    <row r="544" spans="3:3">
      <c r="C544" s="1847"/>
    </row>
    <row r="545" spans="3:3">
      <c r="C545" s="1847"/>
    </row>
    <row r="546" spans="3:3">
      <c r="C546" s="1847"/>
    </row>
    <row r="547" spans="3:3">
      <c r="C547" s="1847"/>
    </row>
    <row r="548" spans="3:3">
      <c r="C548" s="1847"/>
    </row>
    <row r="549" spans="3:3">
      <c r="C549" s="1847"/>
    </row>
    <row r="550" spans="3:3">
      <c r="C550" s="1847"/>
    </row>
    <row r="551" spans="3:3">
      <c r="C551" s="1847"/>
    </row>
    <row r="552" spans="3:3">
      <c r="C552" s="1847"/>
    </row>
    <row r="553" spans="3:3">
      <c r="C553" s="1847"/>
    </row>
    <row r="554" spans="3:3">
      <c r="C554" s="1847"/>
    </row>
    <row r="555" spans="3:3">
      <c r="C555" s="1847"/>
    </row>
    <row r="556" spans="3:3">
      <c r="C556" s="1847"/>
    </row>
    <row r="557" spans="3:3">
      <c r="C557" s="1847"/>
    </row>
    <row r="558" spans="3:3">
      <c r="C558" s="1847"/>
    </row>
    <row r="559" spans="3:3">
      <c r="C559" s="1847"/>
    </row>
    <row r="560" spans="3:3">
      <c r="C560" s="1847"/>
    </row>
    <row r="561" spans="3:3">
      <c r="C561" s="1847"/>
    </row>
    <row r="562" spans="3:3">
      <c r="C562" s="1847"/>
    </row>
    <row r="563" spans="3:3">
      <c r="C563" s="1847"/>
    </row>
    <row r="564" spans="3:3">
      <c r="C564" s="1847"/>
    </row>
    <row r="565" spans="3:3">
      <c r="C565" s="1847"/>
    </row>
    <row r="566" spans="3:3">
      <c r="C566" s="1847"/>
    </row>
    <row r="567" spans="3:3">
      <c r="C567" s="1847"/>
    </row>
    <row r="568" spans="3:3">
      <c r="C568" s="1847"/>
    </row>
    <row r="569" spans="3:3">
      <c r="C569" s="1847"/>
    </row>
    <row r="570" spans="3:3">
      <c r="C570" s="1847"/>
    </row>
    <row r="571" spans="3:3">
      <c r="C571" s="1847"/>
    </row>
    <row r="572" spans="3:3">
      <c r="C572" s="1847"/>
    </row>
    <row r="573" spans="3:3">
      <c r="C573" s="1847"/>
    </row>
    <row r="574" spans="3:3">
      <c r="C574" s="1847"/>
    </row>
    <row r="575" spans="3:3">
      <c r="C575" s="1847"/>
    </row>
    <row r="576" spans="3:3">
      <c r="C576" s="1847"/>
    </row>
    <row r="577" spans="3:3">
      <c r="C577" s="1847"/>
    </row>
    <row r="578" spans="3:3">
      <c r="C578" s="1847"/>
    </row>
    <row r="579" spans="3:3">
      <c r="C579" s="1847"/>
    </row>
    <row r="580" spans="3:3">
      <c r="C580" s="1847"/>
    </row>
    <row r="581" spans="3:3">
      <c r="C581" s="1847"/>
    </row>
    <row r="582" spans="3:3">
      <c r="C582" s="1847"/>
    </row>
    <row r="583" spans="3:3">
      <c r="C583" s="1847"/>
    </row>
    <row r="584" spans="3:3">
      <c r="C584" s="1847"/>
    </row>
    <row r="585" spans="3:3">
      <c r="C585" s="1847"/>
    </row>
    <row r="586" spans="3:3">
      <c r="C586" s="1847"/>
    </row>
    <row r="587" spans="3:3">
      <c r="C587" s="1847"/>
    </row>
    <row r="588" spans="3:3">
      <c r="C588" s="1847"/>
    </row>
    <row r="589" spans="3:3">
      <c r="C589" s="1847"/>
    </row>
    <row r="590" spans="3:3">
      <c r="C590" s="1847"/>
    </row>
    <row r="591" spans="3:3">
      <c r="C591" s="1847"/>
    </row>
    <row r="592" spans="3:3">
      <c r="C592" s="1847"/>
    </row>
    <row r="593" spans="3:3">
      <c r="C593" s="1847"/>
    </row>
    <row r="594" spans="3:3">
      <c r="C594" s="1847"/>
    </row>
    <row r="595" spans="3:3">
      <c r="C595" s="1847"/>
    </row>
    <row r="596" spans="3:3">
      <c r="C596" s="1847"/>
    </row>
    <row r="597" spans="3:3">
      <c r="C597" s="1847"/>
    </row>
    <row r="598" spans="3:3">
      <c r="C598" s="1847"/>
    </row>
    <row r="599" spans="3:3">
      <c r="C599" s="1847"/>
    </row>
    <row r="600" spans="3:3">
      <c r="C600" s="1847"/>
    </row>
    <row r="601" spans="3:3">
      <c r="C601" s="1847"/>
    </row>
    <row r="602" spans="3:3">
      <c r="C602" s="1847"/>
    </row>
    <row r="603" spans="3:3">
      <c r="C603" s="1847"/>
    </row>
    <row r="604" spans="3:3">
      <c r="C604" s="1847"/>
    </row>
    <row r="605" spans="3:3">
      <c r="C605" s="1847"/>
    </row>
    <row r="606" spans="3:3">
      <c r="C606" s="1847"/>
    </row>
    <row r="607" spans="3:3">
      <c r="C607" s="1847"/>
    </row>
    <row r="608" spans="3:3">
      <c r="C608" s="1847"/>
    </row>
    <row r="609" spans="3:3">
      <c r="C609" s="1847"/>
    </row>
    <row r="610" spans="3:3">
      <c r="C610" s="1847"/>
    </row>
    <row r="611" spans="3:3">
      <c r="C611" s="1847"/>
    </row>
    <row r="612" spans="3:3">
      <c r="C612" s="1847"/>
    </row>
    <row r="613" spans="3:3">
      <c r="C613" s="1847"/>
    </row>
    <row r="614" spans="3:3">
      <c r="C614" s="1847"/>
    </row>
    <row r="615" spans="3:3">
      <c r="C615" s="1847"/>
    </row>
    <row r="616" spans="3:3">
      <c r="C616" s="1847"/>
    </row>
    <row r="617" spans="3:3">
      <c r="C617" s="1847"/>
    </row>
    <row r="618" spans="3:3">
      <c r="C618" s="1847"/>
    </row>
    <row r="619" spans="3:3">
      <c r="C619" s="1847"/>
    </row>
    <row r="620" spans="3:3">
      <c r="C620" s="1847"/>
    </row>
    <row r="621" spans="3:3">
      <c r="C621" s="1847"/>
    </row>
    <row r="622" spans="3:3">
      <c r="C622" s="1847"/>
    </row>
    <row r="623" spans="3:3">
      <c r="C623" s="1847"/>
    </row>
    <row r="624" spans="3:3">
      <c r="C624" s="1847"/>
    </row>
    <row r="625" spans="3:3">
      <c r="C625" s="1847"/>
    </row>
    <row r="626" spans="3:3">
      <c r="C626" s="1847"/>
    </row>
    <row r="627" spans="3:3">
      <c r="C627" s="1847"/>
    </row>
    <row r="628" spans="3:3">
      <c r="C628" s="1847"/>
    </row>
    <row r="629" spans="3:3">
      <c r="C629" s="1847"/>
    </row>
    <row r="630" spans="3:3">
      <c r="C630" s="1847"/>
    </row>
    <row r="631" spans="3:3">
      <c r="C631" s="1847"/>
    </row>
    <row r="632" spans="3:3">
      <c r="C632" s="1847"/>
    </row>
    <row r="633" spans="3:3">
      <c r="C633" s="1847"/>
    </row>
    <row r="634" spans="3:3">
      <c r="C634" s="1847"/>
    </row>
    <row r="635" spans="3:3">
      <c r="C635" s="1847"/>
    </row>
    <row r="636" spans="3:3">
      <c r="C636" s="1847"/>
    </row>
    <row r="637" spans="3:3">
      <c r="C637" s="1847"/>
    </row>
    <row r="638" spans="3:3">
      <c r="C638" s="1847"/>
    </row>
    <row r="639" spans="3:3">
      <c r="C639" s="1847"/>
    </row>
    <row r="640" spans="3:3">
      <c r="C640" s="1847"/>
    </row>
    <row r="641" spans="3:3">
      <c r="C641" s="1847"/>
    </row>
    <row r="642" spans="3:3">
      <c r="C642" s="1847"/>
    </row>
    <row r="643" spans="3:3">
      <c r="C643" s="1847"/>
    </row>
    <row r="644" spans="3:3">
      <c r="C644" s="1847"/>
    </row>
    <row r="645" spans="3:3">
      <c r="C645" s="1847"/>
    </row>
    <row r="646" spans="3:3">
      <c r="C646" s="1847"/>
    </row>
    <row r="647" spans="3:3">
      <c r="C647" s="1847"/>
    </row>
    <row r="648" spans="3:3">
      <c r="C648" s="1847"/>
    </row>
    <row r="649" spans="3:3">
      <c r="C649" s="1847"/>
    </row>
    <row r="650" spans="3:3">
      <c r="C650" s="1847"/>
    </row>
    <row r="651" spans="3:3">
      <c r="C651" s="1847"/>
    </row>
    <row r="652" spans="3:3">
      <c r="C652" s="1847"/>
    </row>
    <row r="653" spans="3:3">
      <c r="C653" s="1847"/>
    </row>
    <row r="654" spans="3:3">
      <c r="C654" s="1847"/>
    </row>
    <row r="655" spans="3:3">
      <c r="C655" s="1847"/>
    </row>
    <row r="656" spans="3:3">
      <c r="C656" s="1847"/>
    </row>
    <row r="657" spans="3:3">
      <c r="C657" s="1847"/>
    </row>
    <row r="658" spans="3:3">
      <c r="C658" s="1847"/>
    </row>
    <row r="659" spans="3:3">
      <c r="C659" s="1847"/>
    </row>
    <row r="660" spans="3:3">
      <c r="C660" s="1847"/>
    </row>
    <row r="661" spans="3:3">
      <c r="C661" s="1847"/>
    </row>
    <row r="662" spans="3:3">
      <c r="C662" s="1847"/>
    </row>
    <row r="663" spans="3:3">
      <c r="C663" s="1847"/>
    </row>
    <row r="664" spans="3:3">
      <c r="C664" s="1847"/>
    </row>
    <row r="665" spans="3:3">
      <c r="C665" s="1847"/>
    </row>
    <row r="666" spans="3:3">
      <c r="C666" s="1847"/>
    </row>
    <row r="667" spans="3:3">
      <c r="C667" s="1847"/>
    </row>
    <row r="668" spans="3:3">
      <c r="C668" s="1847"/>
    </row>
    <row r="669" spans="3:3">
      <c r="C669" s="1847"/>
    </row>
    <row r="670" spans="3:3">
      <c r="C670" s="1847"/>
    </row>
    <row r="671" spans="3:3">
      <c r="C671" s="1847"/>
    </row>
    <row r="672" spans="3:3">
      <c r="C672" s="1847"/>
    </row>
    <row r="673" spans="3:3">
      <c r="C673" s="1847"/>
    </row>
    <row r="674" spans="3:3">
      <c r="C674" s="1847"/>
    </row>
    <row r="675" spans="3:3">
      <c r="C675" s="1847"/>
    </row>
    <row r="676" spans="3:3">
      <c r="C676" s="1847"/>
    </row>
    <row r="677" spans="3:3">
      <c r="C677" s="1847"/>
    </row>
    <row r="678" spans="3:3">
      <c r="C678" s="1847"/>
    </row>
    <row r="679" spans="3:3">
      <c r="C679" s="1847"/>
    </row>
    <row r="680" spans="3:3">
      <c r="C680" s="1847"/>
    </row>
    <row r="681" spans="3:3">
      <c r="C681" s="1847"/>
    </row>
    <row r="682" spans="3:3">
      <c r="C682" s="1847"/>
    </row>
    <row r="683" spans="3:3">
      <c r="C683" s="1847"/>
    </row>
    <row r="684" spans="3:3">
      <c r="C684" s="1847"/>
    </row>
    <row r="685" spans="3:3">
      <c r="C685" s="1847"/>
    </row>
    <row r="686" spans="3:3">
      <c r="C686" s="1847"/>
    </row>
    <row r="687" spans="3:3">
      <c r="C687" s="1847"/>
    </row>
    <row r="688" spans="3:3">
      <c r="C688" s="1847"/>
    </row>
    <row r="689" spans="3:3">
      <c r="C689" s="1847"/>
    </row>
    <row r="690" spans="3:3">
      <c r="C690" s="1847"/>
    </row>
    <row r="691" spans="3:3">
      <c r="C691" s="1847"/>
    </row>
    <row r="692" spans="3:3">
      <c r="C692" s="1847"/>
    </row>
    <row r="693" spans="3:3">
      <c r="C693" s="1847"/>
    </row>
    <row r="694" spans="3:3">
      <c r="C694" s="1847"/>
    </row>
    <row r="695" spans="3:3">
      <c r="C695" s="1847"/>
    </row>
    <row r="696" spans="3:3">
      <c r="C696" s="1847"/>
    </row>
    <row r="697" spans="3:3">
      <c r="C697" s="1847"/>
    </row>
    <row r="698" spans="3:3">
      <c r="C698" s="1847"/>
    </row>
    <row r="699" spans="3:3">
      <c r="C699" s="1847"/>
    </row>
    <row r="700" spans="3:3">
      <c r="C700" s="1847"/>
    </row>
    <row r="701" spans="3:3">
      <c r="C701" s="1847"/>
    </row>
    <row r="702" spans="3:3">
      <c r="C702" s="1847"/>
    </row>
    <row r="703" spans="3:3">
      <c r="C703" s="1847"/>
    </row>
    <row r="704" spans="3:3">
      <c r="C704" s="1847"/>
    </row>
    <row r="705" spans="3:3">
      <c r="C705" s="1847"/>
    </row>
    <row r="706" spans="3:3">
      <c r="C706" s="1847"/>
    </row>
    <row r="707" spans="3:3">
      <c r="C707" s="1847"/>
    </row>
    <row r="708" spans="3:3">
      <c r="C708" s="1847"/>
    </row>
    <row r="709" spans="3:3">
      <c r="C709" s="1847"/>
    </row>
    <row r="710" spans="3:3">
      <c r="C710" s="1847"/>
    </row>
    <row r="711" spans="3:3">
      <c r="C711" s="1847"/>
    </row>
    <row r="712" spans="3:3">
      <c r="C712" s="1847"/>
    </row>
    <row r="713" spans="3:3">
      <c r="C713" s="1847"/>
    </row>
    <row r="714" spans="3:3">
      <c r="C714" s="1847"/>
    </row>
    <row r="715" spans="3:3">
      <c r="C715" s="1847"/>
    </row>
    <row r="716" spans="3:3">
      <c r="C716" s="1847"/>
    </row>
    <row r="717" spans="3:3">
      <c r="C717" s="1847"/>
    </row>
    <row r="718" spans="3:3">
      <c r="C718" s="1847"/>
    </row>
    <row r="719" spans="3:3">
      <c r="C719" s="1847"/>
    </row>
    <row r="720" spans="3:3">
      <c r="C720" s="1847"/>
    </row>
    <row r="721" spans="3:3">
      <c r="C721" s="1847"/>
    </row>
    <row r="722" spans="3:3">
      <c r="C722" s="1847"/>
    </row>
    <row r="723" spans="3:3">
      <c r="C723" s="1847"/>
    </row>
    <row r="724" spans="3:3">
      <c r="C724" s="1847"/>
    </row>
    <row r="725" spans="3:3">
      <c r="C725" s="1847"/>
    </row>
    <row r="726" spans="3:3">
      <c r="C726" s="1847"/>
    </row>
    <row r="727" spans="3:3">
      <c r="C727" s="1847"/>
    </row>
    <row r="728" spans="3:3">
      <c r="C728" s="1847"/>
    </row>
    <row r="729" spans="3:3">
      <c r="C729" s="1847"/>
    </row>
    <row r="730" spans="3:3">
      <c r="C730" s="1847"/>
    </row>
    <row r="731" spans="3:3">
      <c r="C731" s="1847"/>
    </row>
    <row r="732" spans="3:3">
      <c r="C732" s="1847"/>
    </row>
    <row r="733" spans="3:3">
      <c r="C733" s="1847"/>
    </row>
    <row r="734" spans="3:3">
      <c r="C734" s="1847"/>
    </row>
    <row r="735" spans="3:3">
      <c r="C735" s="1847"/>
    </row>
    <row r="736" spans="3:3">
      <c r="C736" s="1847"/>
    </row>
    <row r="737" spans="3:3">
      <c r="C737" s="1847"/>
    </row>
    <row r="738" spans="3:3">
      <c r="C738" s="1847"/>
    </row>
    <row r="739" spans="3:3">
      <c r="C739" s="1847"/>
    </row>
    <row r="740" spans="3:3">
      <c r="C740" s="1847"/>
    </row>
    <row r="741" spans="3:3">
      <c r="C741" s="1847"/>
    </row>
    <row r="742" spans="3:3">
      <c r="C742" s="1847"/>
    </row>
    <row r="743" spans="3:3">
      <c r="C743" s="1847"/>
    </row>
    <row r="744" spans="3:3">
      <c r="C744" s="1847"/>
    </row>
    <row r="745" spans="3:3">
      <c r="C745" s="1847"/>
    </row>
    <row r="746" spans="3:3">
      <c r="C746" s="1847"/>
    </row>
    <row r="747" spans="3:3">
      <c r="C747" s="1847"/>
    </row>
    <row r="748" spans="3:3">
      <c r="C748" s="1847"/>
    </row>
    <row r="749" spans="3:3">
      <c r="C749" s="1847"/>
    </row>
    <row r="750" spans="3:3">
      <c r="C750" s="1847"/>
    </row>
    <row r="751" spans="3:3">
      <c r="C751" s="1847"/>
    </row>
    <row r="752" spans="3:3">
      <c r="C752" s="1847"/>
    </row>
    <row r="753" spans="3:3">
      <c r="C753" s="1847"/>
    </row>
    <row r="754" spans="3:3">
      <c r="C754" s="1847"/>
    </row>
    <row r="755" spans="3:3">
      <c r="C755" s="1847"/>
    </row>
    <row r="756" spans="3:3">
      <c r="C756" s="1847"/>
    </row>
    <row r="757" spans="3:3">
      <c r="C757" s="1847"/>
    </row>
    <row r="758" spans="3:3">
      <c r="C758" s="1847"/>
    </row>
    <row r="759" spans="3:3">
      <c r="C759" s="1847"/>
    </row>
    <row r="760" spans="3:3">
      <c r="C760" s="1847"/>
    </row>
    <row r="761" spans="3:3">
      <c r="C761" s="1847"/>
    </row>
    <row r="762" spans="3:3">
      <c r="C762" s="1847"/>
    </row>
    <row r="763" spans="3:3">
      <c r="C763" s="1847"/>
    </row>
    <row r="764" spans="3:3">
      <c r="C764" s="1847"/>
    </row>
    <row r="765" spans="3:3">
      <c r="C765" s="1847"/>
    </row>
    <row r="766" spans="3:3">
      <c r="C766" s="1847"/>
    </row>
    <row r="767" spans="3:3">
      <c r="C767" s="1847"/>
    </row>
    <row r="768" spans="3:3">
      <c r="C768" s="1847"/>
    </row>
    <row r="769" spans="3:3">
      <c r="C769" s="1847"/>
    </row>
    <row r="770" spans="3:3">
      <c r="C770" s="1847"/>
    </row>
    <row r="771" spans="3:3">
      <c r="C771" s="1847"/>
    </row>
    <row r="772" spans="3:3">
      <c r="C772" s="1847"/>
    </row>
    <row r="773" spans="3:3">
      <c r="C773" s="1847"/>
    </row>
    <row r="774" spans="3:3">
      <c r="C774" s="1847"/>
    </row>
    <row r="775" spans="3:3">
      <c r="C775" s="1847"/>
    </row>
    <row r="776" spans="3:3">
      <c r="C776" s="1847"/>
    </row>
    <row r="777" spans="3:3">
      <c r="C777" s="1847"/>
    </row>
    <row r="778" spans="3:3">
      <c r="C778" s="1847"/>
    </row>
    <row r="779" spans="3:3">
      <c r="C779" s="1847"/>
    </row>
    <row r="780" spans="3:3">
      <c r="C780" s="1847"/>
    </row>
    <row r="781" spans="3:3">
      <c r="C781" s="1847"/>
    </row>
    <row r="782" spans="3:3">
      <c r="C782" s="1847"/>
    </row>
    <row r="783" spans="3:3">
      <c r="C783" s="1847"/>
    </row>
    <row r="784" spans="3:3">
      <c r="C784" s="1847"/>
    </row>
    <row r="785" spans="3:3">
      <c r="C785" s="1847"/>
    </row>
    <row r="786" spans="3:3">
      <c r="C786" s="1847"/>
    </row>
    <row r="787" spans="3:3">
      <c r="C787" s="1847"/>
    </row>
    <row r="788" spans="3:3">
      <c r="C788" s="1847"/>
    </row>
    <row r="789" spans="3:3">
      <c r="C789" s="1847"/>
    </row>
    <row r="790" spans="3:3">
      <c r="C790" s="1847"/>
    </row>
    <row r="791" spans="3:3">
      <c r="C791" s="1847"/>
    </row>
    <row r="792" spans="3:3">
      <c r="C792" s="1847"/>
    </row>
    <row r="793" spans="3:3">
      <c r="C793" s="1847"/>
    </row>
    <row r="794" spans="3:3">
      <c r="C794" s="1847"/>
    </row>
    <row r="795" spans="3:3">
      <c r="C795" s="1847"/>
    </row>
    <row r="796" spans="3:3">
      <c r="C796" s="1847"/>
    </row>
    <row r="797" spans="3:3">
      <c r="C797" s="1847"/>
    </row>
    <row r="798" spans="3:3">
      <c r="C798" s="1847"/>
    </row>
    <row r="799" spans="3:3">
      <c r="C799" s="1847"/>
    </row>
    <row r="800" spans="3:3">
      <c r="C800" s="1847"/>
    </row>
    <row r="801" spans="3:3">
      <c r="C801" s="1847"/>
    </row>
    <row r="802" spans="3:3">
      <c r="C802" s="1847"/>
    </row>
    <row r="803" spans="3:3">
      <c r="C803" s="1847"/>
    </row>
    <row r="804" spans="3:3">
      <c r="C804" s="1847"/>
    </row>
    <row r="805" spans="3:3">
      <c r="C805" s="1847"/>
    </row>
    <row r="806" spans="3:3">
      <c r="C806" s="1847"/>
    </row>
    <row r="807" spans="3:3">
      <c r="C807" s="1847"/>
    </row>
    <row r="808" spans="3:3">
      <c r="C808" s="1847"/>
    </row>
    <row r="809" spans="3:3">
      <c r="C809" s="1847"/>
    </row>
    <row r="810" spans="3:3">
      <c r="C810" s="1847"/>
    </row>
    <row r="811" spans="3:3">
      <c r="C811" s="1847"/>
    </row>
    <row r="812" spans="3:3">
      <c r="C812" s="1847"/>
    </row>
    <row r="813" spans="3:3">
      <c r="C813" s="1847"/>
    </row>
    <row r="814" spans="3:3">
      <c r="C814" s="1847"/>
    </row>
    <row r="815" spans="3:3">
      <c r="C815" s="1847"/>
    </row>
    <row r="816" spans="3:3">
      <c r="C816" s="1847"/>
    </row>
    <row r="817" spans="3:3">
      <c r="C817" s="1847"/>
    </row>
    <row r="818" spans="3:3">
      <c r="C818" s="1847"/>
    </row>
    <row r="819" spans="3:3">
      <c r="C819" s="1847"/>
    </row>
    <row r="820" spans="3:3">
      <c r="C820" s="1847"/>
    </row>
    <row r="821" spans="3:3">
      <c r="C821" s="1847"/>
    </row>
    <row r="822" spans="3:3">
      <c r="C822" s="1847"/>
    </row>
    <row r="823" spans="3:3">
      <c r="C823" s="1847"/>
    </row>
    <row r="824" spans="3:3">
      <c r="C824" s="1847"/>
    </row>
    <row r="825" spans="3:3">
      <c r="C825" s="1847"/>
    </row>
    <row r="826" spans="3:3">
      <c r="C826" s="1847"/>
    </row>
    <row r="827" spans="3:3">
      <c r="C827" s="1847"/>
    </row>
    <row r="828" spans="3:3">
      <c r="C828" s="1847"/>
    </row>
    <row r="829" spans="3:3">
      <c r="C829" s="1847"/>
    </row>
    <row r="830" spans="3:3">
      <c r="C830" s="1847"/>
    </row>
    <row r="831" spans="3:3">
      <c r="C831" s="1847"/>
    </row>
    <row r="832" spans="3:3">
      <c r="C832" s="1847"/>
    </row>
    <row r="833" spans="3:3">
      <c r="C833" s="1847"/>
    </row>
    <row r="834" spans="3:3">
      <c r="C834" s="1847"/>
    </row>
    <row r="835" spans="3:3">
      <c r="C835" s="1847"/>
    </row>
    <row r="836" spans="3:3">
      <c r="C836" s="1847"/>
    </row>
    <row r="837" spans="3:3">
      <c r="C837" s="1847"/>
    </row>
    <row r="838" spans="3:3">
      <c r="C838" s="1847"/>
    </row>
    <row r="839" spans="3:3">
      <c r="C839" s="1847"/>
    </row>
    <row r="840" spans="3:3">
      <c r="C840" s="1847"/>
    </row>
    <row r="841" spans="3:3">
      <c r="C841" s="1847"/>
    </row>
    <row r="842" spans="3:3">
      <c r="C842" s="1847"/>
    </row>
    <row r="843" spans="3:3">
      <c r="C843" s="1847"/>
    </row>
    <row r="844" spans="3:3">
      <c r="C844" s="1847"/>
    </row>
    <row r="845" spans="3:3">
      <c r="C845" s="1847"/>
    </row>
    <row r="846" spans="3:3">
      <c r="C846" s="1847"/>
    </row>
    <row r="847" spans="3:3">
      <c r="C847" s="1847"/>
    </row>
    <row r="848" spans="3:3">
      <c r="C848" s="1847"/>
    </row>
    <row r="849" spans="3:3">
      <c r="C849" s="1847"/>
    </row>
    <row r="850" spans="3:3">
      <c r="C850" s="1847"/>
    </row>
    <row r="851" spans="3:3">
      <c r="C851" s="1847"/>
    </row>
    <row r="852" spans="3:3">
      <c r="C852" s="1847"/>
    </row>
    <row r="853" spans="3:3">
      <c r="C853" s="1847"/>
    </row>
    <row r="854" spans="3:3">
      <c r="C854" s="1847"/>
    </row>
    <row r="855" spans="3:3">
      <c r="C855" s="1847"/>
    </row>
    <row r="856" spans="3:3">
      <c r="C856" s="1847"/>
    </row>
    <row r="857" spans="3:3">
      <c r="C857" s="1847"/>
    </row>
    <row r="858" spans="3:3">
      <c r="C858" s="1847"/>
    </row>
    <row r="859" spans="3:3">
      <c r="C859" s="1847"/>
    </row>
    <row r="860" spans="3:3">
      <c r="C860" s="1847"/>
    </row>
    <row r="861" spans="3:3">
      <c r="C861" s="1847"/>
    </row>
    <row r="862" spans="3:3">
      <c r="C862" s="1847"/>
    </row>
    <row r="863" spans="3:3">
      <c r="C863" s="1847"/>
    </row>
    <row r="864" spans="3:3">
      <c r="C864" s="1847"/>
    </row>
    <row r="865" spans="3:3">
      <c r="C865" s="1847"/>
    </row>
    <row r="866" spans="3:3">
      <c r="C866" s="1847"/>
    </row>
    <row r="867" spans="3:3">
      <c r="C867" s="1847"/>
    </row>
    <row r="868" spans="3:3">
      <c r="C868" s="1847"/>
    </row>
    <row r="869" spans="3:3">
      <c r="C869" s="1847"/>
    </row>
    <row r="870" spans="3:3">
      <c r="C870" s="1847"/>
    </row>
    <row r="871" spans="3:3">
      <c r="C871" s="1847"/>
    </row>
    <row r="872" spans="3:3">
      <c r="C872" s="1847"/>
    </row>
    <row r="873" spans="3:3">
      <c r="C873" s="1847"/>
    </row>
    <row r="874" spans="3:3">
      <c r="C874" s="1847"/>
    </row>
    <row r="875" spans="3:3">
      <c r="C875" s="1847"/>
    </row>
    <row r="876" spans="3:3">
      <c r="C876" s="1847"/>
    </row>
    <row r="877" spans="3:3">
      <c r="C877" s="1847"/>
    </row>
    <row r="878" spans="3:3">
      <c r="C878" s="1847"/>
    </row>
    <row r="879" spans="3:3">
      <c r="C879" s="1847"/>
    </row>
    <row r="880" spans="3:3">
      <c r="C880" s="1847"/>
    </row>
    <row r="881" spans="3:3">
      <c r="C881" s="1847"/>
    </row>
    <row r="882" spans="3:3">
      <c r="C882" s="1847"/>
    </row>
    <row r="883" spans="3:3">
      <c r="C883" s="1847"/>
    </row>
    <row r="884" spans="3:3">
      <c r="C884" s="1847"/>
    </row>
    <row r="885" spans="3:3">
      <c r="C885" s="1847"/>
    </row>
    <row r="886" spans="3:3">
      <c r="C886" s="1847"/>
    </row>
    <row r="887" spans="3:3">
      <c r="C887" s="1847"/>
    </row>
    <row r="888" spans="3:3">
      <c r="C888" s="1847"/>
    </row>
    <row r="889" spans="3:3">
      <c r="C889" s="1847"/>
    </row>
    <row r="890" spans="3:3">
      <c r="C890" s="1847"/>
    </row>
    <row r="891" spans="3:3">
      <c r="C891" s="1847"/>
    </row>
    <row r="892" spans="3:3">
      <c r="C892" s="1847"/>
    </row>
    <row r="893" spans="3:3">
      <c r="C893" s="1847"/>
    </row>
    <row r="894" spans="3:3">
      <c r="C894" s="1847"/>
    </row>
    <row r="895" spans="3:3">
      <c r="C895" s="1847"/>
    </row>
    <row r="896" spans="3:3">
      <c r="C896" s="1847"/>
    </row>
    <row r="897" spans="3:3">
      <c r="C897" s="1847"/>
    </row>
    <row r="898" spans="3:3">
      <c r="C898" s="1847"/>
    </row>
    <row r="899" spans="3:3">
      <c r="C899" s="1847"/>
    </row>
    <row r="900" spans="3:3">
      <c r="C900" s="1847"/>
    </row>
    <row r="901" spans="3:3">
      <c r="C901" s="1847"/>
    </row>
    <row r="902" spans="3:3">
      <c r="C902" s="1847"/>
    </row>
    <row r="903" spans="3:3">
      <c r="C903" s="1847"/>
    </row>
    <row r="904" spans="3:3">
      <c r="C904" s="1847"/>
    </row>
    <row r="905" spans="3:3">
      <c r="C905" s="1847"/>
    </row>
    <row r="906" spans="3:3">
      <c r="C906" s="1847"/>
    </row>
    <row r="907" spans="3:3">
      <c r="C907" s="1847"/>
    </row>
    <row r="908" spans="3:3">
      <c r="C908" s="1847"/>
    </row>
    <row r="909" spans="3:3">
      <c r="C909" s="1847"/>
    </row>
    <row r="910" spans="3:3">
      <c r="C910" s="1847"/>
    </row>
    <row r="911" spans="3:3">
      <c r="C911" s="1847"/>
    </row>
    <row r="912" spans="3:3">
      <c r="C912" s="1847"/>
    </row>
    <row r="913" spans="3:3">
      <c r="C913" s="1847"/>
    </row>
    <row r="914" spans="3:3">
      <c r="C914" s="1847"/>
    </row>
    <row r="915" spans="3:3">
      <c r="C915" s="1847"/>
    </row>
    <row r="916" spans="3:3">
      <c r="C916" s="1847"/>
    </row>
    <row r="917" spans="3:3">
      <c r="C917" s="1847"/>
    </row>
    <row r="918" spans="3:3">
      <c r="C918" s="1847"/>
    </row>
    <row r="919" spans="3:3">
      <c r="C919" s="1847"/>
    </row>
    <row r="920" spans="3:3">
      <c r="C920" s="1847"/>
    </row>
    <row r="921" spans="3:3">
      <c r="C921" s="1847"/>
    </row>
    <row r="922" spans="3:3">
      <c r="C922" s="1847"/>
    </row>
    <row r="923" spans="3:3">
      <c r="C923" s="1847"/>
    </row>
    <row r="924" spans="3:3">
      <c r="C924" s="1847"/>
    </row>
    <row r="925" spans="3:3">
      <c r="C925" s="1847"/>
    </row>
    <row r="926" spans="3:3">
      <c r="C926" s="1847"/>
    </row>
    <row r="927" spans="3:3">
      <c r="C927" s="1847"/>
    </row>
    <row r="928" spans="3:3">
      <c r="C928" s="1847"/>
    </row>
    <row r="929" spans="3:3">
      <c r="C929" s="1847"/>
    </row>
    <row r="930" spans="3:3">
      <c r="C930" s="1847"/>
    </row>
    <row r="931" spans="3:3">
      <c r="C931" s="1847"/>
    </row>
    <row r="932" spans="3:3">
      <c r="C932" s="1847"/>
    </row>
    <row r="933" spans="3:3">
      <c r="C933" s="1847"/>
    </row>
    <row r="934" spans="3:3">
      <c r="C934" s="1847"/>
    </row>
    <row r="935" spans="3:3">
      <c r="C935" s="1847"/>
    </row>
    <row r="936" spans="3:3">
      <c r="C936" s="1847"/>
    </row>
    <row r="937" spans="3:3">
      <c r="C937" s="1847"/>
    </row>
    <row r="938" spans="3:3">
      <c r="C938" s="1847"/>
    </row>
    <row r="939" spans="3:3">
      <c r="C939" s="1847"/>
    </row>
    <row r="940" spans="3:3">
      <c r="C940" s="1847"/>
    </row>
    <row r="941" spans="3:3">
      <c r="C941" s="1847"/>
    </row>
    <row r="942" spans="3:3">
      <c r="C942" s="1847"/>
    </row>
    <row r="943" spans="3:3">
      <c r="C943" s="1847"/>
    </row>
    <row r="944" spans="3:3">
      <c r="C944" s="1847"/>
    </row>
    <row r="945" spans="3:3">
      <c r="C945" s="1847"/>
    </row>
    <row r="946" spans="3:3">
      <c r="C946" s="1847"/>
    </row>
    <row r="947" spans="3:3">
      <c r="C947" s="1847"/>
    </row>
    <row r="948" spans="3:3">
      <c r="C948" s="1847"/>
    </row>
    <row r="949" spans="3:3">
      <c r="C949" s="1847"/>
    </row>
    <row r="950" spans="3:3">
      <c r="C950" s="1847"/>
    </row>
    <row r="951" spans="3:3">
      <c r="C951" s="1847"/>
    </row>
    <row r="952" spans="3:3">
      <c r="C952" s="1847"/>
    </row>
    <row r="953" spans="3:3">
      <c r="C953" s="1847"/>
    </row>
    <row r="954" spans="3:3">
      <c r="C954" s="1847"/>
    </row>
    <row r="955" spans="3:3">
      <c r="C955" s="1847"/>
    </row>
    <row r="956" spans="3:3">
      <c r="C956" s="1847"/>
    </row>
    <row r="957" spans="3:3">
      <c r="C957" s="1847"/>
    </row>
    <row r="958" spans="3:3">
      <c r="C958" s="1847"/>
    </row>
    <row r="959" spans="3:3">
      <c r="C959" s="1847"/>
    </row>
    <row r="960" spans="3:3">
      <c r="C960" s="1847"/>
    </row>
    <row r="961" spans="3:3">
      <c r="C961" s="1847"/>
    </row>
    <row r="962" spans="3:3">
      <c r="C962" s="1847"/>
    </row>
    <row r="963" spans="3:3">
      <c r="C963" s="1847"/>
    </row>
    <row r="964" spans="3:3">
      <c r="C964" s="1847"/>
    </row>
    <row r="965" spans="3:3">
      <c r="C965" s="1847"/>
    </row>
    <row r="966" spans="3:3">
      <c r="C966" s="1847"/>
    </row>
    <row r="967" spans="3:3">
      <c r="C967" s="1847"/>
    </row>
    <row r="968" spans="3:3">
      <c r="C968" s="1847"/>
    </row>
    <row r="969" spans="3:3">
      <c r="C969" s="1847"/>
    </row>
    <row r="970" spans="3:3">
      <c r="C970" s="1847"/>
    </row>
    <row r="971" spans="3:3">
      <c r="C971" s="1847"/>
    </row>
    <row r="972" spans="3:3">
      <c r="C972" s="1847"/>
    </row>
    <row r="973" spans="3:3">
      <c r="C973" s="1847"/>
    </row>
    <row r="974" spans="3:3">
      <c r="C974" s="1847"/>
    </row>
    <row r="975" spans="3:3">
      <c r="C975" s="1847"/>
    </row>
    <row r="976" spans="3:3">
      <c r="C976" s="1847"/>
    </row>
    <row r="977" spans="3:3">
      <c r="C977" s="1847"/>
    </row>
    <row r="978" spans="3:3">
      <c r="C978" s="1847"/>
    </row>
    <row r="979" spans="3:3">
      <c r="C979" s="1847"/>
    </row>
    <row r="980" spans="3:3">
      <c r="C980" s="1847"/>
    </row>
    <row r="981" spans="3:3">
      <c r="C981" s="1847"/>
    </row>
    <row r="982" spans="3:3">
      <c r="C982" s="1847"/>
    </row>
    <row r="983" spans="3:3">
      <c r="C983" s="1847"/>
    </row>
    <row r="984" spans="3:3">
      <c r="C984" s="1847"/>
    </row>
    <row r="985" spans="3:3">
      <c r="C985" s="1847"/>
    </row>
    <row r="986" spans="3:3">
      <c r="C986" s="1847"/>
    </row>
    <row r="987" spans="3:3">
      <c r="C987" s="1847"/>
    </row>
    <row r="988" spans="3:3">
      <c r="C988" s="1847"/>
    </row>
    <row r="989" spans="3:3">
      <c r="C989" s="1847"/>
    </row>
    <row r="990" spans="3:3">
      <c r="C990" s="1847"/>
    </row>
    <row r="991" spans="3:3">
      <c r="C991" s="1847"/>
    </row>
    <row r="992" spans="3:3">
      <c r="C992" s="1847"/>
    </row>
    <row r="993" spans="3:3">
      <c r="C993" s="1847"/>
    </row>
    <row r="994" spans="3:3">
      <c r="C994" s="1847"/>
    </row>
    <row r="995" spans="3:3">
      <c r="C995" s="1847"/>
    </row>
    <row r="996" spans="3:3">
      <c r="C996" s="1847"/>
    </row>
    <row r="997" spans="3:3">
      <c r="C997" s="1847"/>
    </row>
    <row r="998" spans="3:3">
      <c r="C998" s="1847"/>
    </row>
    <row r="999" spans="3:3">
      <c r="C999" s="1847"/>
    </row>
    <row r="1000" spans="3:3">
      <c r="C1000" s="1847"/>
    </row>
    <row r="1001" spans="3:3">
      <c r="C1001" s="1847"/>
    </row>
    <row r="1002" spans="3:3">
      <c r="C1002" s="1847"/>
    </row>
    <row r="1003" spans="3:3">
      <c r="C1003" s="1847"/>
    </row>
    <row r="1004" spans="3:3">
      <c r="C1004" s="1847"/>
    </row>
    <row r="1005" spans="3:3">
      <c r="C1005" s="1847"/>
    </row>
    <row r="1006" spans="3:3">
      <c r="C1006" s="1847"/>
    </row>
    <row r="1007" spans="3:3">
      <c r="C1007" s="1847"/>
    </row>
    <row r="1008" spans="3:3">
      <c r="C1008" s="1847"/>
    </row>
    <row r="1009" spans="3:3">
      <c r="C1009" s="1847"/>
    </row>
    <row r="1010" spans="3:3">
      <c r="C1010" s="1847"/>
    </row>
    <row r="1011" spans="3:3">
      <c r="C1011" s="1847"/>
    </row>
    <row r="1012" spans="3:3">
      <c r="C1012" s="1847"/>
    </row>
    <row r="1013" spans="3:3">
      <c r="C1013" s="1847"/>
    </row>
    <row r="1014" spans="3:3">
      <c r="C1014" s="1847"/>
    </row>
    <row r="1015" spans="3:3">
      <c r="C1015" s="1847"/>
    </row>
    <row r="1016" spans="3:3">
      <c r="C1016" s="1847"/>
    </row>
    <row r="1017" spans="3:3">
      <c r="C1017" s="1847"/>
    </row>
    <row r="1018" spans="3:3">
      <c r="C1018" s="1847"/>
    </row>
    <row r="1019" spans="3:3">
      <c r="C1019" s="1847"/>
    </row>
    <row r="1020" spans="3:3">
      <c r="C1020" s="1847"/>
    </row>
    <row r="1021" spans="3:3">
      <c r="C1021" s="1847"/>
    </row>
    <row r="1022" spans="3:3">
      <c r="C1022" s="1847"/>
    </row>
    <row r="1023" spans="3:3">
      <c r="C1023" s="1847"/>
    </row>
    <row r="1024" spans="3:3">
      <c r="C1024" s="1847"/>
    </row>
    <row r="1025" spans="3:3">
      <c r="C1025" s="1847"/>
    </row>
    <row r="1026" spans="3:3">
      <c r="C1026" s="1847"/>
    </row>
    <row r="1027" spans="3:3">
      <c r="C1027" s="1847"/>
    </row>
    <row r="1028" spans="3:3">
      <c r="C1028" s="1847"/>
    </row>
    <row r="1029" spans="3:3">
      <c r="C1029" s="1847"/>
    </row>
    <row r="1030" spans="3:3">
      <c r="C1030" s="1847"/>
    </row>
    <row r="1031" spans="3:3">
      <c r="C1031" s="1847"/>
    </row>
    <row r="1032" spans="3:3">
      <c r="C1032" s="1847"/>
    </row>
    <row r="1033" spans="3:3">
      <c r="C1033" s="1847"/>
    </row>
    <row r="1034" spans="3:3">
      <c r="C1034" s="1847"/>
    </row>
    <row r="1035" spans="3:3">
      <c r="C1035" s="1847"/>
    </row>
    <row r="1036" spans="3:3">
      <c r="C1036" s="1847"/>
    </row>
    <row r="1037" spans="3:3">
      <c r="C1037" s="1847"/>
    </row>
    <row r="1038" spans="3:3">
      <c r="C1038" s="1847"/>
    </row>
    <row r="1039" spans="3:3">
      <c r="C1039" s="1847"/>
    </row>
    <row r="1040" spans="3:3">
      <c r="C1040" s="1847"/>
    </row>
    <row r="1041" spans="3:3">
      <c r="C1041" s="1847"/>
    </row>
    <row r="1042" spans="3:3">
      <c r="C1042" s="1847"/>
    </row>
    <row r="1043" spans="3:3">
      <c r="C1043" s="1847"/>
    </row>
    <row r="1044" spans="3:3">
      <c r="C1044" s="1847"/>
    </row>
    <row r="1045" spans="3:3">
      <c r="C1045" s="1847"/>
    </row>
    <row r="1046" spans="3:3">
      <c r="C1046" s="1847"/>
    </row>
    <row r="1047" spans="3:3">
      <c r="C1047" s="1847"/>
    </row>
    <row r="1048" spans="3:3">
      <c r="C1048" s="1847"/>
    </row>
    <row r="1049" spans="3:3">
      <c r="C1049" s="1847"/>
    </row>
    <row r="1050" spans="3:3">
      <c r="C1050" s="1847"/>
    </row>
    <row r="1051" spans="3:3">
      <c r="C1051" s="1847"/>
    </row>
    <row r="1052" spans="3:3">
      <c r="C1052" s="1847"/>
    </row>
    <row r="1053" spans="3:3">
      <c r="C1053" s="1847"/>
    </row>
    <row r="1054" spans="3:3">
      <c r="C1054" s="1847"/>
    </row>
    <row r="1055" spans="3:3">
      <c r="C1055" s="1847"/>
    </row>
    <row r="1056" spans="3:3">
      <c r="C1056" s="1847"/>
    </row>
    <row r="1057" spans="3:3">
      <c r="C1057" s="1847"/>
    </row>
    <row r="1058" spans="3:3">
      <c r="C1058" s="1847"/>
    </row>
    <row r="1059" spans="3:3">
      <c r="C1059" s="1847"/>
    </row>
    <row r="1060" spans="3:3">
      <c r="C1060" s="1847"/>
    </row>
    <row r="1061" spans="3:3">
      <c r="C1061" s="1847"/>
    </row>
    <row r="1062" spans="3:3">
      <c r="C1062" s="1847"/>
    </row>
    <row r="1063" spans="3:3">
      <c r="C1063" s="1847"/>
    </row>
    <row r="1064" spans="3:3">
      <c r="C1064" s="1847"/>
    </row>
    <row r="1065" spans="3:3">
      <c r="C1065" s="1847"/>
    </row>
    <row r="1066" spans="3:3">
      <c r="C1066" s="1847"/>
    </row>
    <row r="1067" spans="3:3">
      <c r="C1067" s="1847"/>
    </row>
    <row r="1068" spans="3:3">
      <c r="C1068" s="1847"/>
    </row>
    <row r="1069" spans="3:3">
      <c r="C1069" s="1847"/>
    </row>
    <row r="1070" spans="3:3">
      <c r="C1070" s="1847"/>
    </row>
    <row r="1071" spans="3:3">
      <c r="C1071" s="1847"/>
    </row>
    <row r="1072" spans="3:3">
      <c r="C1072" s="1847"/>
    </row>
    <row r="1073" spans="3:3">
      <c r="C1073" s="1847"/>
    </row>
    <row r="1074" spans="3:3">
      <c r="C1074" s="1847"/>
    </row>
    <row r="1075" spans="3:3">
      <c r="C1075" s="1847"/>
    </row>
    <row r="1076" spans="3:3">
      <c r="C1076" s="1847"/>
    </row>
    <row r="1077" spans="3:3">
      <c r="C1077" s="1847"/>
    </row>
    <row r="1078" spans="3:3">
      <c r="C1078" s="1847"/>
    </row>
    <row r="1079" spans="3:3">
      <c r="C1079" s="1847"/>
    </row>
    <row r="1080" spans="3:3">
      <c r="C1080" s="1847"/>
    </row>
    <row r="1081" spans="3:3">
      <c r="C1081" s="1847"/>
    </row>
    <row r="1082" spans="3:3">
      <c r="C1082" s="1847"/>
    </row>
    <row r="1083" spans="3:3">
      <c r="C1083" s="1847"/>
    </row>
    <row r="1084" spans="3:3">
      <c r="C1084" s="1847"/>
    </row>
    <row r="1085" spans="3:3">
      <c r="C1085" s="1847"/>
    </row>
    <row r="1086" spans="3:3">
      <c r="C1086" s="1847"/>
    </row>
    <row r="1087" spans="3:3">
      <c r="C1087" s="1847"/>
    </row>
    <row r="1088" spans="3:3">
      <c r="C1088" s="1847"/>
    </row>
    <row r="1089" spans="3:3">
      <c r="C1089" s="1847"/>
    </row>
    <row r="1090" spans="3:3">
      <c r="C1090" s="1847"/>
    </row>
    <row r="1091" spans="3:3">
      <c r="C1091" s="1847"/>
    </row>
    <row r="1092" spans="3:3">
      <c r="C1092" s="1847"/>
    </row>
    <row r="1093" spans="3:3">
      <c r="C1093" s="1847"/>
    </row>
    <row r="1094" spans="3:3">
      <c r="C1094" s="1847"/>
    </row>
    <row r="1095" spans="3:3">
      <c r="C1095" s="1847"/>
    </row>
    <row r="1096" spans="3:3">
      <c r="C1096" s="1847"/>
    </row>
    <row r="1097" spans="3:3">
      <c r="C1097" s="1847"/>
    </row>
    <row r="1098" spans="3:3">
      <c r="C1098" s="1847"/>
    </row>
    <row r="1099" spans="3:3">
      <c r="C1099" s="1847"/>
    </row>
    <row r="1100" spans="3:3">
      <c r="C1100" s="1847"/>
    </row>
    <row r="1101" spans="3:3">
      <c r="C1101" s="1847"/>
    </row>
    <row r="1102" spans="3:3">
      <c r="C1102" s="1847"/>
    </row>
    <row r="1103" spans="3:3">
      <c r="C1103" s="1847"/>
    </row>
    <row r="1104" spans="3:3">
      <c r="C1104" s="1847"/>
    </row>
    <row r="1105" spans="3:3">
      <c r="C1105" s="1847"/>
    </row>
    <row r="1106" spans="3:3">
      <c r="C1106" s="1847"/>
    </row>
    <row r="1107" spans="3:3">
      <c r="C1107" s="1847"/>
    </row>
    <row r="1108" spans="3:3">
      <c r="C1108" s="1847"/>
    </row>
    <row r="1109" spans="3:3">
      <c r="C1109" s="1847"/>
    </row>
    <row r="1110" spans="3:3">
      <c r="C1110" s="1847"/>
    </row>
    <row r="1111" spans="3:3">
      <c r="C1111" s="1847"/>
    </row>
    <row r="1112" spans="3:3">
      <c r="C1112" s="1847"/>
    </row>
    <row r="1113" spans="3:3">
      <c r="C1113" s="1847"/>
    </row>
    <row r="1114" spans="3:3">
      <c r="C1114" s="1847"/>
    </row>
    <row r="1115" spans="3:3">
      <c r="C1115" s="1847"/>
    </row>
    <row r="1116" spans="3:3">
      <c r="C1116" s="1847"/>
    </row>
    <row r="1117" spans="3:3">
      <c r="C1117" s="1847"/>
    </row>
    <row r="1118" spans="3:3">
      <c r="C1118" s="1847"/>
    </row>
    <row r="1119" spans="3:3">
      <c r="C1119" s="1847"/>
    </row>
    <row r="1120" spans="3:3">
      <c r="C1120" s="1847"/>
    </row>
    <row r="1121" spans="3:3">
      <c r="C1121" s="1847"/>
    </row>
    <row r="1122" spans="3:3">
      <c r="C1122" s="1847"/>
    </row>
    <row r="1123" spans="3:3">
      <c r="C1123" s="1847"/>
    </row>
    <row r="1124" spans="3:3">
      <c r="C1124" s="1847"/>
    </row>
    <row r="1125" spans="3:3">
      <c r="C1125" s="1847"/>
    </row>
    <row r="1126" spans="3:3">
      <c r="C1126" s="1847"/>
    </row>
    <row r="1127" spans="3:3">
      <c r="C1127" s="1847"/>
    </row>
    <row r="1128" spans="3:3">
      <c r="C1128" s="1847"/>
    </row>
    <row r="1129" spans="3:3">
      <c r="C1129" s="1847"/>
    </row>
    <row r="1130" spans="3:3">
      <c r="C1130" s="1847"/>
    </row>
    <row r="1131" spans="3:3">
      <c r="C1131" s="1847"/>
    </row>
    <row r="1132" spans="3:3">
      <c r="C1132" s="1847"/>
    </row>
    <row r="1133" spans="3:3">
      <c r="C1133" s="1847"/>
    </row>
    <row r="1134" spans="3:3">
      <c r="C1134" s="1847"/>
    </row>
    <row r="1135" spans="3:3">
      <c r="C1135" s="1847"/>
    </row>
    <row r="1136" spans="3:3">
      <c r="C1136" s="1847"/>
    </row>
    <row r="1137" spans="3:3">
      <c r="C1137" s="1847"/>
    </row>
    <row r="1138" spans="3:3">
      <c r="C1138" s="1847"/>
    </row>
    <row r="1139" spans="3:3">
      <c r="C1139" s="1847"/>
    </row>
    <row r="1140" spans="3:3">
      <c r="C1140" s="1847"/>
    </row>
    <row r="1141" spans="3:3">
      <c r="C1141" s="1847"/>
    </row>
    <row r="1142" spans="3:3">
      <c r="C1142" s="1847"/>
    </row>
    <row r="1143" spans="3:3">
      <c r="C1143" s="1847"/>
    </row>
    <row r="1144" spans="3:3">
      <c r="C1144" s="1847"/>
    </row>
    <row r="1145" spans="3:3">
      <c r="C1145" s="1847"/>
    </row>
    <row r="1146" spans="3:3">
      <c r="C1146" s="1847"/>
    </row>
    <row r="1147" spans="3:3">
      <c r="C1147" s="1847"/>
    </row>
    <row r="1148" spans="3:3">
      <c r="C1148" s="1847"/>
    </row>
    <row r="1149" spans="3:3">
      <c r="C1149" s="1847"/>
    </row>
    <row r="1150" spans="3:3">
      <c r="C1150" s="1847"/>
    </row>
    <row r="1151" spans="3:3">
      <c r="C1151" s="1847"/>
    </row>
    <row r="1152" spans="3:3">
      <c r="C1152" s="1847"/>
    </row>
    <row r="1153" spans="3:3">
      <c r="C1153" s="1847"/>
    </row>
    <row r="1154" spans="3:3">
      <c r="C1154" s="1847"/>
    </row>
    <row r="1155" spans="3:3">
      <c r="C1155" s="1847"/>
    </row>
    <row r="1156" spans="3:3">
      <c r="C1156" s="1847"/>
    </row>
    <row r="1157" spans="3:3">
      <c r="C1157" s="1847"/>
    </row>
    <row r="1158" spans="3:3">
      <c r="C1158" s="1847"/>
    </row>
    <row r="1159" spans="3:3">
      <c r="C1159" s="1847"/>
    </row>
    <row r="1160" spans="3:3">
      <c r="C1160" s="1847"/>
    </row>
    <row r="1161" spans="3:3">
      <c r="C1161" s="1847"/>
    </row>
    <row r="1162" spans="3:3">
      <c r="C1162" s="1847"/>
    </row>
    <row r="1163" spans="3:3">
      <c r="C1163" s="1847"/>
    </row>
    <row r="1164" spans="3:3">
      <c r="C1164" s="1847"/>
    </row>
    <row r="1165" spans="3:3">
      <c r="C1165" s="1847"/>
    </row>
    <row r="1166" spans="3:3">
      <c r="C1166" s="1847"/>
    </row>
    <row r="1167" spans="3:3">
      <c r="C1167" s="1847"/>
    </row>
    <row r="1168" spans="3:3">
      <c r="C1168" s="1847"/>
    </row>
    <row r="1169" spans="3:3">
      <c r="C1169" s="1847"/>
    </row>
    <row r="1170" spans="3:3">
      <c r="C1170" s="1847"/>
    </row>
    <row r="1171" spans="3:3">
      <c r="C1171" s="1847"/>
    </row>
    <row r="1172" spans="3:3">
      <c r="C1172" s="1847"/>
    </row>
    <row r="1173" spans="3:3">
      <c r="C1173" s="1847"/>
    </row>
    <row r="1174" spans="3:3">
      <c r="C1174" s="1847"/>
    </row>
    <row r="1175" spans="3:3">
      <c r="C1175" s="1847"/>
    </row>
    <row r="1176" spans="3:3">
      <c r="C1176" s="1847"/>
    </row>
    <row r="1177" spans="3:3">
      <c r="C1177" s="1847"/>
    </row>
    <row r="1178" spans="3:3">
      <c r="C1178" s="1847"/>
    </row>
    <row r="1179" spans="3:3">
      <c r="C1179" s="1847"/>
    </row>
    <row r="1180" spans="3:3">
      <c r="C1180" s="1847"/>
    </row>
    <row r="1181" spans="3:3">
      <c r="C1181" s="1847"/>
    </row>
    <row r="1182" spans="3:3">
      <c r="C1182" s="1847"/>
    </row>
    <row r="1183" spans="3:3">
      <c r="C1183" s="1847"/>
    </row>
    <row r="1184" spans="3:3">
      <c r="C1184" s="1847"/>
    </row>
    <row r="1185" spans="3:3">
      <c r="C1185" s="1847"/>
    </row>
    <row r="1186" spans="3:3">
      <c r="C1186" s="1847"/>
    </row>
    <row r="1187" spans="3:3">
      <c r="C1187" s="1847"/>
    </row>
    <row r="1188" spans="3:3">
      <c r="C1188" s="1847"/>
    </row>
    <row r="1189" spans="3:3">
      <c r="C1189" s="1847"/>
    </row>
    <row r="1190" spans="3:3">
      <c r="C1190" s="1847"/>
    </row>
    <row r="1191" spans="3:3">
      <c r="C1191" s="1847"/>
    </row>
    <row r="1192" spans="3:3">
      <c r="C1192" s="1847"/>
    </row>
    <row r="1193" spans="3:3">
      <c r="C1193" s="1847"/>
    </row>
    <row r="1194" spans="3:3">
      <c r="C1194" s="1847"/>
    </row>
    <row r="1195" spans="3:3">
      <c r="C1195" s="1847"/>
    </row>
    <row r="1196" spans="3:3">
      <c r="C1196" s="1847"/>
    </row>
    <row r="1197" spans="3:3">
      <c r="C1197" s="1847"/>
    </row>
    <row r="1198" spans="3:3">
      <c r="C1198" s="1847"/>
    </row>
    <row r="1199" spans="3:3">
      <c r="C1199" s="1847"/>
    </row>
    <row r="1200" spans="3:3">
      <c r="C1200" s="1847"/>
    </row>
    <row r="1201" spans="3:3">
      <c r="C1201" s="1847"/>
    </row>
    <row r="1202" spans="3:3">
      <c r="C1202" s="1847"/>
    </row>
    <row r="1203" spans="3:3">
      <c r="C1203" s="1847"/>
    </row>
    <row r="1204" spans="3:3">
      <c r="C1204" s="1847"/>
    </row>
    <row r="1205" spans="3:3">
      <c r="C1205" s="1847"/>
    </row>
    <row r="1206" spans="3:3">
      <c r="C1206" s="1847"/>
    </row>
    <row r="1207" spans="3:3">
      <c r="C1207" s="1847"/>
    </row>
    <row r="1208" spans="3:3">
      <c r="C1208" s="1847"/>
    </row>
    <row r="1209" spans="3:3">
      <c r="C1209" s="1847"/>
    </row>
    <row r="1210" spans="3:3">
      <c r="C1210" s="1847"/>
    </row>
    <row r="1211" spans="3:3">
      <c r="C1211" s="1847"/>
    </row>
    <row r="1212" spans="3:3">
      <c r="C1212" s="1847"/>
    </row>
    <row r="1213" spans="3:3">
      <c r="C1213" s="1847"/>
    </row>
    <row r="1214" spans="3:3">
      <c r="C1214" s="1847"/>
    </row>
    <row r="1215" spans="3:3">
      <c r="C1215" s="1847"/>
    </row>
    <row r="1216" spans="3:3">
      <c r="C1216" s="1847"/>
    </row>
    <row r="1217" spans="3:3">
      <c r="C1217" s="1847"/>
    </row>
    <row r="1218" spans="3:3">
      <c r="C1218" s="1847"/>
    </row>
    <row r="1219" spans="3:3">
      <c r="C1219" s="1847"/>
    </row>
    <row r="1220" spans="3:3">
      <c r="C1220" s="1847"/>
    </row>
    <row r="1221" spans="3:3">
      <c r="C1221" s="1847"/>
    </row>
    <row r="1222" spans="3:3">
      <c r="C1222" s="1847"/>
    </row>
    <row r="1223" spans="3:3">
      <c r="C1223" s="1847"/>
    </row>
    <row r="1224" spans="3:3">
      <c r="C1224" s="1847"/>
    </row>
    <row r="1225" spans="3:3">
      <c r="C1225" s="1847"/>
    </row>
    <row r="1226" spans="3:3">
      <c r="C1226" s="1847"/>
    </row>
    <row r="1227" spans="3:3">
      <c r="C1227" s="1847"/>
    </row>
    <row r="1228" spans="3:3">
      <c r="C1228" s="1847"/>
    </row>
    <row r="1229" spans="3:3">
      <c r="C1229" s="1847"/>
    </row>
    <row r="1230" spans="3:3">
      <c r="C1230" s="1847"/>
    </row>
    <row r="1231" spans="3:3">
      <c r="C1231" s="1847"/>
    </row>
    <row r="1232" spans="3:3">
      <c r="C1232" s="1847"/>
    </row>
    <row r="1233" spans="3:3">
      <c r="C1233" s="1847"/>
    </row>
    <row r="1234" spans="3:3">
      <c r="C1234" s="1847"/>
    </row>
    <row r="1235" spans="3:3">
      <c r="C1235" s="1847"/>
    </row>
    <row r="1236" spans="3:3">
      <c r="C1236" s="1847"/>
    </row>
    <row r="1237" spans="3:3">
      <c r="C1237" s="1847"/>
    </row>
    <row r="1238" spans="3:3">
      <c r="C1238" s="1847"/>
    </row>
    <row r="1239" spans="3:3">
      <c r="C1239" s="1847"/>
    </row>
    <row r="1240" spans="3:3">
      <c r="C1240" s="1847"/>
    </row>
    <row r="1241" spans="3:3">
      <c r="C1241" s="1847"/>
    </row>
    <row r="1242" spans="3:3">
      <c r="C1242" s="1847"/>
    </row>
    <row r="1243" spans="3:3">
      <c r="C1243" s="1847"/>
    </row>
    <row r="1244" spans="3:3">
      <c r="C1244" s="1847"/>
    </row>
    <row r="1245" spans="3:3">
      <c r="C1245" s="1847"/>
    </row>
    <row r="1246" spans="3:3">
      <c r="C1246" s="1847"/>
    </row>
    <row r="1247" spans="3:3">
      <c r="C1247" s="1847"/>
    </row>
    <row r="1248" spans="3:3">
      <c r="C1248" s="1847"/>
    </row>
    <row r="1249" spans="3:3">
      <c r="C1249" s="1847"/>
    </row>
    <row r="1250" spans="3:3">
      <c r="C1250" s="1847"/>
    </row>
    <row r="1251" spans="3:3">
      <c r="C1251" s="1847"/>
    </row>
    <row r="1252" spans="3:3">
      <c r="C1252" s="1847"/>
    </row>
    <row r="1253" spans="3:3">
      <c r="C1253" s="1847"/>
    </row>
    <row r="1254" spans="3:3">
      <c r="C1254" s="1847"/>
    </row>
    <row r="1255" spans="3:3">
      <c r="C1255" s="1847"/>
    </row>
    <row r="1256" spans="3:3">
      <c r="C1256" s="1847"/>
    </row>
    <row r="1257" spans="3:3">
      <c r="C1257" s="1847"/>
    </row>
    <row r="1258" spans="3:3">
      <c r="C1258" s="1847"/>
    </row>
    <row r="1259" spans="3:3">
      <c r="C1259" s="1847"/>
    </row>
    <row r="1260" spans="3:3">
      <c r="C1260" s="1847"/>
    </row>
    <row r="1261" spans="3:3">
      <c r="C1261" s="1847"/>
    </row>
    <row r="1262" spans="3:3">
      <c r="C1262" s="1847"/>
    </row>
    <row r="1263" spans="3:3">
      <c r="C1263" s="1847"/>
    </row>
    <row r="1264" spans="3:3">
      <c r="C1264" s="1847"/>
    </row>
    <row r="1265" spans="3:3">
      <c r="C1265" s="1847"/>
    </row>
    <row r="1266" spans="3:3">
      <c r="C1266" s="1847"/>
    </row>
    <row r="1267" spans="3:3">
      <c r="C1267" s="1847"/>
    </row>
    <row r="1268" spans="3:3">
      <c r="C1268" s="1847"/>
    </row>
    <row r="1269" spans="3:3">
      <c r="C1269" s="1847"/>
    </row>
    <row r="1270" spans="3:3">
      <c r="C1270" s="1847"/>
    </row>
    <row r="1271" spans="3:3">
      <c r="C1271" s="1847"/>
    </row>
    <row r="1272" spans="3:3">
      <c r="C1272" s="1847"/>
    </row>
    <row r="1273" spans="3:3">
      <c r="C1273" s="1847"/>
    </row>
    <row r="1274" spans="3:3">
      <c r="C1274" s="1847"/>
    </row>
    <row r="1275" spans="3:3">
      <c r="C1275" s="1847"/>
    </row>
    <row r="1276" spans="3:3">
      <c r="C1276" s="1847"/>
    </row>
    <row r="1277" spans="3:3">
      <c r="C1277" s="1847"/>
    </row>
    <row r="1278" spans="3:3">
      <c r="C1278" s="1847"/>
    </row>
    <row r="1279" spans="3:3">
      <c r="C1279" s="1847"/>
    </row>
    <row r="1280" spans="3:3">
      <c r="C1280" s="1847"/>
    </row>
    <row r="1281" spans="3:3">
      <c r="C1281" s="1847"/>
    </row>
    <row r="1282" spans="3:3">
      <c r="C1282" s="1847"/>
    </row>
    <row r="1283" spans="3:3">
      <c r="C1283" s="1847"/>
    </row>
    <row r="1284" spans="3:3">
      <c r="C1284" s="1847"/>
    </row>
    <row r="1285" spans="3:3">
      <c r="C1285" s="1847"/>
    </row>
    <row r="1286" spans="3:3">
      <c r="C1286" s="1847"/>
    </row>
    <row r="1287" spans="3:3">
      <c r="C1287" s="1847"/>
    </row>
    <row r="1288" spans="3:3">
      <c r="C1288" s="1847"/>
    </row>
    <row r="1289" spans="3:3">
      <c r="C1289" s="1847"/>
    </row>
    <row r="1290" spans="3:3">
      <c r="C1290" s="1847"/>
    </row>
    <row r="1291" spans="3:3">
      <c r="C1291" s="1847"/>
    </row>
    <row r="1292" spans="3:3">
      <c r="C1292" s="1847"/>
    </row>
    <row r="1293" spans="3:3">
      <c r="C1293" s="1847"/>
    </row>
    <row r="1294" spans="3:3">
      <c r="C1294" s="1847"/>
    </row>
    <row r="1295" spans="3:3">
      <c r="C1295" s="1847"/>
    </row>
    <row r="1296" spans="3:3">
      <c r="C1296" s="1847"/>
    </row>
    <row r="1297" spans="3:3">
      <c r="C1297" s="1847"/>
    </row>
    <row r="1298" spans="3:3">
      <c r="C1298" s="1847"/>
    </row>
    <row r="1299" spans="3:3">
      <c r="C1299" s="1847"/>
    </row>
    <row r="1300" spans="3:3">
      <c r="C1300" s="1847"/>
    </row>
    <row r="1301" spans="3:3">
      <c r="C1301" s="1847"/>
    </row>
    <row r="1302" spans="3:3">
      <c r="C1302" s="1847"/>
    </row>
    <row r="1303" spans="3:3">
      <c r="C1303" s="1847"/>
    </row>
    <row r="1304" spans="3:3">
      <c r="C1304" s="1847"/>
    </row>
    <row r="1305" spans="3:3">
      <c r="C1305" s="1847"/>
    </row>
    <row r="1306" spans="3:3">
      <c r="C1306" s="1847"/>
    </row>
    <row r="1307" spans="3:3">
      <c r="C1307" s="1847"/>
    </row>
    <row r="1308" spans="3:3">
      <c r="C1308" s="1847"/>
    </row>
    <row r="1309" spans="3:3">
      <c r="C1309" s="1847"/>
    </row>
    <row r="1310" spans="3:3">
      <c r="C1310" s="1847"/>
    </row>
    <row r="1311" spans="3:3">
      <c r="C1311" s="1847"/>
    </row>
    <row r="1312" spans="3:3">
      <c r="C1312" s="1847"/>
    </row>
    <row r="1313" spans="3:3">
      <c r="C1313" s="1847"/>
    </row>
    <row r="1314" spans="3:3">
      <c r="C1314" s="1847"/>
    </row>
    <row r="1315" spans="3:3">
      <c r="C1315" s="1847"/>
    </row>
    <row r="1316" spans="3:3">
      <c r="C1316" s="1847"/>
    </row>
    <row r="1317" spans="3:3">
      <c r="C1317" s="1847"/>
    </row>
    <row r="1318" spans="3:3">
      <c r="C1318" s="1847"/>
    </row>
    <row r="1319" spans="3:3">
      <c r="C1319" s="1847"/>
    </row>
    <row r="1320" spans="3:3">
      <c r="C1320" s="1847"/>
    </row>
    <row r="1321" spans="3:3">
      <c r="C1321" s="1847"/>
    </row>
    <row r="1322" spans="3:3">
      <c r="C1322" s="1847"/>
    </row>
    <row r="1323" spans="3:3">
      <c r="C1323" s="1847"/>
    </row>
    <row r="1324" spans="3:3">
      <c r="C1324" s="1847"/>
    </row>
    <row r="1325" spans="3:3">
      <c r="C1325" s="1847"/>
    </row>
    <row r="1326" spans="3:3">
      <c r="C1326" s="1847"/>
    </row>
    <row r="1327" spans="3:3">
      <c r="C1327" s="1847"/>
    </row>
    <row r="1328" spans="3:3">
      <c r="C1328" s="1847"/>
    </row>
    <row r="1329" spans="3:3">
      <c r="C1329" s="1847"/>
    </row>
    <row r="1330" spans="3:3">
      <c r="C1330" s="1847"/>
    </row>
    <row r="1331" spans="3:3">
      <c r="C1331" s="1847"/>
    </row>
    <row r="1332" spans="3:3">
      <c r="C1332" s="1847"/>
    </row>
    <row r="1333" spans="3:3">
      <c r="C1333" s="1847"/>
    </row>
    <row r="1334" spans="3:3">
      <c r="C1334" s="1847"/>
    </row>
    <row r="1335" spans="3:3">
      <c r="C1335" s="1847"/>
    </row>
    <row r="1336" spans="3:3">
      <c r="C1336" s="1847"/>
    </row>
    <row r="1337" spans="3:3">
      <c r="C1337" s="1847"/>
    </row>
    <row r="1338" spans="3:3">
      <c r="C1338" s="1847"/>
    </row>
    <row r="1339" spans="3:3">
      <c r="C1339" s="1847"/>
    </row>
    <row r="1340" spans="3:3">
      <c r="C1340" s="1847"/>
    </row>
    <row r="1341" spans="3:3">
      <c r="C1341" s="1847"/>
    </row>
    <row r="1342" spans="3:3">
      <c r="C1342" s="1847"/>
    </row>
    <row r="1343" spans="3:3">
      <c r="C1343" s="1847"/>
    </row>
    <row r="1344" spans="3:3">
      <c r="C1344" s="1847"/>
    </row>
    <row r="1345" spans="3:3">
      <c r="C1345" s="1847"/>
    </row>
    <row r="1346" spans="3:3">
      <c r="C1346" s="1847"/>
    </row>
    <row r="1347" spans="3:3">
      <c r="C1347" s="1847"/>
    </row>
    <row r="1348" spans="3:3">
      <c r="C1348" s="1847"/>
    </row>
    <row r="1349" spans="3:3">
      <c r="C1349" s="1847"/>
    </row>
    <row r="1350" spans="3:3">
      <c r="C1350" s="1847"/>
    </row>
    <row r="1351" spans="3:3">
      <c r="C1351" s="1847"/>
    </row>
    <row r="1352" spans="3:3">
      <c r="C1352" s="1847"/>
    </row>
    <row r="1353" spans="3:3">
      <c r="C1353" s="1847"/>
    </row>
    <row r="1354" spans="3:3">
      <c r="C1354" s="1847"/>
    </row>
    <row r="1355" spans="3:3">
      <c r="C1355" s="1847"/>
    </row>
    <row r="1356" spans="3:3">
      <c r="C1356" s="1847"/>
    </row>
    <row r="1357" spans="3:3">
      <c r="C1357" s="1847"/>
    </row>
    <row r="1358" spans="3:3">
      <c r="C1358" s="1847"/>
    </row>
    <row r="1359" spans="3:3">
      <c r="C1359" s="1847"/>
    </row>
    <row r="1360" spans="3:3">
      <c r="C1360" s="1847"/>
    </row>
    <row r="1361" spans="3:3">
      <c r="C1361" s="1847"/>
    </row>
    <row r="1362" spans="3:3">
      <c r="C1362" s="1847"/>
    </row>
    <row r="1363" spans="3:3">
      <c r="C1363" s="1847"/>
    </row>
    <row r="1364" spans="3:3">
      <c r="C1364" s="1847"/>
    </row>
    <row r="1365" spans="3:3">
      <c r="C1365" s="1847"/>
    </row>
    <row r="1366" spans="3:3">
      <c r="C1366" s="1847"/>
    </row>
    <row r="1367" spans="3:3">
      <c r="C1367" s="1847"/>
    </row>
    <row r="1368" spans="3:3">
      <c r="C1368" s="1847"/>
    </row>
    <row r="1369" spans="3:3">
      <c r="C1369" s="1847"/>
    </row>
    <row r="1370" spans="3:3">
      <c r="C1370" s="1847"/>
    </row>
    <row r="1371" spans="3:3">
      <c r="C1371" s="1847"/>
    </row>
    <row r="1372" spans="3:3">
      <c r="C1372" s="1847"/>
    </row>
    <row r="1373" spans="3:3">
      <c r="C1373" s="1847"/>
    </row>
    <row r="1374" spans="3:3">
      <c r="C1374" s="1847"/>
    </row>
    <row r="1375" spans="3:3">
      <c r="C1375" s="1847"/>
    </row>
    <row r="1376" spans="3:3">
      <c r="C1376" s="1847"/>
    </row>
    <row r="1377" spans="3:3">
      <c r="C1377" s="1847"/>
    </row>
    <row r="1378" spans="3:3">
      <c r="C1378" s="1847"/>
    </row>
    <row r="1379" spans="3:3">
      <c r="C1379" s="1847"/>
    </row>
    <row r="1380" spans="3:3">
      <c r="C1380" s="1847"/>
    </row>
    <row r="1381" spans="3:3">
      <c r="C1381" s="1847"/>
    </row>
    <row r="1382" spans="3:3">
      <c r="C1382" s="1847"/>
    </row>
    <row r="1383" spans="3:3">
      <c r="C1383" s="1847"/>
    </row>
    <row r="1384" spans="3:3">
      <c r="C1384" s="1847"/>
    </row>
    <row r="1385" spans="3:3">
      <c r="C1385" s="1847"/>
    </row>
    <row r="1386" spans="3:3">
      <c r="C1386" s="1847"/>
    </row>
    <row r="1387" spans="3:3">
      <c r="C1387" s="1847"/>
    </row>
    <row r="1388" spans="3:3">
      <c r="C1388" s="1847"/>
    </row>
    <row r="1389" spans="3:3">
      <c r="C1389" s="1847"/>
    </row>
    <row r="1390" spans="3:3">
      <c r="C1390" s="1847"/>
    </row>
    <row r="1391" spans="3:3">
      <c r="C1391" s="1847"/>
    </row>
    <row r="1392" spans="3:3">
      <c r="C1392" s="1847"/>
    </row>
    <row r="1393" spans="3:3">
      <c r="C1393" s="1847"/>
    </row>
    <row r="1394" spans="3:3">
      <c r="C1394" s="1847"/>
    </row>
    <row r="1395" spans="3:3">
      <c r="C1395" s="1847"/>
    </row>
    <row r="1396" spans="3:3">
      <c r="C1396" s="1847"/>
    </row>
    <row r="1397" spans="3:3">
      <c r="C1397" s="1847"/>
    </row>
    <row r="1398" spans="3:3">
      <c r="C1398" s="1847"/>
    </row>
    <row r="1399" spans="3:3">
      <c r="C1399" s="1847"/>
    </row>
    <row r="1400" spans="3:3">
      <c r="C1400" s="1847"/>
    </row>
    <row r="1401" spans="3:3">
      <c r="C1401" s="1847"/>
    </row>
    <row r="1402" spans="3:3">
      <c r="C1402" s="1847"/>
    </row>
    <row r="1403" spans="3:3">
      <c r="C1403" s="1847"/>
    </row>
    <row r="1404" spans="3:3">
      <c r="C1404" s="1847"/>
    </row>
    <row r="1405" spans="3:3">
      <c r="C1405" s="1847"/>
    </row>
    <row r="1406" spans="3:3">
      <c r="C1406" s="1847"/>
    </row>
    <row r="1407" spans="3:3">
      <c r="C1407" s="1847"/>
    </row>
    <row r="1408" spans="3:3">
      <c r="C1408" s="1847"/>
    </row>
    <row r="1409" spans="3:3">
      <c r="C1409" s="1847"/>
    </row>
    <row r="1410" spans="3:3">
      <c r="C1410" s="1847"/>
    </row>
    <row r="1411" spans="3:3">
      <c r="C1411" s="1847"/>
    </row>
    <row r="1412" spans="3:3">
      <c r="C1412" s="1847"/>
    </row>
    <row r="1413" spans="3:3">
      <c r="C1413" s="1847"/>
    </row>
    <row r="1414" spans="3:3">
      <c r="C1414" s="1847"/>
    </row>
    <row r="1415" spans="3:3">
      <c r="C1415" s="1847"/>
    </row>
    <row r="1416" spans="3:3">
      <c r="C1416" s="1847"/>
    </row>
    <row r="1417" spans="3:3">
      <c r="C1417" s="1847"/>
    </row>
    <row r="1418" spans="3:3">
      <c r="C1418" s="1847"/>
    </row>
    <row r="1419" spans="3:3">
      <c r="C1419" s="1847"/>
    </row>
    <row r="1420" spans="3:3">
      <c r="C1420" s="1847"/>
    </row>
    <row r="1421" spans="3:3">
      <c r="C1421" s="1847"/>
    </row>
    <row r="1422" spans="3:3">
      <c r="C1422" s="1847"/>
    </row>
    <row r="1423" spans="3:3">
      <c r="C1423" s="1847"/>
    </row>
    <row r="1424" spans="3:3">
      <c r="C1424" s="1847"/>
    </row>
    <row r="1425" spans="3:3">
      <c r="C1425" s="1847"/>
    </row>
    <row r="1426" spans="3:3">
      <c r="C1426" s="1847"/>
    </row>
    <row r="1427" spans="3:3">
      <c r="C1427" s="1847"/>
    </row>
    <row r="1428" spans="3:3">
      <c r="C1428" s="1847"/>
    </row>
    <row r="1429" spans="3:3">
      <c r="C1429" s="1847"/>
    </row>
    <row r="1430" spans="3:3">
      <c r="C1430" s="1847"/>
    </row>
    <row r="1431" spans="3:3">
      <c r="C1431" s="1847"/>
    </row>
    <row r="1432" spans="3:3">
      <c r="C1432" s="1847"/>
    </row>
    <row r="1433" spans="3:3">
      <c r="C1433" s="1847"/>
    </row>
    <row r="1434" spans="3:3">
      <c r="C1434" s="1847"/>
    </row>
    <row r="1435" spans="3:3">
      <c r="C1435" s="1847"/>
    </row>
    <row r="1436" spans="3:3">
      <c r="C1436" s="1847"/>
    </row>
    <row r="1437" spans="3:3">
      <c r="C1437" s="1847"/>
    </row>
    <row r="1438" spans="3:3">
      <c r="C1438" s="1847"/>
    </row>
    <row r="1439" spans="3:3">
      <c r="C1439" s="1847"/>
    </row>
    <row r="1440" spans="3:3">
      <c r="C1440" s="1847"/>
    </row>
    <row r="1441" spans="3:3">
      <c r="C1441" s="1847"/>
    </row>
    <row r="1442" spans="3:3">
      <c r="C1442" s="1847"/>
    </row>
    <row r="1443" spans="3:3">
      <c r="C1443" s="1847"/>
    </row>
    <row r="1444" spans="3:3">
      <c r="C1444" s="1847"/>
    </row>
    <row r="1445" spans="3:3">
      <c r="C1445" s="1847"/>
    </row>
    <row r="1446" spans="3:3">
      <c r="C1446" s="1847"/>
    </row>
    <row r="1447" spans="3:3">
      <c r="C1447" s="1847"/>
    </row>
    <row r="1448" spans="3:3">
      <c r="C1448" s="1847"/>
    </row>
    <row r="1449" spans="3:3">
      <c r="C1449" s="1847"/>
    </row>
    <row r="1450" spans="3:3">
      <c r="C1450" s="1847"/>
    </row>
    <row r="1451" spans="3:3">
      <c r="C1451" s="1847"/>
    </row>
    <row r="1452" spans="3:3">
      <c r="C1452" s="1847"/>
    </row>
    <row r="1453" spans="3:3">
      <c r="C1453" s="1847"/>
    </row>
    <row r="1454" spans="3:3">
      <c r="C1454" s="1847"/>
    </row>
    <row r="1455" spans="3:3">
      <c r="C1455" s="1847"/>
    </row>
    <row r="1456" spans="3:3">
      <c r="C1456" s="1847"/>
    </row>
    <row r="1457" spans="3:3">
      <c r="C1457" s="1847"/>
    </row>
    <row r="1458" spans="3:3">
      <c r="C1458" s="1847"/>
    </row>
    <row r="1459" spans="3:3">
      <c r="C1459" s="1847"/>
    </row>
    <row r="1460" spans="3:3">
      <c r="C1460" s="1847"/>
    </row>
    <row r="1461" spans="3:3">
      <c r="C1461" s="1847"/>
    </row>
    <row r="1462" spans="3:3">
      <c r="C1462" s="1847"/>
    </row>
    <row r="1463" spans="3:3">
      <c r="C1463" s="1847"/>
    </row>
    <row r="1464" spans="3:3">
      <c r="C1464" s="1847"/>
    </row>
    <row r="1465" spans="3:3">
      <c r="C1465" s="1847"/>
    </row>
    <row r="1466" spans="3:3">
      <c r="C1466" s="1847"/>
    </row>
    <row r="1467" spans="3:3">
      <c r="C1467" s="1847"/>
    </row>
    <row r="1468" spans="3:3">
      <c r="C1468" s="1847"/>
    </row>
    <row r="1469" spans="3:3">
      <c r="C1469" s="1847"/>
    </row>
    <row r="1470" spans="3:3">
      <c r="C1470" s="1847"/>
    </row>
    <row r="1471" spans="3:3">
      <c r="C1471" s="1847"/>
    </row>
    <row r="1472" spans="3:3">
      <c r="C1472" s="1847"/>
    </row>
    <row r="1473" spans="3:3">
      <c r="C1473" s="1847"/>
    </row>
    <row r="1474" spans="3:3">
      <c r="C1474" s="1847"/>
    </row>
    <row r="1475" spans="3:3">
      <c r="C1475" s="1847"/>
    </row>
    <row r="1476" spans="3:3">
      <c r="C1476" s="1847"/>
    </row>
    <row r="1477" spans="3:3">
      <c r="C1477" s="1847"/>
    </row>
    <row r="1478" spans="3:3">
      <c r="C1478" s="1847"/>
    </row>
    <row r="1479" spans="3:3">
      <c r="C1479" s="1847"/>
    </row>
    <row r="1480" spans="3:3">
      <c r="C1480" s="1847"/>
    </row>
    <row r="1481" spans="3:3">
      <c r="C1481" s="1847"/>
    </row>
    <row r="1482" spans="3:3">
      <c r="C1482" s="1847"/>
    </row>
    <row r="1483" spans="3:3">
      <c r="C1483" s="1847"/>
    </row>
    <row r="1484" spans="3:3">
      <c r="C1484" s="1847"/>
    </row>
    <row r="1485" spans="3:3">
      <c r="C1485" s="1847"/>
    </row>
    <row r="1486" spans="3:3">
      <c r="C1486" s="1847"/>
    </row>
    <row r="1487" spans="3:3">
      <c r="C1487" s="1847"/>
    </row>
    <row r="1488" spans="3:3">
      <c r="C1488" s="1847"/>
    </row>
    <row r="1489" spans="3:3">
      <c r="C1489" s="1847"/>
    </row>
    <row r="1490" spans="3:3">
      <c r="C1490" s="1847"/>
    </row>
    <row r="1491" spans="3:3">
      <c r="C1491" s="1847"/>
    </row>
    <row r="1492" spans="3:3">
      <c r="C1492" s="1847"/>
    </row>
    <row r="1493" spans="3:3">
      <c r="C1493" s="1847"/>
    </row>
    <row r="1494" spans="3:3">
      <c r="C1494" s="1847"/>
    </row>
    <row r="1495" spans="3:3">
      <c r="C1495" s="1847"/>
    </row>
    <row r="1496" spans="3:3">
      <c r="C1496" s="1847"/>
    </row>
    <row r="1497" spans="3:3">
      <c r="C1497" s="1847"/>
    </row>
    <row r="1498" spans="3:3">
      <c r="C1498" s="1847"/>
    </row>
    <row r="1499" spans="3:3">
      <c r="C1499" s="1847"/>
    </row>
    <row r="1500" spans="3:3">
      <c r="C1500" s="1847"/>
    </row>
    <row r="1501" spans="3:3">
      <c r="C1501" s="1847"/>
    </row>
    <row r="1502" spans="3:3">
      <c r="C1502" s="1847"/>
    </row>
    <row r="1503" spans="3:3">
      <c r="C1503" s="1847"/>
    </row>
    <row r="1504" spans="3:3">
      <c r="C1504" s="1847"/>
    </row>
    <row r="1505" spans="3:3">
      <c r="C1505" s="1847"/>
    </row>
    <row r="1506" spans="3:3">
      <c r="C1506" s="1847"/>
    </row>
    <row r="1507" spans="3:3">
      <c r="C1507" s="1847"/>
    </row>
    <row r="1508" spans="3:3">
      <c r="C1508" s="1847"/>
    </row>
    <row r="1509" spans="3:3">
      <c r="C1509" s="1847"/>
    </row>
    <row r="1510" spans="3:3">
      <c r="C1510" s="1847"/>
    </row>
    <row r="1511" spans="3:3">
      <c r="C1511" s="1847"/>
    </row>
    <row r="1512" spans="3:3">
      <c r="C1512" s="1847"/>
    </row>
    <row r="1513" spans="3:3">
      <c r="C1513" s="1847"/>
    </row>
    <row r="1514" spans="3:3">
      <c r="C1514" s="1847"/>
    </row>
    <row r="1515" spans="3:3">
      <c r="C1515" s="1847"/>
    </row>
    <row r="1516" spans="3:3">
      <c r="C1516" s="1847"/>
    </row>
    <row r="1517" spans="3:3">
      <c r="C1517" s="1847"/>
    </row>
    <row r="1518" spans="3:3">
      <c r="C1518" s="1847"/>
    </row>
    <row r="1519" spans="3:3">
      <c r="C1519" s="1847"/>
    </row>
    <row r="1520" spans="3:3">
      <c r="C1520" s="1847"/>
    </row>
    <row r="1521" spans="3:3">
      <c r="C1521" s="1847"/>
    </row>
    <row r="1522" spans="3:3">
      <c r="C1522" s="1847"/>
    </row>
    <row r="1523" spans="3:3">
      <c r="C1523" s="1847"/>
    </row>
    <row r="1524" spans="3:3">
      <c r="C1524" s="1847"/>
    </row>
    <row r="1525" spans="3:3">
      <c r="C1525" s="1847"/>
    </row>
    <row r="1526" spans="3:3">
      <c r="C1526" s="1847"/>
    </row>
    <row r="1527" spans="3:3">
      <c r="C1527" s="1847"/>
    </row>
    <row r="1528" spans="3:3">
      <c r="C1528" s="1847"/>
    </row>
    <row r="1529" spans="3:3">
      <c r="C1529" s="1847"/>
    </row>
    <row r="1530" spans="3:3">
      <c r="C1530" s="1847"/>
    </row>
    <row r="1531" spans="3:3">
      <c r="C1531" s="1847"/>
    </row>
    <row r="1532" spans="3:3">
      <c r="C1532" s="1847"/>
    </row>
    <row r="1533" spans="3:3">
      <c r="C1533" s="1847"/>
    </row>
    <row r="1534" spans="3:3">
      <c r="C1534" s="1847"/>
    </row>
    <row r="1535" spans="3:3">
      <c r="C1535" s="1847"/>
    </row>
    <row r="1536" spans="3:3">
      <c r="C1536" s="1847"/>
    </row>
    <row r="1537" spans="3:3">
      <c r="C1537" s="1847"/>
    </row>
    <row r="1538" spans="3:3">
      <c r="C1538" s="1847"/>
    </row>
    <row r="1539" spans="3:3">
      <c r="C1539" s="1847"/>
    </row>
    <row r="1540" spans="3:3">
      <c r="C1540" s="1847"/>
    </row>
    <row r="1541" spans="3:3">
      <c r="C1541" s="1847"/>
    </row>
    <row r="1542" spans="3:3">
      <c r="C1542" s="1847"/>
    </row>
    <row r="1543" spans="3:3">
      <c r="C1543" s="1847"/>
    </row>
    <row r="1544" spans="3:3">
      <c r="C1544" s="1847"/>
    </row>
    <row r="1545" spans="3:3">
      <c r="C1545" s="1847"/>
    </row>
    <row r="1546" spans="3:3">
      <c r="C1546" s="1847"/>
    </row>
    <row r="1547" spans="3:3">
      <c r="C1547" s="1847"/>
    </row>
    <row r="1548" spans="3:3">
      <c r="C1548" s="1847"/>
    </row>
    <row r="1549" spans="3:3">
      <c r="C1549" s="1847"/>
    </row>
    <row r="1550" spans="3:3">
      <c r="C1550" s="1847"/>
    </row>
    <row r="1551" spans="3:3">
      <c r="C1551" s="1847"/>
    </row>
    <row r="1552" spans="3:3">
      <c r="C1552" s="1847"/>
    </row>
    <row r="1553" spans="3:3">
      <c r="C1553" s="1847"/>
    </row>
    <row r="1554" spans="3:3">
      <c r="C1554" s="1847"/>
    </row>
    <row r="1555" spans="3:3">
      <c r="C1555" s="1847"/>
    </row>
    <row r="1556" spans="3:3">
      <c r="C1556" s="1847"/>
    </row>
    <row r="1557" spans="3:3">
      <c r="C1557" s="1847"/>
    </row>
    <row r="1558" spans="3:3">
      <c r="C1558" s="1847"/>
    </row>
    <row r="1559" spans="3:3">
      <c r="C1559" s="1847"/>
    </row>
    <row r="1560" spans="3:3">
      <c r="C1560" s="1847"/>
    </row>
    <row r="1561" spans="3:3">
      <c r="C1561" s="1847"/>
    </row>
    <row r="1562" spans="3:3">
      <c r="C1562" s="1847"/>
    </row>
    <row r="1563" spans="3:3">
      <c r="C1563" s="1847"/>
    </row>
    <row r="1564" spans="3:3">
      <c r="C1564" s="1847"/>
    </row>
    <row r="1565" spans="3:3">
      <c r="C1565" s="1847"/>
    </row>
    <row r="1566" spans="3:3">
      <c r="C1566" s="1847"/>
    </row>
    <row r="1567" spans="3:3">
      <c r="C1567" s="1847"/>
    </row>
    <row r="1568" spans="3:3">
      <c r="C1568" s="1847"/>
    </row>
    <row r="1569" spans="3:3">
      <c r="C1569" s="1847"/>
    </row>
    <row r="1570" spans="3:3">
      <c r="C1570" s="1847"/>
    </row>
    <row r="1571" spans="3:3">
      <c r="C1571" s="1847"/>
    </row>
    <row r="1572" spans="3:3">
      <c r="C1572" s="1847"/>
    </row>
    <row r="1573" spans="3:3">
      <c r="C1573" s="1847"/>
    </row>
    <row r="1574" spans="3:3">
      <c r="C1574" s="1847"/>
    </row>
    <row r="1575" spans="3:3">
      <c r="C1575" s="1847"/>
    </row>
    <row r="1576" spans="3:3">
      <c r="C1576" s="1847"/>
    </row>
    <row r="1577" spans="3:3">
      <c r="C1577" s="1847"/>
    </row>
    <row r="1578" spans="3:3">
      <c r="C1578" s="1847"/>
    </row>
    <row r="1579" spans="3:3">
      <c r="C1579" s="1847"/>
    </row>
    <row r="1580" spans="3:3">
      <c r="C1580" s="1847"/>
    </row>
    <row r="1581" spans="3:3">
      <c r="C1581" s="1847"/>
    </row>
    <row r="1582" spans="3:3">
      <c r="C1582" s="1847"/>
    </row>
    <row r="1583" spans="3:3">
      <c r="C1583" s="1847"/>
    </row>
    <row r="1584" spans="3:3">
      <c r="C1584" s="1847"/>
    </row>
    <row r="1585" spans="3:3">
      <c r="C1585" s="1847"/>
    </row>
    <row r="1586" spans="3:3">
      <c r="C1586" s="1847"/>
    </row>
    <row r="1587" spans="3:3">
      <c r="C1587" s="1847"/>
    </row>
    <row r="1588" spans="3:3">
      <c r="C1588" s="1847"/>
    </row>
    <row r="1589" spans="3:3">
      <c r="C1589" s="1847"/>
    </row>
    <row r="1590" spans="3:3">
      <c r="C1590" s="1847"/>
    </row>
    <row r="1591" spans="3:3">
      <c r="C1591" s="1847"/>
    </row>
    <row r="1592" spans="3:3">
      <c r="C1592" s="1847"/>
    </row>
    <row r="1593" spans="3:3">
      <c r="C1593" s="1847"/>
    </row>
    <row r="1594" spans="3:3">
      <c r="C1594" s="1847"/>
    </row>
    <row r="1595" spans="3:3">
      <c r="C1595" s="1847"/>
    </row>
    <row r="1596" spans="3:3">
      <c r="C1596" s="1847"/>
    </row>
    <row r="1597" spans="3:3">
      <c r="C1597" s="1847"/>
    </row>
    <row r="1598" spans="3:3">
      <c r="C1598" s="1847"/>
    </row>
    <row r="1599" spans="3:3">
      <c r="C1599" s="1847"/>
    </row>
    <row r="1600" spans="3:3">
      <c r="C1600" s="1847"/>
    </row>
    <row r="1601" spans="3:3">
      <c r="C1601" s="1847"/>
    </row>
    <row r="1602" spans="3:3">
      <c r="C1602" s="1847"/>
    </row>
    <row r="1603" spans="3:3">
      <c r="C1603" s="1847"/>
    </row>
    <row r="1604" spans="3:3">
      <c r="C1604" s="1847"/>
    </row>
    <row r="1605" spans="3:3">
      <c r="C1605" s="184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C6DC-CC16-40A9-9FF9-6C5CBCED8263}">
  <sheetPr codeName="Hoja12"/>
  <dimension ref="A1:O1623"/>
  <sheetViews>
    <sheetView showGridLines="0" zoomScale="80" zoomScaleNormal="80" workbookViewId="0">
      <selection activeCell="D4" sqref="D4"/>
    </sheetView>
  </sheetViews>
  <sheetFormatPr baseColWidth="10" defaultColWidth="11.5" defaultRowHeight="13"/>
  <cols>
    <col min="1" max="1" width="13.83203125" style="1845" bestFit="1" customWidth="1"/>
    <col min="2" max="13" width="19.1640625" style="1845" bestFit="1" customWidth="1"/>
    <col min="14" max="14" width="11.6640625" style="1845" bestFit="1" customWidth="1"/>
    <col min="15" max="16384" width="11.5" style="1845"/>
  </cols>
  <sheetData>
    <row r="1" spans="1:14" ht="15">
      <c r="A1"/>
      <c r="B1"/>
    </row>
    <row r="2" spans="1:14">
      <c r="A2" s="2494" t="s">
        <v>1483</v>
      </c>
      <c r="B2" s="2495" t="s">
        <v>1867</v>
      </c>
    </row>
    <row r="3" spans="1:14" ht="15">
      <c r="A3"/>
      <c r="B3"/>
      <c r="C3"/>
      <c r="D3"/>
      <c r="E3"/>
      <c r="F3"/>
      <c r="G3"/>
      <c r="H3"/>
      <c r="I3"/>
      <c r="J3"/>
      <c r="K3"/>
      <c r="L3"/>
      <c r="M3"/>
    </row>
    <row r="4" spans="1:14">
      <c r="A4" s="2494" t="s">
        <v>1481</v>
      </c>
      <c r="B4" s="2494" t="s">
        <v>1482</v>
      </c>
      <c r="C4" s="2495"/>
      <c r="D4" s="2495"/>
      <c r="E4" s="2495"/>
      <c r="F4" s="2495"/>
      <c r="G4" s="2495"/>
      <c r="H4" s="2495"/>
      <c r="I4" s="2495"/>
      <c r="J4" s="2495"/>
      <c r="K4" s="2495"/>
      <c r="L4" s="2495"/>
      <c r="M4" s="2495"/>
      <c r="N4" s="2495"/>
    </row>
    <row r="5" spans="1:14">
      <c r="A5" s="2494" t="s">
        <v>1335</v>
      </c>
      <c r="B5" s="2495" t="s">
        <v>1475</v>
      </c>
      <c r="C5" s="2495" t="s">
        <v>1476</v>
      </c>
      <c r="D5" s="2495" t="s">
        <v>1477</v>
      </c>
      <c r="E5" s="2495" t="s">
        <v>1478</v>
      </c>
      <c r="F5" s="2495" t="s">
        <v>1479</v>
      </c>
      <c r="G5" s="2495" t="s">
        <v>1480</v>
      </c>
      <c r="H5" s="2495" t="s">
        <v>1532</v>
      </c>
      <c r="I5" s="2495" t="s">
        <v>1811</v>
      </c>
      <c r="J5" s="2495" t="s">
        <v>1812</v>
      </c>
      <c r="K5" s="2495" t="s">
        <v>1864</v>
      </c>
      <c r="L5" s="2495" t="s">
        <v>1902</v>
      </c>
      <c r="M5" s="2495" t="s">
        <v>1929</v>
      </c>
      <c r="N5" s="2495" t="s">
        <v>1474</v>
      </c>
    </row>
    <row r="6" spans="1:14">
      <c r="A6" s="2495" t="s">
        <v>1336</v>
      </c>
      <c r="B6" s="2496">
        <v>378436.75870000006</v>
      </c>
      <c r="C6" s="2496">
        <v>398339.99660000007</v>
      </c>
      <c r="D6" s="2496">
        <v>357973.31719999993</v>
      </c>
      <c r="E6" s="2496">
        <v>335882.01399999997</v>
      </c>
      <c r="F6" s="2496">
        <v>324752.95940000017</v>
      </c>
      <c r="G6" s="2496">
        <v>375198.26399999991</v>
      </c>
      <c r="H6" s="2496">
        <v>351835.74239999999</v>
      </c>
      <c r="I6" s="2496">
        <v>410938.03859999997</v>
      </c>
      <c r="J6" s="2496">
        <v>431239.14569999988</v>
      </c>
      <c r="K6" s="2496">
        <v>442721.53119999997</v>
      </c>
      <c r="L6" s="2496">
        <v>361293.55290000018</v>
      </c>
      <c r="M6" s="2496">
        <v>478326.17170000012</v>
      </c>
      <c r="N6" s="2496">
        <v>4646937.4923999999</v>
      </c>
    </row>
    <row r="7" spans="1:14">
      <c r="A7" s="2495" t="s">
        <v>1337</v>
      </c>
      <c r="B7" s="2496">
        <v>89462.85</v>
      </c>
      <c r="C7" s="2496">
        <v>81597</v>
      </c>
      <c r="D7" s="2496">
        <v>92755</v>
      </c>
      <c r="E7" s="2496">
        <v>137672.29999999999</v>
      </c>
      <c r="F7" s="2496">
        <v>128924</v>
      </c>
      <c r="G7" s="2496">
        <v>167995</v>
      </c>
      <c r="H7" s="2496">
        <v>199355</v>
      </c>
      <c r="I7" s="2496">
        <v>225572</v>
      </c>
      <c r="J7" s="2496">
        <v>127097</v>
      </c>
      <c r="K7" s="2496">
        <v>108174</v>
      </c>
      <c r="L7" s="2496">
        <v>139137.64000000001</v>
      </c>
      <c r="M7" s="2496">
        <v>234121</v>
      </c>
      <c r="N7" s="2496">
        <v>1731862.79</v>
      </c>
    </row>
    <row r="8" spans="1:14">
      <c r="A8" s="2495" t="s">
        <v>1338</v>
      </c>
      <c r="B8" s="2496">
        <v>21023</v>
      </c>
      <c r="C8" s="2496">
        <v>27812</v>
      </c>
      <c r="D8" s="2496">
        <v>26425</v>
      </c>
      <c r="E8" s="2496">
        <v>52004.4</v>
      </c>
      <c r="F8" s="2496">
        <v>33329</v>
      </c>
      <c r="G8" s="2496">
        <v>76286</v>
      </c>
      <c r="H8" s="2496">
        <v>31019</v>
      </c>
      <c r="I8" s="2496">
        <v>21475</v>
      </c>
      <c r="J8" s="2496">
        <v>77323</v>
      </c>
      <c r="K8" s="2496">
        <v>14049</v>
      </c>
      <c r="L8" s="2496">
        <v>116188</v>
      </c>
      <c r="M8" s="2496">
        <v>23001</v>
      </c>
      <c r="N8" s="2496">
        <v>519934.4</v>
      </c>
    </row>
    <row r="9" spans="1:14">
      <c r="A9" s="2495" t="s">
        <v>790</v>
      </c>
      <c r="B9" s="2496">
        <v>15</v>
      </c>
      <c r="C9" s="2496">
        <v>2025</v>
      </c>
      <c r="D9" s="2496">
        <v>58728</v>
      </c>
      <c r="E9" s="2496">
        <v>9898</v>
      </c>
      <c r="F9" s="2496">
        <v>47666</v>
      </c>
      <c r="G9" s="2496">
        <v>4178</v>
      </c>
      <c r="H9" s="2496">
        <v>10017</v>
      </c>
      <c r="I9" s="2496">
        <v>1015</v>
      </c>
      <c r="J9" s="2496">
        <v>1000</v>
      </c>
      <c r="K9" s="2496">
        <v>88411</v>
      </c>
      <c r="L9" s="2496">
        <v>1000</v>
      </c>
      <c r="M9" s="2496">
        <v>218410</v>
      </c>
      <c r="N9" s="2496">
        <v>442363</v>
      </c>
    </row>
    <row r="10" spans="1:14">
      <c r="A10" s="2495" t="s">
        <v>1388</v>
      </c>
      <c r="B10" s="2496">
        <v>14044</v>
      </c>
      <c r="C10" s="2496">
        <v>0</v>
      </c>
      <c r="D10" s="2496">
        <v>0</v>
      </c>
      <c r="E10" s="2496">
        <v>14380</v>
      </c>
      <c r="F10" s="2496">
        <v>16000</v>
      </c>
      <c r="G10" s="2496">
        <v>15094</v>
      </c>
      <c r="H10" s="2496">
        <v>5684.8</v>
      </c>
      <c r="I10" s="2496">
        <v>5684.8</v>
      </c>
      <c r="J10" s="2496">
        <v>5684.8</v>
      </c>
      <c r="K10" s="2496">
        <v>5684.8</v>
      </c>
      <c r="L10" s="2496">
        <v>5684.8</v>
      </c>
      <c r="M10" s="2496">
        <v>5684.8</v>
      </c>
      <c r="N10" s="2496">
        <v>93626.800000000017</v>
      </c>
    </row>
    <row r="11" spans="1:14">
      <c r="A11" s="2495" t="s">
        <v>1474</v>
      </c>
      <c r="B11" s="2496">
        <v>502981.6087000001</v>
      </c>
      <c r="C11" s="2496">
        <v>509773.99660000007</v>
      </c>
      <c r="D11" s="2496">
        <v>535881.31719999993</v>
      </c>
      <c r="E11" s="2496">
        <v>549836.71399999992</v>
      </c>
      <c r="F11" s="2496">
        <v>550671.95940000017</v>
      </c>
      <c r="G11" s="2496">
        <v>638751.26399999997</v>
      </c>
      <c r="H11" s="2496">
        <v>597911.54240000003</v>
      </c>
      <c r="I11" s="2496">
        <v>664684.83860000002</v>
      </c>
      <c r="J11" s="2496">
        <v>642343.94569999992</v>
      </c>
      <c r="K11" s="2496">
        <v>659040.33120000002</v>
      </c>
      <c r="L11" s="2496">
        <v>623303.99290000019</v>
      </c>
      <c r="M11" s="2496">
        <v>959542.97170000011</v>
      </c>
      <c r="N11" s="2496">
        <v>7434724.4824000001</v>
      </c>
    </row>
    <row r="12" spans="1:14" ht="15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4" ht="15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4" ht="1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4" ht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4" ht="15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5">
      <c r="A17" s="2407" t="s">
        <v>1335</v>
      </c>
      <c r="B17" s="2408">
        <v>45658</v>
      </c>
      <c r="C17" s="2408">
        <v>45689</v>
      </c>
      <c r="D17" s="2408">
        <v>45717</v>
      </c>
      <c r="E17" s="2408">
        <v>45748</v>
      </c>
      <c r="F17" s="2408">
        <v>45778</v>
      </c>
      <c r="G17" s="2408">
        <v>45809</v>
      </c>
      <c r="H17" s="2408">
        <v>45839</v>
      </c>
      <c r="I17" s="2408">
        <v>45870</v>
      </c>
      <c r="J17" s="2408">
        <v>45901</v>
      </c>
      <c r="K17" s="2408">
        <v>45931</v>
      </c>
      <c r="L17" s="2408">
        <v>45962</v>
      </c>
      <c r="M17" s="2408">
        <v>45992</v>
      </c>
      <c r="N17" s="1845" t="s">
        <v>734</v>
      </c>
      <c r="O17" s="1845" t="s">
        <v>1865</v>
      </c>
    </row>
    <row r="18" spans="1:15">
      <c r="A18" s="2409" t="s">
        <v>1336</v>
      </c>
      <c r="B18" s="2410">
        <f t="shared" ref="B18:M18" si="0">B6</f>
        <v>378436.75870000006</v>
      </c>
      <c r="C18" s="2410">
        <f t="shared" si="0"/>
        <v>398339.99660000007</v>
      </c>
      <c r="D18" s="2410">
        <f t="shared" si="0"/>
        <v>357973.31719999993</v>
      </c>
      <c r="E18" s="2410">
        <f t="shared" si="0"/>
        <v>335882.01399999997</v>
      </c>
      <c r="F18" s="2410">
        <f t="shared" si="0"/>
        <v>324752.95940000017</v>
      </c>
      <c r="G18" s="2410">
        <f t="shared" si="0"/>
        <v>375198.26399999991</v>
      </c>
      <c r="H18" s="2410">
        <f t="shared" si="0"/>
        <v>351835.74239999999</v>
      </c>
      <c r="I18" s="2410">
        <f t="shared" si="0"/>
        <v>410938.03859999997</v>
      </c>
      <c r="J18" s="2410">
        <f t="shared" si="0"/>
        <v>431239.14569999988</v>
      </c>
      <c r="K18" s="2410">
        <f t="shared" si="0"/>
        <v>442721.53119999997</v>
      </c>
      <c r="L18" s="2410">
        <f t="shared" si="0"/>
        <v>361293.55290000018</v>
      </c>
      <c r="M18" s="2410">
        <f t="shared" si="0"/>
        <v>478326.17170000012</v>
      </c>
      <c r="N18" s="1846">
        <f t="shared" ref="N18:N22" si="1">SUM(B18:M18)</f>
        <v>4646937.4923999999</v>
      </c>
      <c r="O18" s="2334">
        <f>+N18/$N$23</f>
        <v>0.62503156685907535</v>
      </c>
    </row>
    <row r="19" spans="1:15">
      <c r="A19" s="2409" t="s">
        <v>1337</v>
      </c>
      <c r="B19" s="2410">
        <f t="shared" ref="B19:M19" si="2">B7</f>
        <v>89462.85</v>
      </c>
      <c r="C19" s="2410">
        <f t="shared" si="2"/>
        <v>81597</v>
      </c>
      <c r="D19" s="2410">
        <f t="shared" si="2"/>
        <v>92755</v>
      </c>
      <c r="E19" s="2410">
        <f t="shared" si="2"/>
        <v>137672.29999999999</v>
      </c>
      <c r="F19" s="2410">
        <f t="shared" si="2"/>
        <v>128924</v>
      </c>
      <c r="G19" s="2410">
        <f t="shared" si="2"/>
        <v>167995</v>
      </c>
      <c r="H19" s="2410">
        <f t="shared" si="2"/>
        <v>199355</v>
      </c>
      <c r="I19" s="2410">
        <f t="shared" si="2"/>
        <v>225572</v>
      </c>
      <c r="J19" s="2410">
        <f t="shared" si="2"/>
        <v>127097</v>
      </c>
      <c r="K19" s="2410">
        <f t="shared" si="2"/>
        <v>108174</v>
      </c>
      <c r="L19" s="2410">
        <f t="shared" si="2"/>
        <v>139137.64000000001</v>
      </c>
      <c r="M19" s="2410">
        <f t="shared" si="2"/>
        <v>234121</v>
      </c>
      <c r="N19" s="1846">
        <f t="shared" si="1"/>
        <v>1731862.79</v>
      </c>
      <c r="O19" s="2334">
        <f t="shared" ref="O19:O22" si="3">+N19/$N$23</f>
        <v>0.23294243036171505</v>
      </c>
    </row>
    <row r="20" spans="1:15">
      <c r="A20" s="2409" t="s">
        <v>1338</v>
      </c>
      <c r="B20" s="2410">
        <f t="shared" ref="B20:M20" si="4">B8</f>
        <v>21023</v>
      </c>
      <c r="C20" s="2410">
        <f t="shared" si="4"/>
        <v>27812</v>
      </c>
      <c r="D20" s="2410">
        <f t="shared" si="4"/>
        <v>26425</v>
      </c>
      <c r="E20" s="2410">
        <f t="shared" si="4"/>
        <v>52004.4</v>
      </c>
      <c r="F20" s="2410">
        <f t="shared" si="4"/>
        <v>33329</v>
      </c>
      <c r="G20" s="2410">
        <f t="shared" si="4"/>
        <v>76286</v>
      </c>
      <c r="H20" s="2410">
        <f t="shared" si="4"/>
        <v>31019</v>
      </c>
      <c r="I20" s="2410">
        <f t="shared" si="4"/>
        <v>21475</v>
      </c>
      <c r="J20" s="2410">
        <f t="shared" si="4"/>
        <v>77323</v>
      </c>
      <c r="K20" s="2410">
        <f t="shared" si="4"/>
        <v>14049</v>
      </c>
      <c r="L20" s="2410">
        <f t="shared" si="4"/>
        <v>116188</v>
      </c>
      <c r="M20" s="2410">
        <f t="shared" si="4"/>
        <v>23001</v>
      </c>
      <c r="N20" s="1846">
        <f t="shared" si="1"/>
        <v>519934.4</v>
      </c>
      <c r="O20" s="2334">
        <f t="shared" si="3"/>
        <v>6.993324382508391E-2</v>
      </c>
    </row>
    <row r="21" spans="1:15">
      <c r="A21" s="2409" t="s">
        <v>790</v>
      </c>
      <c r="B21" s="2410">
        <f t="shared" ref="B21:M21" si="5">B9</f>
        <v>15</v>
      </c>
      <c r="C21" s="2410">
        <f t="shared" si="5"/>
        <v>2025</v>
      </c>
      <c r="D21" s="2410">
        <f t="shared" si="5"/>
        <v>58728</v>
      </c>
      <c r="E21" s="2410">
        <f t="shared" si="5"/>
        <v>9898</v>
      </c>
      <c r="F21" s="2410">
        <f t="shared" si="5"/>
        <v>47666</v>
      </c>
      <c r="G21" s="2410">
        <f t="shared" si="5"/>
        <v>4178</v>
      </c>
      <c r="H21" s="2410">
        <f t="shared" si="5"/>
        <v>10017</v>
      </c>
      <c r="I21" s="2410">
        <f t="shared" si="5"/>
        <v>1015</v>
      </c>
      <c r="J21" s="2410">
        <f t="shared" si="5"/>
        <v>1000</v>
      </c>
      <c r="K21" s="2410">
        <f t="shared" si="5"/>
        <v>88411</v>
      </c>
      <c r="L21" s="2410">
        <f t="shared" si="5"/>
        <v>1000</v>
      </c>
      <c r="M21" s="2410">
        <f t="shared" si="5"/>
        <v>218410</v>
      </c>
      <c r="N21" s="1846">
        <f t="shared" si="1"/>
        <v>442363</v>
      </c>
      <c r="O21" s="2334">
        <f t="shared" si="3"/>
        <v>5.9499582136122546E-2</v>
      </c>
    </row>
    <row r="22" spans="1:15">
      <c r="A22" s="2409" t="s">
        <v>1573</v>
      </c>
      <c r="B22" s="2410">
        <f t="shared" ref="B22:M22" si="6">B10</f>
        <v>14044</v>
      </c>
      <c r="C22" s="2410">
        <f t="shared" si="6"/>
        <v>0</v>
      </c>
      <c r="D22" s="2410">
        <f t="shared" si="6"/>
        <v>0</v>
      </c>
      <c r="E22" s="2410">
        <f t="shared" si="6"/>
        <v>14380</v>
      </c>
      <c r="F22" s="2410">
        <f t="shared" si="6"/>
        <v>16000</v>
      </c>
      <c r="G22" s="2410">
        <f t="shared" si="6"/>
        <v>15094</v>
      </c>
      <c r="H22" s="2410">
        <f t="shared" si="6"/>
        <v>5684.8</v>
      </c>
      <c r="I22" s="2410">
        <f t="shared" si="6"/>
        <v>5684.8</v>
      </c>
      <c r="J22" s="2410">
        <f t="shared" si="6"/>
        <v>5684.8</v>
      </c>
      <c r="K22" s="2410">
        <f t="shared" si="6"/>
        <v>5684.8</v>
      </c>
      <c r="L22" s="2410">
        <f t="shared" si="6"/>
        <v>5684.8</v>
      </c>
      <c r="M22" s="2410">
        <f t="shared" si="6"/>
        <v>5684.8</v>
      </c>
      <c r="N22" s="1846">
        <f t="shared" si="1"/>
        <v>93626.800000000017</v>
      </c>
      <c r="O22" s="2334">
        <f t="shared" si="3"/>
        <v>1.2593176818003132E-2</v>
      </c>
    </row>
    <row r="23" spans="1:15">
      <c r="A23" s="2411" t="s">
        <v>734</v>
      </c>
      <c r="B23" s="2412">
        <f>SUM(B18:B22)</f>
        <v>502981.6087000001</v>
      </c>
      <c r="C23" s="2412">
        <f t="shared" ref="C23:M23" si="7">SUM(C18:C22)</f>
        <v>509773.99660000007</v>
      </c>
      <c r="D23" s="2412">
        <f t="shared" si="7"/>
        <v>535881.31719999993</v>
      </c>
      <c r="E23" s="2412">
        <f t="shared" si="7"/>
        <v>549836.71399999992</v>
      </c>
      <c r="F23" s="2412">
        <f t="shared" si="7"/>
        <v>550671.95940000017</v>
      </c>
      <c r="G23" s="2412">
        <f t="shared" si="7"/>
        <v>638751.26399999997</v>
      </c>
      <c r="H23" s="2412">
        <f t="shared" si="7"/>
        <v>597911.54240000003</v>
      </c>
      <c r="I23" s="2412">
        <f t="shared" si="7"/>
        <v>664684.83860000002</v>
      </c>
      <c r="J23" s="2412">
        <f t="shared" si="7"/>
        <v>642343.94569999992</v>
      </c>
      <c r="K23" s="2412">
        <f t="shared" si="7"/>
        <v>659040.33120000002</v>
      </c>
      <c r="L23" s="2412">
        <f t="shared" si="7"/>
        <v>623303.99290000019</v>
      </c>
      <c r="M23" s="2412">
        <f t="shared" si="7"/>
        <v>959542.97170000011</v>
      </c>
      <c r="N23" s="1846">
        <f>SUM(B23:M23)</f>
        <v>7434724.4824000001</v>
      </c>
      <c r="O23" s="2406">
        <f>SUM(O18:O22)</f>
        <v>0.99999999999999989</v>
      </c>
    </row>
    <row r="25" spans="1:15">
      <c r="A25" s="2413" t="s">
        <v>1868</v>
      </c>
      <c r="B25" s="1846">
        <f>+SUM($B$23:B23)</f>
        <v>502981.6087000001</v>
      </c>
      <c r="C25" s="1846">
        <f>+SUM($B$23:C23)</f>
        <v>1012755.6053000002</v>
      </c>
      <c r="D25" s="1846">
        <f>+SUM($B$23:D23)</f>
        <v>1548636.9225000001</v>
      </c>
      <c r="E25" s="1846">
        <f>+SUM($B$23:E23)</f>
        <v>2098473.6365</v>
      </c>
      <c r="F25" s="1846">
        <f>+SUM($B$23:F23)</f>
        <v>2649145.5959000001</v>
      </c>
      <c r="G25" s="1846">
        <f>+SUM($B$23:G23)</f>
        <v>3287896.8599</v>
      </c>
      <c r="H25" s="1846">
        <f>+SUM($B$23:H23)</f>
        <v>3885808.4023000002</v>
      </c>
      <c r="I25" s="1846">
        <f>+SUM($B$23:I23)</f>
        <v>4550493.2409000006</v>
      </c>
      <c r="J25" s="1846">
        <f>+SUM($B$23:J23)</f>
        <v>5192837.1866000006</v>
      </c>
      <c r="K25" s="1846">
        <f>+SUM($B$23:K23)</f>
        <v>5851877.5178000005</v>
      </c>
      <c r="L25" s="1846">
        <f>+SUM($B$23:L23)</f>
        <v>6475181.5107000005</v>
      </c>
      <c r="M25" s="1846">
        <f>+SUM($B$23:M23)</f>
        <v>7434724.4824000001</v>
      </c>
    </row>
    <row r="26" spans="1:15" ht="1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5" ht="1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5">
      <c r="A28" s="2407" t="s">
        <v>1335</v>
      </c>
      <c r="B28" s="2408">
        <v>45658</v>
      </c>
      <c r="C28" s="2408">
        <v>45689</v>
      </c>
      <c r="D28" s="2408">
        <v>45717</v>
      </c>
      <c r="E28" s="2408">
        <v>45748</v>
      </c>
      <c r="F28" s="2408">
        <v>45778</v>
      </c>
      <c r="G28" s="2408">
        <v>45809</v>
      </c>
      <c r="H28" s="2408">
        <v>45839</v>
      </c>
      <c r="I28" s="2408">
        <v>45870</v>
      </c>
      <c r="J28" s="2408">
        <v>45901</v>
      </c>
      <c r="K28" s="2408">
        <v>45931</v>
      </c>
      <c r="L28" s="2408">
        <v>45962</v>
      </c>
      <c r="M28" s="2408">
        <v>45992</v>
      </c>
      <c r="N28" s="1845" t="s">
        <v>734</v>
      </c>
    </row>
    <row r="29" spans="1:15">
      <c r="A29" s="2409" t="s">
        <v>1336</v>
      </c>
      <c r="B29" s="2410">
        <f>+'Tabla datos unidades_Dic'!D4-B18</f>
        <v>-16074.024794420635</v>
      </c>
      <c r="C29" s="2410">
        <f>+'Tabla datos unidades_Dic'!E4-C18</f>
        <v>148970.62249871239</v>
      </c>
      <c r="D29" s="2410">
        <f>+'Tabla datos unidades_Dic'!F4-D18</f>
        <v>31754.139881545154</v>
      </c>
      <c r="E29" s="2410">
        <f>+'Tabla datos unidades_Dic'!G4-E18</f>
        <v>-98447.529021459195</v>
      </c>
      <c r="F29" s="2410">
        <f>+'Tabla datos unidades_Dic'!H4-F18</f>
        <v>-52121.874636051652</v>
      </c>
      <c r="G29" s="2410">
        <f>+'Tabla datos unidades_Dic'!I4-G18</f>
        <v>-97779.191038626537</v>
      </c>
      <c r="H29" s="2410">
        <f>+'Tabla datos unidades_Dic'!J4-H18</f>
        <v>123735.00652703864</v>
      </c>
      <c r="I29" s="2410">
        <f>+'Tabla datos unidades_Dic'!K4-I18</f>
        <v>-259455.30147553646</v>
      </c>
      <c r="J29" s="2410">
        <f>+'Tabla datos unidades_Dic'!L4-J18</f>
        <v>-133314.09527081531</v>
      </c>
      <c r="K29" s="2410">
        <f>+'Tabla datos unidades_Dic'!M4-K18</f>
        <v>-284455.07089957083</v>
      </c>
      <c r="L29" s="2410">
        <f>+'Tabla datos unidades_Dic'!N4-L18</f>
        <v>-112504.62693433496</v>
      </c>
      <c r="M29" s="2410">
        <f>+'Tabla datos unidades_Dic'!O4-M18</f>
        <v>-305118.62127081561</v>
      </c>
      <c r="N29" s="1846">
        <f t="shared" ref="N29:N33" si="8">SUM(B29:M29)</f>
        <v>-1054810.566434335</v>
      </c>
    </row>
    <row r="30" spans="1:15">
      <c r="A30" s="2409" t="s">
        <v>1337</v>
      </c>
      <c r="B30" s="2410">
        <f>+'Tabla datos unidades_Dic'!D5-B19</f>
        <v>34385.149999999994</v>
      </c>
      <c r="C30" s="2410">
        <f>+'Tabla datos unidades_Dic'!E5-C19</f>
        <v>-19143</v>
      </c>
      <c r="D30" s="2410">
        <f>+'Tabla datos unidades_Dic'!F5-D19</f>
        <v>12622</v>
      </c>
      <c r="E30" s="2410">
        <f>+'Tabla datos unidades_Dic'!G5-E19</f>
        <v>-27595.299999999988</v>
      </c>
      <c r="F30" s="2410">
        <f>+'Tabla datos unidades_Dic'!H5-F19</f>
        <v>13686</v>
      </c>
      <c r="G30" s="2410">
        <f>+'Tabla datos unidades_Dic'!I5-G19</f>
        <v>61593</v>
      </c>
      <c r="H30" s="2410">
        <f>+'Tabla datos unidades_Dic'!J5-H19</f>
        <v>52347</v>
      </c>
      <c r="I30" s="2410">
        <f>+'Tabla datos unidades_Dic'!K5-I19</f>
        <v>416001</v>
      </c>
      <c r="J30" s="2410">
        <f>+'Tabla datos unidades_Dic'!L5-J19</f>
        <v>-7964</v>
      </c>
      <c r="K30" s="2410">
        <f>+'Tabla datos unidades_Dic'!M5-K19</f>
        <v>157275</v>
      </c>
      <c r="L30" s="2410">
        <f>+'Tabla datos unidades_Dic'!N5-L19</f>
        <v>-43027.640000000014</v>
      </c>
      <c r="M30" s="2410">
        <f>+'Tabla datos unidades_Dic'!O5-M19</f>
        <v>35311</v>
      </c>
      <c r="N30" s="1846">
        <f t="shared" si="8"/>
        <v>685490.21</v>
      </c>
    </row>
    <row r="31" spans="1:15">
      <c r="A31" s="2409" t="s">
        <v>1338</v>
      </c>
      <c r="B31" s="2410">
        <f>+'Tabla datos unidades_Dic'!D6-B20</f>
        <v>59479</v>
      </c>
      <c r="C31" s="2410">
        <f>+'Tabla datos unidades_Dic'!E6-C20</f>
        <v>31871</v>
      </c>
      <c r="D31" s="2410">
        <f>+'Tabla datos unidades_Dic'!F6-D20</f>
        <v>69897</v>
      </c>
      <c r="E31" s="2410">
        <f>+'Tabla datos unidades_Dic'!G6-E20</f>
        <v>45205.299999999996</v>
      </c>
      <c r="F31" s="2410">
        <f>+'Tabla datos unidades_Dic'!H6-F20</f>
        <v>3745</v>
      </c>
      <c r="G31" s="2410">
        <f>+'Tabla datos unidades_Dic'!I6-G20</f>
        <v>-9723</v>
      </c>
      <c r="H31" s="2410">
        <f>+'Tabla datos unidades_Dic'!J6-H20</f>
        <v>16698</v>
      </c>
      <c r="I31" s="2410">
        <f>+'Tabla datos unidades_Dic'!K6-I20</f>
        <v>98177</v>
      </c>
      <c r="J31" s="2410">
        <f>+'Tabla datos unidades_Dic'!L6-J20</f>
        <v>126265</v>
      </c>
      <c r="K31" s="2410">
        <f>+'Tabla datos unidades_Dic'!M6-K20</f>
        <v>311013</v>
      </c>
      <c r="L31" s="2410">
        <f>+'Tabla datos unidades_Dic'!N6-L20</f>
        <v>123415</v>
      </c>
      <c r="M31" s="2410">
        <f>+'Tabla datos unidades_Dic'!O6-M20</f>
        <v>201115.50999999998</v>
      </c>
      <c r="N31" s="1846">
        <f t="shared" si="8"/>
        <v>1077157.81</v>
      </c>
    </row>
    <row r="32" spans="1:15">
      <c r="A32" s="2409" t="s">
        <v>790</v>
      </c>
      <c r="B32" s="2410">
        <f>+'Tabla datos unidades_Dic'!D7-B21</f>
        <v>150438</v>
      </c>
      <c r="C32" s="2410">
        <f>+'Tabla datos unidades_Dic'!E7-C21</f>
        <v>241440.21</v>
      </c>
      <c r="D32" s="2410">
        <f>+'Tabla datos unidades_Dic'!F7-D21</f>
        <v>82798</v>
      </c>
      <c r="E32" s="2410">
        <f>+'Tabla datos unidades_Dic'!G7-E21</f>
        <v>159302</v>
      </c>
      <c r="F32" s="2410">
        <f>+'Tabla datos unidades_Dic'!H7-F21</f>
        <v>147424</v>
      </c>
      <c r="G32" s="2410">
        <f>+'Tabla datos unidades_Dic'!I7-G21</f>
        <v>57618</v>
      </c>
      <c r="H32" s="2410">
        <f>+'Tabla datos unidades_Dic'!J7-H21</f>
        <v>-10017</v>
      </c>
      <c r="I32" s="2410">
        <f>+'Tabla datos unidades_Dic'!K7-I21</f>
        <v>18985</v>
      </c>
      <c r="J32" s="2410">
        <f>+'Tabla datos unidades_Dic'!L7-J21</f>
        <v>-1000</v>
      </c>
      <c r="K32" s="2410">
        <f>+'Tabla datos unidades_Dic'!M7-K21</f>
        <v>-43411</v>
      </c>
      <c r="L32" s="2410">
        <f>+'Tabla datos unidades_Dic'!N7-L21</f>
        <v>-1000</v>
      </c>
      <c r="M32" s="2410">
        <f>+'Tabla datos unidades_Dic'!O7-M21</f>
        <v>-39625</v>
      </c>
      <c r="N32" s="1846">
        <f t="shared" si="8"/>
        <v>762952.21</v>
      </c>
    </row>
    <row r="33" spans="1:14">
      <c r="A33" s="2409" t="s">
        <v>1573</v>
      </c>
      <c r="B33" s="2410">
        <f>+'Tabla datos unidades_Dic'!D8-B22</f>
        <v>-14044</v>
      </c>
      <c r="C33" s="2410">
        <f>+'Tabla datos unidades_Dic'!E8-C22</f>
        <v>21682</v>
      </c>
      <c r="D33" s="2410">
        <f>+'Tabla datos unidades_Dic'!F8-D22</f>
        <v>45478</v>
      </c>
      <c r="E33" s="2410">
        <f>+'Tabla datos unidades_Dic'!G8-E22</f>
        <v>-14380</v>
      </c>
      <c r="F33" s="2410">
        <f>+'Tabla datos unidades_Dic'!H8-F22</f>
        <v>-16000</v>
      </c>
      <c r="G33" s="2410">
        <f>+'Tabla datos unidades_Dic'!I8-G22</f>
        <v>156951</v>
      </c>
      <c r="H33" s="2410">
        <f>+'Tabla datos unidades_Dic'!J8-H22</f>
        <v>-5684.8</v>
      </c>
      <c r="I33" s="2410">
        <f>+'Tabla datos unidades_Dic'!K8-I22</f>
        <v>93839.2</v>
      </c>
      <c r="J33" s="2410">
        <f>+'Tabla datos unidades_Dic'!L8-J22</f>
        <v>-5684.8</v>
      </c>
      <c r="K33" s="2410">
        <f>+'Tabla datos unidades_Dic'!M8-K22</f>
        <v>-5684.8</v>
      </c>
      <c r="L33" s="2410">
        <f>+'Tabla datos unidades_Dic'!N8-L22</f>
        <v>-5684.8</v>
      </c>
      <c r="M33" s="2410">
        <f>+'Tabla datos unidades_Dic'!O8-M22</f>
        <v>-5684.8</v>
      </c>
      <c r="N33" s="1846">
        <f t="shared" si="8"/>
        <v>245102.20000000007</v>
      </c>
    </row>
    <row r="34" spans="1:14">
      <c r="A34" s="2411" t="s">
        <v>734</v>
      </c>
      <c r="B34" s="2412">
        <f>SUM(B29:B33)</f>
        <v>214184.12520557936</v>
      </c>
      <c r="C34" s="2412">
        <f t="shared" ref="C34" si="9">SUM(C29:C33)</f>
        <v>424820.83249871235</v>
      </c>
      <c r="D34" s="2412">
        <f t="shared" ref="D34" si="10">SUM(D29:D33)</f>
        <v>242549.13988154515</v>
      </c>
      <c r="E34" s="2412">
        <f t="shared" ref="E34" si="11">SUM(E29:E33)</f>
        <v>64084.470978540805</v>
      </c>
      <c r="F34" s="2412">
        <f t="shared" ref="F34" si="12">SUM(F29:F33)</f>
        <v>96733.125363948348</v>
      </c>
      <c r="G34" s="2412">
        <f t="shared" ref="G34" si="13">SUM(G29:G33)</f>
        <v>168659.80896137346</v>
      </c>
      <c r="H34" s="2412">
        <f t="shared" ref="H34" si="14">SUM(H29:H33)</f>
        <v>177078.20652703865</v>
      </c>
      <c r="I34" s="2412">
        <f t="shared" ref="I34" si="15">SUM(I29:I33)</f>
        <v>367546.89852446358</v>
      </c>
      <c r="J34" s="2412">
        <f t="shared" ref="J34" si="16">SUM(J29:J33)</f>
        <v>-21697.895270815305</v>
      </c>
      <c r="K34" s="2412">
        <f t="shared" ref="K34" si="17">SUM(K29:K33)</f>
        <v>134737.12910042919</v>
      </c>
      <c r="L34" s="2412">
        <f t="shared" ref="L34" si="18">SUM(L29:L33)</f>
        <v>-38802.066934334973</v>
      </c>
      <c r="M34" s="2412">
        <f t="shared" ref="M34" si="19">SUM(M29:M33)</f>
        <v>-114001.91127081563</v>
      </c>
      <c r="N34" s="1846">
        <f>SUM(B34:M34)</f>
        <v>1715891.863565665</v>
      </c>
    </row>
    <row r="35" spans="1:14" ht="1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ht="1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ht="15">
      <c r="A37"/>
      <c r="B37"/>
      <c r="C37"/>
      <c r="D37"/>
      <c r="E37"/>
      <c r="F37"/>
      <c r="G37"/>
      <c r="H37"/>
      <c r="I37"/>
      <c r="J37"/>
      <c r="K37"/>
      <c r="L37"/>
    </row>
    <row r="38" spans="1:14" ht="15">
      <c r="A38"/>
      <c r="B38"/>
      <c r="C38"/>
      <c r="D38"/>
      <c r="E38"/>
      <c r="F38"/>
      <c r="G38"/>
      <c r="H38"/>
      <c r="I38"/>
      <c r="J38"/>
      <c r="K38"/>
      <c r="L38"/>
      <c r="M38" s="2407" t="s">
        <v>1335</v>
      </c>
      <c r="N38" s="1845" t="s">
        <v>734</v>
      </c>
    </row>
    <row r="39" spans="1:14" ht="15">
      <c r="A39"/>
      <c r="B39"/>
      <c r="C39"/>
      <c r="D39"/>
      <c r="E39"/>
      <c r="F39"/>
      <c r="G39"/>
      <c r="H39"/>
      <c r="I39"/>
      <c r="J39"/>
      <c r="K39"/>
      <c r="L39"/>
      <c r="M39" s="2409" t="s">
        <v>1336</v>
      </c>
      <c r="N39" s="1846">
        <v>-746597.6015635191</v>
      </c>
    </row>
    <row r="40" spans="1:14" ht="15">
      <c r="A40"/>
      <c r="B40"/>
      <c r="C40"/>
      <c r="D40"/>
      <c r="E40"/>
      <c r="F40"/>
      <c r="G40"/>
      <c r="H40"/>
      <c r="I40"/>
      <c r="J40"/>
      <c r="K40"/>
      <c r="L40"/>
      <c r="M40" s="2409" t="s">
        <v>1573</v>
      </c>
      <c r="N40" s="1846">
        <v>245102.20000000007</v>
      </c>
    </row>
    <row r="41" spans="1:14" ht="15">
      <c r="A41"/>
      <c r="B41"/>
      <c r="C41"/>
      <c r="D41"/>
      <c r="E41"/>
      <c r="F41"/>
      <c r="G41"/>
      <c r="H41"/>
      <c r="I41"/>
      <c r="J41"/>
      <c r="K41"/>
      <c r="L41"/>
      <c r="M41" s="2409" t="s">
        <v>790</v>
      </c>
      <c r="N41" s="1846">
        <v>824515.21</v>
      </c>
    </row>
    <row r="42" spans="1:14" ht="15">
      <c r="A42"/>
      <c r="B42"/>
      <c r="C42"/>
      <c r="D42"/>
      <c r="E42"/>
      <c r="F42"/>
      <c r="G42"/>
      <c r="H42"/>
      <c r="I42"/>
      <c r="J42"/>
      <c r="K42"/>
      <c r="L42"/>
      <c r="M42" s="2409" t="s">
        <v>1337</v>
      </c>
      <c r="N42" s="1846">
        <v>1006671.4999622641</v>
      </c>
    </row>
    <row r="43" spans="1:14" ht="15">
      <c r="A43"/>
      <c r="B43"/>
      <c r="C43"/>
      <c r="D43"/>
      <c r="E43"/>
      <c r="F43"/>
      <c r="G43"/>
      <c r="H43"/>
      <c r="I43"/>
      <c r="J43"/>
      <c r="K43"/>
      <c r="L43"/>
      <c r="M43" s="2409" t="s">
        <v>1338</v>
      </c>
      <c r="N43" s="1846">
        <v>1070905.6333333333</v>
      </c>
    </row>
    <row r="44" spans="1:14" ht="15">
      <c r="A44"/>
      <c r="B44"/>
      <c r="C44"/>
      <c r="D44"/>
      <c r="E44"/>
      <c r="F44"/>
      <c r="G44"/>
      <c r="H44"/>
      <c r="I44"/>
      <c r="J44"/>
      <c r="K44"/>
      <c r="L44"/>
      <c r="M44" s="2411" t="s">
        <v>734</v>
      </c>
      <c r="N44" s="1846">
        <f>SUM(N39:N43)</f>
        <v>2400596.9417320783</v>
      </c>
    </row>
    <row r="45" spans="1:14" ht="1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ht="1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4" ht="1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ht="1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ht="1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ht="15">
      <c r="A50"/>
      <c r="B50"/>
      <c r="C50"/>
      <c r="D50"/>
      <c r="E50"/>
      <c r="F50"/>
      <c r="G50"/>
      <c r="H50"/>
      <c r="I50"/>
      <c r="J50"/>
      <c r="K50"/>
      <c r="L50"/>
      <c r="M50"/>
      <c r="N50" s="1846"/>
    </row>
    <row r="51" spans="1:14" ht="1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ht="1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4" ht="1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4" ht="1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4" ht="1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4" ht="1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4" ht="1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4" ht="1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4" ht="1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4" ht="1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4" ht="1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4" ht="1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4" ht="1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ht="1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ht="1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ht="1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ht="1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ht="1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ht="1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ht="1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ht="1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ht="1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ht="1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ht="1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ht="1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ht="1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ht="1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ht="1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1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1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1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1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1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1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1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1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1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1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1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1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1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1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1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1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1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1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1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1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1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1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1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ht="1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ht="1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1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ht="1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ht="1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ht="1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ht="1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ht="1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ht="1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ht="1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ht="1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ht="1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ht="1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ht="1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ht="1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ht="1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ht="1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ht="1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ht="1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ht="1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ht="1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ht="1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ht="1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ht="1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ht="1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ht="1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ht="1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ht="1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ht="1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ht="1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ht="1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ht="1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ht="1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ht="1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ht="1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ht="1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ht="1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ht="1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ht="1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ht="1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ht="1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ht="1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ht="1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ht="1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ht="1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ht="1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ht="1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ht="1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ht="1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ht="1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ht="1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ht="1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ht="1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ht="1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ht="1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ht="1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ht="1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ht="1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ht="1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ht="1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ht="1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ht="1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ht="1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ht="1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ht="1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ht="1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ht="1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ht="1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ht="1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ht="1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ht="1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ht="1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ht="1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ht="1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ht="1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ht="1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ht="1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ht="1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ht="1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ht="1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ht="1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ht="1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ht="1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ht="1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ht="1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ht="1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ht="1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ht="1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ht="1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ht="1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ht="1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ht="1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ht="1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ht="1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ht="1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ht="1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ht="1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ht="1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ht="1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ht="1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ht="1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ht="1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ht="1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ht="1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ht="1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ht="1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ht="1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ht="1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ht="1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ht="1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ht="1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ht="1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ht="1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ht="1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ht="1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ht="1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ht="1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ht="1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ht="1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ht="1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ht="1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ht="1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ht="1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ht="1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ht="1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ht="1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ht="1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ht="1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ht="1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ht="1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ht="1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ht="1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ht="1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ht="1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ht="1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ht="1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ht="1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ht="1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ht="1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ht="1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ht="1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ht="1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ht="1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ht="1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ht="1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ht="1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ht="1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ht="1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ht="1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ht="1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ht="1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ht="1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ht="1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ht="1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ht="1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ht="1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ht="1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ht="1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ht="1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ht="1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ht="1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ht="1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ht="1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ht="1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ht="1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ht="1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ht="1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ht="1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ht="1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ht="1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ht="1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ht="1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ht="1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ht="1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ht="1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ht="1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ht="1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ht="1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ht="1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ht="1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ht="1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ht="1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ht="1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ht="1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ht="1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ht="1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ht="1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ht="1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ht="1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ht="1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ht="1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ht="1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ht="1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ht="1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ht="1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ht="1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ht="1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ht="1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ht="1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ht="1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ht="1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ht="1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ht="1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ht="1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ht="1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ht="1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ht="1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ht="1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ht="1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ht="1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ht="1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ht="1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ht="1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ht="1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ht="1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ht="1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ht="1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ht="1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ht="1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ht="1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ht="1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ht="1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ht="1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ht="1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ht="1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ht="1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ht="1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ht="1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ht="1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ht="1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ht="1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ht="1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ht="1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ht="1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ht="1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ht="1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ht="1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ht="1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ht="1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ht="1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ht="1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ht="1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ht="1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ht="1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ht="1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ht="1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ht="1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ht="1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ht="1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ht="1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ht="1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ht="1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ht="1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ht="1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ht="1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ht="1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ht="1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ht="1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ht="1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ht="1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ht="1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ht="1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ht="1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ht="1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ht="1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ht="1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ht="1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ht="1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ht="1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ht="1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ht="1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ht="1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ht="1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ht="1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ht="1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ht="1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ht="1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ht="1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ht="1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ht="1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ht="1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ht="1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ht="1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ht="1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ht="1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ht="1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ht="1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ht="1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ht="1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ht="1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ht="1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ht="1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ht="1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ht="1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ht="1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ht="1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ht="1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ht="1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ht="1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ht="1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ht="1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ht="1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ht="1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ht="1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ht="1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ht="1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ht="1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ht="1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ht="1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ht="1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ht="1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>
      <c r="C443" s="1847"/>
    </row>
    <row r="444" spans="1:13">
      <c r="C444" s="1847"/>
    </row>
    <row r="445" spans="1:13">
      <c r="C445" s="1847"/>
    </row>
    <row r="446" spans="1:13">
      <c r="C446" s="1847"/>
    </row>
    <row r="447" spans="1:13">
      <c r="C447" s="1847"/>
    </row>
    <row r="448" spans="1:13">
      <c r="C448" s="1847"/>
    </row>
    <row r="449" spans="3:3">
      <c r="C449" s="1847"/>
    </row>
    <row r="450" spans="3:3">
      <c r="C450" s="1847"/>
    </row>
    <row r="451" spans="3:3">
      <c r="C451" s="1847"/>
    </row>
    <row r="452" spans="3:3">
      <c r="C452" s="1847"/>
    </row>
    <row r="453" spans="3:3">
      <c r="C453" s="1847"/>
    </row>
    <row r="454" spans="3:3">
      <c r="C454" s="1847"/>
    </row>
    <row r="455" spans="3:3">
      <c r="C455" s="1847"/>
    </row>
    <row r="456" spans="3:3">
      <c r="C456" s="1847"/>
    </row>
    <row r="457" spans="3:3">
      <c r="C457" s="1847"/>
    </row>
    <row r="458" spans="3:3">
      <c r="C458" s="1847"/>
    </row>
    <row r="459" spans="3:3">
      <c r="C459" s="1847"/>
    </row>
    <row r="460" spans="3:3">
      <c r="C460" s="1847"/>
    </row>
    <row r="461" spans="3:3">
      <c r="C461" s="1847"/>
    </row>
    <row r="462" spans="3:3">
      <c r="C462" s="1847"/>
    </row>
    <row r="463" spans="3:3">
      <c r="C463" s="1847"/>
    </row>
    <row r="464" spans="3:3">
      <c r="C464" s="1847"/>
    </row>
    <row r="465" spans="3:3">
      <c r="C465" s="1847"/>
    </row>
    <row r="466" spans="3:3">
      <c r="C466" s="1847"/>
    </row>
    <row r="467" spans="3:3">
      <c r="C467" s="1847"/>
    </row>
    <row r="468" spans="3:3">
      <c r="C468" s="1847"/>
    </row>
    <row r="469" spans="3:3">
      <c r="C469" s="1847"/>
    </row>
    <row r="470" spans="3:3">
      <c r="C470" s="1847"/>
    </row>
    <row r="471" spans="3:3">
      <c r="C471" s="1847"/>
    </row>
    <row r="472" spans="3:3">
      <c r="C472" s="1847"/>
    </row>
    <row r="473" spans="3:3">
      <c r="C473" s="1847"/>
    </row>
    <row r="474" spans="3:3">
      <c r="C474" s="1847"/>
    </row>
    <row r="475" spans="3:3">
      <c r="C475" s="1847"/>
    </row>
    <row r="476" spans="3:3">
      <c r="C476" s="1847"/>
    </row>
    <row r="477" spans="3:3">
      <c r="C477" s="1847"/>
    </row>
    <row r="478" spans="3:3">
      <c r="C478" s="1847"/>
    </row>
    <row r="479" spans="3:3">
      <c r="C479" s="1847"/>
    </row>
    <row r="480" spans="3:3">
      <c r="C480" s="1847"/>
    </row>
    <row r="481" spans="3:3">
      <c r="C481" s="1847"/>
    </row>
    <row r="482" spans="3:3">
      <c r="C482" s="1847"/>
    </row>
    <row r="483" spans="3:3">
      <c r="C483" s="1847"/>
    </row>
    <row r="484" spans="3:3">
      <c r="C484" s="1847"/>
    </row>
    <row r="485" spans="3:3">
      <c r="C485" s="1847"/>
    </row>
    <row r="486" spans="3:3">
      <c r="C486" s="1847"/>
    </row>
    <row r="487" spans="3:3">
      <c r="C487" s="1847"/>
    </row>
    <row r="488" spans="3:3">
      <c r="C488" s="1847"/>
    </row>
    <row r="489" spans="3:3">
      <c r="C489" s="1847"/>
    </row>
    <row r="490" spans="3:3">
      <c r="C490" s="1847"/>
    </row>
    <row r="491" spans="3:3">
      <c r="C491" s="1847"/>
    </row>
    <row r="492" spans="3:3">
      <c r="C492" s="1847"/>
    </row>
    <row r="493" spans="3:3">
      <c r="C493" s="1847"/>
    </row>
    <row r="494" spans="3:3">
      <c r="C494" s="1847"/>
    </row>
    <row r="495" spans="3:3">
      <c r="C495" s="1847"/>
    </row>
    <row r="496" spans="3:3">
      <c r="C496" s="1847"/>
    </row>
    <row r="497" spans="3:3">
      <c r="C497" s="1847"/>
    </row>
    <row r="498" spans="3:3">
      <c r="C498" s="1847"/>
    </row>
    <row r="499" spans="3:3">
      <c r="C499" s="1847"/>
    </row>
    <row r="500" spans="3:3">
      <c r="C500" s="1847"/>
    </row>
    <row r="501" spans="3:3">
      <c r="C501" s="1847"/>
    </row>
    <row r="502" spans="3:3">
      <c r="C502" s="1847"/>
    </row>
    <row r="503" spans="3:3">
      <c r="C503" s="1847"/>
    </row>
    <row r="504" spans="3:3">
      <c r="C504" s="1847"/>
    </row>
    <row r="505" spans="3:3">
      <c r="C505" s="1847"/>
    </row>
    <row r="506" spans="3:3">
      <c r="C506" s="1847"/>
    </row>
    <row r="507" spans="3:3">
      <c r="C507" s="1847"/>
    </row>
    <row r="508" spans="3:3">
      <c r="C508" s="1847"/>
    </row>
    <row r="509" spans="3:3">
      <c r="C509" s="1847"/>
    </row>
    <row r="510" spans="3:3">
      <c r="C510" s="1847"/>
    </row>
    <row r="511" spans="3:3">
      <c r="C511" s="1847"/>
    </row>
    <row r="512" spans="3:3">
      <c r="C512" s="1847"/>
    </row>
    <row r="513" spans="3:3">
      <c r="C513" s="1847"/>
    </row>
    <row r="514" spans="3:3">
      <c r="C514" s="1847"/>
    </row>
    <row r="515" spans="3:3">
      <c r="C515" s="1847"/>
    </row>
    <row r="516" spans="3:3">
      <c r="C516" s="1847"/>
    </row>
    <row r="517" spans="3:3">
      <c r="C517" s="1847"/>
    </row>
    <row r="518" spans="3:3">
      <c r="C518" s="1847"/>
    </row>
    <row r="519" spans="3:3">
      <c r="C519" s="1847"/>
    </row>
    <row r="520" spans="3:3">
      <c r="C520" s="1847"/>
    </row>
    <row r="521" spans="3:3">
      <c r="C521" s="1847"/>
    </row>
    <row r="522" spans="3:3">
      <c r="C522" s="1847"/>
    </row>
    <row r="523" spans="3:3">
      <c r="C523" s="1847"/>
    </row>
    <row r="524" spans="3:3">
      <c r="C524" s="1847"/>
    </row>
    <row r="525" spans="3:3">
      <c r="C525" s="1847"/>
    </row>
    <row r="526" spans="3:3">
      <c r="C526" s="1847"/>
    </row>
    <row r="527" spans="3:3">
      <c r="C527" s="1847"/>
    </row>
    <row r="528" spans="3:3">
      <c r="C528" s="1847"/>
    </row>
    <row r="529" spans="3:3">
      <c r="C529" s="1847"/>
    </row>
    <row r="530" spans="3:3">
      <c r="C530" s="1847"/>
    </row>
    <row r="531" spans="3:3">
      <c r="C531" s="1847"/>
    </row>
    <row r="532" spans="3:3">
      <c r="C532" s="1847"/>
    </row>
    <row r="533" spans="3:3">
      <c r="C533" s="1847"/>
    </row>
    <row r="534" spans="3:3">
      <c r="C534" s="1847"/>
    </row>
    <row r="535" spans="3:3">
      <c r="C535" s="1847"/>
    </row>
    <row r="536" spans="3:3">
      <c r="C536" s="1847"/>
    </row>
    <row r="537" spans="3:3">
      <c r="C537" s="1847"/>
    </row>
    <row r="538" spans="3:3">
      <c r="C538" s="1847"/>
    </row>
    <row r="539" spans="3:3">
      <c r="C539" s="1847"/>
    </row>
    <row r="540" spans="3:3">
      <c r="C540" s="1847"/>
    </row>
    <row r="541" spans="3:3">
      <c r="C541" s="1847"/>
    </row>
    <row r="542" spans="3:3">
      <c r="C542" s="1847"/>
    </row>
    <row r="543" spans="3:3">
      <c r="C543" s="1847"/>
    </row>
    <row r="544" spans="3:3">
      <c r="C544" s="1847"/>
    </row>
    <row r="545" spans="3:3">
      <c r="C545" s="1847"/>
    </row>
    <row r="546" spans="3:3">
      <c r="C546" s="1847"/>
    </row>
    <row r="547" spans="3:3">
      <c r="C547" s="1847"/>
    </row>
    <row r="548" spans="3:3">
      <c r="C548" s="1847"/>
    </row>
    <row r="549" spans="3:3">
      <c r="C549" s="1847"/>
    </row>
    <row r="550" spans="3:3">
      <c r="C550" s="1847"/>
    </row>
    <row r="551" spans="3:3">
      <c r="C551" s="1847"/>
    </row>
    <row r="552" spans="3:3">
      <c r="C552" s="1847"/>
    </row>
    <row r="553" spans="3:3">
      <c r="C553" s="1847"/>
    </row>
    <row r="554" spans="3:3">
      <c r="C554" s="1847"/>
    </row>
    <row r="555" spans="3:3">
      <c r="C555" s="1847"/>
    </row>
    <row r="556" spans="3:3">
      <c r="C556" s="1847"/>
    </row>
    <row r="557" spans="3:3">
      <c r="C557" s="1847"/>
    </row>
    <row r="558" spans="3:3">
      <c r="C558" s="1847"/>
    </row>
    <row r="559" spans="3:3">
      <c r="C559" s="1847"/>
    </row>
    <row r="560" spans="3:3">
      <c r="C560" s="1847"/>
    </row>
    <row r="561" spans="3:3">
      <c r="C561" s="1847"/>
    </row>
    <row r="562" spans="3:3">
      <c r="C562" s="1847"/>
    </row>
    <row r="563" spans="3:3">
      <c r="C563" s="1847"/>
    </row>
    <row r="564" spans="3:3">
      <c r="C564" s="1847"/>
    </row>
    <row r="565" spans="3:3">
      <c r="C565" s="1847"/>
    </row>
    <row r="566" spans="3:3">
      <c r="C566" s="1847"/>
    </row>
    <row r="567" spans="3:3">
      <c r="C567" s="1847"/>
    </row>
    <row r="568" spans="3:3">
      <c r="C568" s="1847"/>
    </row>
    <row r="569" spans="3:3">
      <c r="C569" s="1847"/>
    </row>
    <row r="570" spans="3:3">
      <c r="C570" s="1847"/>
    </row>
    <row r="571" spans="3:3">
      <c r="C571" s="1847"/>
    </row>
    <row r="572" spans="3:3">
      <c r="C572" s="1847"/>
    </row>
    <row r="573" spans="3:3">
      <c r="C573" s="1847"/>
    </row>
    <row r="574" spans="3:3">
      <c r="C574" s="1847"/>
    </row>
    <row r="575" spans="3:3">
      <c r="C575" s="1847"/>
    </row>
    <row r="576" spans="3:3">
      <c r="C576" s="1847"/>
    </row>
    <row r="577" spans="3:3">
      <c r="C577" s="1847"/>
    </row>
    <row r="578" spans="3:3">
      <c r="C578" s="1847"/>
    </row>
    <row r="579" spans="3:3">
      <c r="C579" s="1847"/>
    </row>
    <row r="580" spans="3:3">
      <c r="C580" s="1847"/>
    </row>
    <row r="581" spans="3:3">
      <c r="C581" s="1847"/>
    </row>
    <row r="582" spans="3:3">
      <c r="C582" s="1847"/>
    </row>
    <row r="583" spans="3:3">
      <c r="C583" s="1847"/>
    </row>
    <row r="584" spans="3:3">
      <c r="C584" s="1847"/>
    </row>
    <row r="585" spans="3:3">
      <c r="C585" s="1847"/>
    </row>
    <row r="586" spans="3:3">
      <c r="C586" s="1847"/>
    </row>
    <row r="587" spans="3:3">
      <c r="C587" s="1847"/>
    </row>
    <row r="588" spans="3:3">
      <c r="C588" s="1847"/>
    </row>
    <row r="589" spans="3:3">
      <c r="C589" s="1847"/>
    </row>
    <row r="590" spans="3:3">
      <c r="C590" s="1847"/>
    </row>
    <row r="591" spans="3:3">
      <c r="C591" s="1847"/>
    </row>
    <row r="592" spans="3:3">
      <c r="C592" s="1847"/>
    </row>
    <row r="593" spans="3:3">
      <c r="C593" s="1847"/>
    </row>
    <row r="594" spans="3:3">
      <c r="C594" s="1847"/>
    </row>
    <row r="595" spans="3:3">
      <c r="C595" s="1847"/>
    </row>
    <row r="596" spans="3:3">
      <c r="C596" s="1847"/>
    </row>
    <row r="597" spans="3:3">
      <c r="C597" s="1847"/>
    </row>
    <row r="598" spans="3:3">
      <c r="C598" s="1847"/>
    </row>
    <row r="599" spans="3:3">
      <c r="C599" s="1847"/>
    </row>
    <row r="600" spans="3:3">
      <c r="C600" s="1847"/>
    </row>
    <row r="601" spans="3:3">
      <c r="C601" s="1847"/>
    </row>
    <row r="602" spans="3:3">
      <c r="C602" s="1847"/>
    </row>
    <row r="603" spans="3:3">
      <c r="C603" s="1847"/>
    </row>
    <row r="604" spans="3:3">
      <c r="C604" s="1847"/>
    </row>
    <row r="605" spans="3:3">
      <c r="C605" s="1847"/>
    </row>
    <row r="606" spans="3:3">
      <c r="C606" s="1847"/>
    </row>
    <row r="607" spans="3:3">
      <c r="C607" s="1847"/>
    </row>
    <row r="608" spans="3:3">
      <c r="C608" s="1847"/>
    </row>
    <row r="609" spans="3:3">
      <c r="C609" s="1847"/>
    </row>
    <row r="610" spans="3:3">
      <c r="C610" s="1847"/>
    </row>
    <row r="611" spans="3:3">
      <c r="C611" s="1847"/>
    </row>
    <row r="612" spans="3:3">
      <c r="C612" s="1847"/>
    </row>
    <row r="613" spans="3:3">
      <c r="C613" s="1847"/>
    </row>
    <row r="614" spans="3:3">
      <c r="C614" s="1847"/>
    </row>
    <row r="615" spans="3:3">
      <c r="C615" s="1847"/>
    </row>
    <row r="616" spans="3:3">
      <c r="C616" s="1847"/>
    </row>
    <row r="617" spans="3:3">
      <c r="C617" s="1847"/>
    </row>
    <row r="618" spans="3:3">
      <c r="C618" s="1847"/>
    </row>
    <row r="619" spans="3:3">
      <c r="C619" s="1847"/>
    </row>
    <row r="620" spans="3:3">
      <c r="C620" s="1847"/>
    </row>
    <row r="621" spans="3:3">
      <c r="C621" s="1847"/>
    </row>
    <row r="622" spans="3:3">
      <c r="C622" s="1847"/>
    </row>
    <row r="623" spans="3:3">
      <c r="C623" s="1847"/>
    </row>
    <row r="624" spans="3:3">
      <c r="C624" s="1847"/>
    </row>
    <row r="625" spans="3:3">
      <c r="C625" s="1847"/>
    </row>
    <row r="626" spans="3:3">
      <c r="C626" s="1847"/>
    </row>
    <row r="627" spans="3:3">
      <c r="C627" s="1847"/>
    </row>
    <row r="628" spans="3:3">
      <c r="C628" s="1847"/>
    </row>
    <row r="629" spans="3:3">
      <c r="C629" s="1847"/>
    </row>
    <row r="630" spans="3:3">
      <c r="C630" s="1847"/>
    </row>
    <row r="631" spans="3:3">
      <c r="C631" s="1847"/>
    </row>
    <row r="632" spans="3:3">
      <c r="C632" s="1847"/>
    </row>
    <row r="633" spans="3:3">
      <c r="C633" s="1847"/>
    </row>
    <row r="634" spans="3:3">
      <c r="C634" s="1847"/>
    </row>
    <row r="635" spans="3:3">
      <c r="C635" s="1847"/>
    </row>
    <row r="636" spans="3:3">
      <c r="C636" s="1847"/>
    </row>
    <row r="637" spans="3:3">
      <c r="C637" s="1847"/>
    </row>
    <row r="638" spans="3:3">
      <c r="C638" s="1847"/>
    </row>
    <row r="639" spans="3:3">
      <c r="C639" s="1847"/>
    </row>
    <row r="640" spans="3:3">
      <c r="C640" s="1847"/>
    </row>
    <row r="641" spans="3:3">
      <c r="C641" s="1847"/>
    </row>
    <row r="642" spans="3:3">
      <c r="C642" s="1847"/>
    </row>
    <row r="643" spans="3:3">
      <c r="C643" s="1847"/>
    </row>
    <row r="644" spans="3:3">
      <c r="C644" s="1847"/>
    </row>
    <row r="645" spans="3:3">
      <c r="C645" s="1847"/>
    </row>
    <row r="646" spans="3:3">
      <c r="C646" s="1847"/>
    </row>
    <row r="647" spans="3:3">
      <c r="C647" s="1847"/>
    </row>
    <row r="648" spans="3:3">
      <c r="C648" s="1847"/>
    </row>
    <row r="649" spans="3:3">
      <c r="C649" s="1847"/>
    </row>
    <row r="650" spans="3:3">
      <c r="C650" s="1847"/>
    </row>
    <row r="651" spans="3:3">
      <c r="C651" s="1847"/>
    </row>
    <row r="652" spans="3:3">
      <c r="C652" s="1847"/>
    </row>
    <row r="653" spans="3:3">
      <c r="C653" s="1847"/>
    </row>
    <row r="654" spans="3:3">
      <c r="C654" s="1847"/>
    </row>
    <row r="655" spans="3:3">
      <c r="C655" s="1847"/>
    </row>
    <row r="656" spans="3:3">
      <c r="C656" s="1847"/>
    </row>
    <row r="657" spans="3:3">
      <c r="C657" s="1847"/>
    </row>
    <row r="658" spans="3:3">
      <c r="C658" s="1847"/>
    </row>
    <row r="659" spans="3:3">
      <c r="C659" s="1847"/>
    </row>
    <row r="660" spans="3:3">
      <c r="C660" s="1847"/>
    </row>
    <row r="661" spans="3:3">
      <c r="C661" s="1847"/>
    </row>
    <row r="662" spans="3:3">
      <c r="C662" s="1847"/>
    </row>
    <row r="663" spans="3:3">
      <c r="C663" s="1847"/>
    </row>
    <row r="664" spans="3:3">
      <c r="C664" s="1847"/>
    </row>
    <row r="665" spans="3:3">
      <c r="C665" s="1847"/>
    </row>
    <row r="666" spans="3:3">
      <c r="C666" s="1847"/>
    </row>
    <row r="667" spans="3:3">
      <c r="C667" s="1847"/>
    </row>
    <row r="668" spans="3:3">
      <c r="C668" s="1847"/>
    </row>
    <row r="669" spans="3:3">
      <c r="C669" s="1847"/>
    </row>
    <row r="670" spans="3:3">
      <c r="C670" s="1847"/>
    </row>
    <row r="671" spans="3:3">
      <c r="C671" s="1847"/>
    </row>
    <row r="672" spans="3:3">
      <c r="C672" s="1847"/>
    </row>
    <row r="673" spans="3:3">
      <c r="C673" s="1847"/>
    </row>
    <row r="674" spans="3:3">
      <c r="C674" s="1847"/>
    </row>
    <row r="675" spans="3:3">
      <c r="C675" s="1847"/>
    </row>
    <row r="676" spans="3:3">
      <c r="C676" s="1847"/>
    </row>
    <row r="677" spans="3:3">
      <c r="C677" s="1847"/>
    </row>
    <row r="678" spans="3:3">
      <c r="C678" s="1847"/>
    </row>
    <row r="679" spans="3:3">
      <c r="C679" s="1847"/>
    </row>
    <row r="680" spans="3:3">
      <c r="C680" s="1847"/>
    </row>
    <row r="681" spans="3:3">
      <c r="C681" s="1847"/>
    </row>
    <row r="682" spans="3:3">
      <c r="C682" s="1847"/>
    </row>
    <row r="683" spans="3:3">
      <c r="C683" s="1847"/>
    </row>
    <row r="684" spans="3:3">
      <c r="C684" s="1847"/>
    </row>
    <row r="685" spans="3:3">
      <c r="C685" s="1847"/>
    </row>
    <row r="686" spans="3:3">
      <c r="C686" s="1847"/>
    </row>
    <row r="687" spans="3:3">
      <c r="C687" s="1847"/>
    </row>
    <row r="688" spans="3:3">
      <c r="C688" s="1847"/>
    </row>
    <row r="689" spans="3:3">
      <c r="C689" s="1847"/>
    </row>
    <row r="690" spans="3:3">
      <c r="C690" s="1847"/>
    </row>
    <row r="691" spans="3:3">
      <c r="C691" s="1847"/>
    </row>
    <row r="692" spans="3:3">
      <c r="C692" s="1847"/>
    </row>
    <row r="693" spans="3:3">
      <c r="C693" s="1847"/>
    </row>
    <row r="694" spans="3:3">
      <c r="C694" s="1847"/>
    </row>
    <row r="695" spans="3:3">
      <c r="C695" s="1847"/>
    </row>
    <row r="696" spans="3:3">
      <c r="C696" s="1847"/>
    </row>
    <row r="697" spans="3:3">
      <c r="C697" s="1847"/>
    </row>
    <row r="698" spans="3:3">
      <c r="C698" s="1847"/>
    </row>
    <row r="699" spans="3:3">
      <c r="C699" s="1847"/>
    </row>
    <row r="700" spans="3:3">
      <c r="C700" s="1847"/>
    </row>
    <row r="701" spans="3:3">
      <c r="C701" s="1847"/>
    </row>
    <row r="702" spans="3:3">
      <c r="C702" s="1847"/>
    </row>
    <row r="703" spans="3:3">
      <c r="C703" s="1847"/>
    </row>
    <row r="704" spans="3:3">
      <c r="C704" s="1847"/>
    </row>
    <row r="705" spans="3:3">
      <c r="C705" s="1847"/>
    </row>
    <row r="706" spans="3:3">
      <c r="C706" s="1847"/>
    </row>
    <row r="707" spans="3:3">
      <c r="C707" s="1847"/>
    </row>
    <row r="708" spans="3:3">
      <c r="C708" s="1847"/>
    </row>
    <row r="709" spans="3:3">
      <c r="C709" s="1847"/>
    </row>
    <row r="710" spans="3:3">
      <c r="C710" s="1847"/>
    </row>
    <row r="711" spans="3:3">
      <c r="C711" s="1847"/>
    </row>
    <row r="712" spans="3:3">
      <c r="C712" s="1847"/>
    </row>
    <row r="713" spans="3:3">
      <c r="C713" s="1847"/>
    </row>
    <row r="714" spans="3:3">
      <c r="C714" s="1847"/>
    </row>
    <row r="715" spans="3:3">
      <c r="C715" s="1847"/>
    </row>
    <row r="716" spans="3:3">
      <c r="C716" s="1847"/>
    </row>
    <row r="717" spans="3:3">
      <c r="C717" s="1847"/>
    </row>
    <row r="718" spans="3:3">
      <c r="C718" s="1847"/>
    </row>
    <row r="719" spans="3:3">
      <c r="C719" s="1847"/>
    </row>
    <row r="720" spans="3:3">
      <c r="C720" s="1847"/>
    </row>
    <row r="721" spans="3:3">
      <c r="C721" s="1847"/>
    </row>
    <row r="722" spans="3:3">
      <c r="C722" s="1847"/>
    </row>
    <row r="723" spans="3:3">
      <c r="C723" s="1847"/>
    </row>
    <row r="724" spans="3:3">
      <c r="C724" s="1847"/>
    </row>
    <row r="725" spans="3:3">
      <c r="C725" s="1847"/>
    </row>
    <row r="726" spans="3:3">
      <c r="C726" s="1847"/>
    </row>
    <row r="727" spans="3:3">
      <c r="C727" s="1847"/>
    </row>
    <row r="728" spans="3:3">
      <c r="C728" s="1847"/>
    </row>
    <row r="729" spans="3:3">
      <c r="C729" s="1847"/>
    </row>
    <row r="730" spans="3:3">
      <c r="C730" s="1847"/>
    </row>
    <row r="731" spans="3:3">
      <c r="C731" s="1847"/>
    </row>
    <row r="732" spans="3:3">
      <c r="C732" s="1847"/>
    </row>
    <row r="733" spans="3:3">
      <c r="C733" s="1847"/>
    </row>
    <row r="734" spans="3:3">
      <c r="C734" s="1847"/>
    </row>
    <row r="735" spans="3:3">
      <c r="C735" s="1847"/>
    </row>
    <row r="736" spans="3:3">
      <c r="C736" s="1847"/>
    </row>
    <row r="737" spans="3:3">
      <c r="C737" s="1847"/>
    </row>
    <row r="738" spans="3:3">
      <c r="C738" s="1847"/>
    </row>
    <row r="739" spans="3:3">
      <c r="C739" s="1847"/>
    </row>
    <row r="740" spans="3:3">
      <c r="C740" s="1847"/>
    </row>
    <row r="741" spans="3:3">
      <c r="C741" s="1847"/>
    </row>
    <row r="742" spans="3:3">
      <c r="C742" s="1847"/>
    </row>
    <row r="743" spans="3:3">
      <c r="C743" s="1847"/>
    </row>
    <row r="744" spans="3:3">
      <c r="C744" s="1847"/>
    </row>
    <row r="745" spans="3:3">
      <c r="C745" s="1847"/>
    </row>
    <row r="746" spans="3:3">
      <c r="C746" s="1847"/>
    </row>
    <row r="747" spans="3:3">
      <c r="C747" s="1847"/>
    </row>
    <row r="748" spans="3:3">
      <c r="C748" s="1847"/>
    </row>
    <row r="749" spans="3:3">
      <c r="C749" s="1847"/>
    </row>
    <row r="750" spans="3:3">
      <c r="C750" s="1847"/>
    </row>
    <row r="751" spans="3:3">
      <c r="C751" s="1847"/>
    </row>
    <row r="752" spans="3:3">
      <c r="C752" s="1847"/>
    </row>
    <row r="753" spans="3:3">
      <c r="C753" s="1847"/>
    </row>
    <row r="754" spans="3:3">
      <c r="C754" s="1847"/>
    </row>
    <row r="755" spans="3:3">
      <c r="C755" s="1847"/>
    </row>
    <row r="756" spans="3:3">
      <c r="C756" s="1847"/>
    </row>
    <row r="757" spans="3:3">
      <c r="C757" s="1847"/>
    </row>
    <row r="758" spans="3:3">
      <c r="C758" s="1847"/>
    </row>
    <row r="759" spans="3:3">
      <c r="C759" s="1847"/>
    </row>
    <row r="760" spans="3:3">
      <c r="C760" s="1847"/>
    </row>
    <row r="761" spans="3:3">
      <c r="C761" s="1847"/>
    </row>
    <row r="762" spans="3:3">
      <c r="C762" s="1847"/>
    </row>
    <row r="763" spans="3:3">
      <c r="C763" s="1847"/>
    </row>
    <row r="764" spans="3:3">
      <c r="C764" s="1847"/>
    </row>
    <row r="765" spans="3:3">
      <c r="C765" s="1847"/>
    </row>
    <row r="766" spans="3:3">
      <c r="C766" s="1847"/>
    </row>
    <row r="767" spans="3:3">
      <c r="C767" s="1847"/>
    </row>
    <row r="768" spans="3:3">
      <c r="C768" s="1847"/>
    </row>
    <row r="769" spans="3:3">
      <c r="C769" s="1847"/>
    </row>
    <row r="770" spans="3:3">
      <c r="C770" s="1847"/>
    </row>
    <row r="771" spans="3:3">
      <c r="C771" s="1847"/>
    </row>
    <row r="772" spans="3:3">
      <c r="C772" s="1847"/>
    </row>
    <row r="773" spans="3:3">
      <c r="C773" s="1847"/>
    </row>
    <row r="774" spans="3:3">
      <c r="C774" s="1847"/>
    </row>
    <row r="775" spans="3:3">
      <c r="C775" s="1847"/>
    </row>
    <row r="776" spans="3:3">
      <c r="C776" s="1847"/>
    </row>
    <row r="777" spans="3:3">
      <c r="C777" s="1847"/>
    </row>
    <row r="778" spans="3:3">
      <c r="C778" s="1847"/>
    </row>
    <row r="779" spans="3:3">
      <c r="C779" s="1847"/>
    </row>
    <row r="780" spans="3:3">
      <c r="C780" s="1847"/>
    </row>
    <row r="781" spans="3:3">
      <c r="C781" s="1847"/>
    </row>
    <row r="782" spans="3:3">
      <c r="C782" s="1847"/>
    </row>
    <row r="783" spans="3:3">
      <c r="C783" s="1847"/>
    </row>
    <row r="784" spans="3:3">
      <c r="C784" s="1847"/>
    </row>
    <row r="785" spans="3:3">
      <c r="C785" s="1847"/>
    </row>
    <row r="786" spans="3:3">
      <c r="C786" s="1847"/>
    </row>
    <row r="787" spans="3:3">
      <c r="C787" s="1847"/>
    </row>
    <row r="788" spans="3:3">
      <c r="C788" s="1847"/>
    </row>
    <row r="789" spans="3:3">
      <c r="C789" s="1847"/>
    </row>
    <row r="790" spans="3:3">
      <c r="C790" s="1847"/>
    </row>
    <row r="791" spans="3:3">
      <c r="C791" s="1847"/>
    </row>
    <row r="792" spans="3:3">
      <c r="C792" s="1847"/>
    </row>
    <row r="793" spans="3:3">
      <c r="C793" s="1847"/>
    </row>
    <row r="794" spans="3:3">
      <c r="C794" s="1847"/>
    </row>
    <row r="795" spans="3:3">
      <c r="C795" s="1847"/>
    </row>
    <row r="796" spans="3:3">
      <c r="C796" s="1847"/>
    </row>
    <row r="797" spans="3:3">
      <c r="C797" s="1847"/>
    </row>
    <row r="798" spans="3:3">
      <c r="C798" s="1847"/>
    </row>
    <row r="799" spans="3:3">
      <c r="C799" s="1847"/>
    </row>
    <row r="800" spans="3:3">
      <c r="C800" s="1847"/>
    </row>
    <row r="801" spans="3:3">
      <c r="C801" s="1847"/>
    </row>
    <row r="802" spans="3:3">
      <c r="C802" s="1847"/>
    </row>
    <row r="803" spans="3:3">
      <c r="C803" s="1847"/>
    </row>
    <row r="804" spans="3:3">
      <c r="C804" s="1847"/>
    </row>
    <row r="805" spans="3:3">
      <c r="C805" s="1847"/>
    </row>
    <row r="806" spans="3:3">
      <c r="C806" s="1847"/>
    </row>
    <row r="807" spans="3:3">
      <c r="C807" s="1847"/>
    </row>
    <row r="808" spans="3:3">
      <c r="C808" s="1847"/>
    </row>
    <row r="809" spans="3:3">
      <c r="C809" s="1847"/>
    </row>
    <row r="810" spans="3:3">
      <c r="C810" s="1847"/>
    </row>
    <row r="811" spans="3:3">
      <c r="C811" s="1847"/>
    </row>
    <row r="812" spans="3:3">
      <c r="C812" s="1847"/>
    </row>
    <row r="813" spans="3:3">
      <c r="C813" s="1847"/>
    </row>
    <row r="814" spans="3:3">
      <c r="C814" s="1847"/>
    </row>
    <row r="815" spans="3:3">
      <c r="C815" s="1847"/>
    </row>
    <row r="816" spans="3:3">
      <c r="C816" s="1847"/>
    </row>
    <row r="817" spans="3:3">
      <c r="C817" s="1847"/>
    </row>
    <row r="818" spans="3:3">
      <c r="C818" s="1847"/>
    </row>
    <row r="819" spans="3:3">
      <c r="C819" s="1847"/>
    </row>
    <row r="820" spans="3:3">
      <c r="C820" s="1847"/>
    </row>
    <row r="821" spans="3:3">
      <c r="C821" s="1847"/>
    </row>
    <row r="822" spans="3:3">
      <c r="C822" s="1847"/>
    </row>
    <row r="823" spans="3:3">
      <c r="C823" s="1847"/>
    </row>
    <row r="824" spans="3:3">
      <c r="C824" s="1847"/>
    </row>
    <row r="825" spans="3:3">
      <c r="C825" s="1847"/>
    </row>
    <row r="826" spans="3:3">
      <c r="C826" s="1847"/>
    </row>
    <row r="827" spans="3:3">
      <c r="C827" s="1847"/>
    </row>
    <row r="828" spans="3:3">
      <c r="C828" s="1847"/>
    </row>
    <row r="829" spans="3:3">
      <c r="C829" s="1847"/>
    </row>
    <row r="830" spans="3:3">
      <c r="C830" s="1847"/>
    </row>
    <row r="831" spans="3:3">
      <c r="C831" s="1847"/>
    </row>
    <row r="832" spans="3:3">
      <c r="C832" s="1847"/>
    </row>
    <row r="833" spans="3:3">
      <c r="C833" s="1847"/>
    </row>
    <row r="834" spans="3:3">
      <c r="C834" s="1847"/>
    </row>
    <row r="835" spans="3:3">
      <c r="C835" s="1847"/>
    </row>
    <row r="836" spans="3:3">
      <c r="C836" s="1847"/>
    </row>
    <row r="837" spans="3:3">
      <c r="C837" s="1847"/>
    </row>
    <row r="838" spans="3:3">
      <c r="C838" s="1847"/>
    </row>
    <row r="839" spans="3:3">
      <c r="C839" s="1847"/>
    </row>
    <row r="840" spans="3:3">
      <c r="C840" s="1847"/>
    </row>
    <row r="841" spans="3:3">
      <c r="C841" s="1847"/>
    </row>
    <row r="842" spans="3:3">
      <c r="C842" s="1847"/>
    </row>
    <row r="843" spans="3:3">
      <c r="C843" s="1847"/>
    </row>
    <row r="844" spans="3:3">
      <c r="C844" s="1847"/>
    </row>
    <row r="845" spans="3:3">
      <c r="C845" s="1847"/>
    </row>
    <row r="846" spans="3:3">
      <c r="C846" s="1847"/>
    </row>
    <row r="847" spans="3:3">
      <c r="C847" s="1847"/>
    </row>
    <row r="848" spans="3:3">
      <c r="C848" s="1847"/>
    </row>
    <row r="849" spans="3:3">
      <c r="C849" s="1847"/>
    </row>
    <row r="850" spans="3:3">
      <c r="C850" s="1847"/>
    </row>
    <row r="851" spans="3:3">
      <c r="C851" s="1847"/>
    </row>
    <row r="852" spans="3:3">
      <c r="C852" s="1847"/>
    </row>
    <row r="853" spans="3:3">
      <c r="C853" s="1847"/>
    </row>
    <row r="854" spans="3:3">
      <c r="C854" s="1847"/>
    </row>
    <row r="855" spans="3:3">
      <c r="C855" s="1847"/>
    </row>
    <row r="856" spans="3:3">
      <c r="C856" s="1847"/>
    </row>
    <row r="857" spans="3:3">
      <c r="C857" s="1847"/>
    </row>
    <row r="858" spans="3:3">
      <c r="C858" s="1847"/>
    </row>
    <row r="859" spans="3:3">
      <c r="C859" s="1847"/>
    </row>
    <row r="860" spans="3:3">
      <c r="C860" s="1847"/>
    </row>
    <row r="861" spans="3:3">
      <c r="C861" s="1847"/>
    </row>
    <row r="862" spans="3:3">
      <c r="C862" s="1847"/>
    </row>
    <row r="863" spans="3:3">
      <c r="C863" s="1847"/>
    </row>
    <row r="864" spans="3:3">
      <c r="C864" s="1847"/>
    </row>
    <row r="865" spans="3:3">
      <c r="C865" s="1847"/>
    </row>
    <row r="866" spans="3:3">
      <c r="C866" s="1847"/>
    </row>
    <row r="867" spans="3:3">
      <c r="C867" s="1847"/>
    </row>
    <row r="868" spans="3:3">
      <c r="C868" s="1847"/>
    </row>
    <row r="869" spans="3:3">
      <c r="C869" s="1847"/>
    </row>
    <row r="870" spans="3:3">
      <c r="C870" s="1847"/>
    </row>
    <row r="871" spans="3:3">
      <c r="C871" s="1847"/>
    </row>
    <row r="872" spans="3:3">
      <c r="C872" s="1847"/>
    </row>
    <row r="873" spans="3:3">
      <c r="C873" s="1847"/>
    </row>
    <row r="874" spans="3:3">
      <c r="C874" s="1847"/>
    </row>
    <row r="875" spans="3:3">
      <c r="C875" s="1847"/>
    </row>
    <row r="876" spans="3:3">
      <c r="C876" s="1847"/>
    </row>
    <row r="877" spans="3:3">
      <c r="C877" s="1847"/>
    </row>
    <row r="878" spans="3:3">
      <c r="C878" s="1847"/>
    </row>
    <row r="879" spans="3:3">
      <c r="C879" s="1847"/>
    </row>
    <row r="880" spans="3:3">
      <c r="C880" s="1847"/>
    </row>
    <row r="881" spans="3:3">
      <c r="C881" s="1847"/>
    </row>
    <row r="882" spans="3:3">
      <c r="C882" s="1847"/>
    </row>
    <row r="883" spans="3:3">
      <c r="C883" s="1847"/>
    </row>
    <row r="884" spans="3:3">
      <c r="C884" s="1847"/>
    </row>
    <row r="885" spans="3:3">
      <c r="C885" s="1847"/>
    </row>
    <row r="886" spans="3:3">
      <c r="C886" s="1847"/>
    </row>
    <row r="887" spans="3:3">
      <c r="C887" s="1847"/>
    </row>
    <row r="888" spans="3:3">
      <c r="C888" s="1847"/>
    </row>
    <row r="889" spans="3:3">
      <c r="C889" s="1847"/>
    </row>
    <row r="890" spans="3:3">
      <c r="C890" s="1847"/>
    </row>
    <row r="891" spans="3:3">
      <c r="C891" s="1847"/>
    </row>
    <row r="892" spans="3:3">
      <c r="C892" s="1847"/>
    </row>
    <row r="893" spans="3:3">
      <c r="C893" s="1847"/>
    </row>
    <row r="894" spans="3:3">
      <c r="C894" s="1847"/>
    </row>
    <row r="895" spans="3:3">
      <c r="C895" s="1847"/>
    </row>
    <row r="896" spans="3:3">
      <c r="C896" s="1847"/>
    </row>
    <row r="897" spans="3:3">
      <c r="C897" s="1847"/>
    </row>
    <row r="898" spans="3:3">
      <c r="C898" s="1847"/>
    </row>
    <row r="899" spans="3:3">
      <c r="C899" s="1847"/>
    </row>
    <row r="900" spans="3:3">
      <c r="C900" s="1847"/>
    </row>
    <row r="901" spans="3:3">
      <c r="C901" s="1847"/>
    </row>
    <row r="902" spans="3:3">
      <c r="C902" s="1847"/>
    </row>
    <row r="903" spans="3:3">
      <c r="C903" s="1847"/>
    </row>
    <row r="904" spans="3:3">
      <c r="C904" s="1847"/>
    </row>
    <row r="905" spans="3:3">
      <c r="C905" s="1847"/>
    </row>
    <row r="906" spans="3:3">
      <c r="C906" s="1847"/>
    </row>
    <row r="907" spans="3:3">
      <c r="C907" s="1847"/>
    </row>
    <row r="908" spans="3:3">
      <c r="C908" s="1847"/>
    </row>
    <row r="909" spans="3:3">
      <c r="C909" s="1847"/>
    </row>
    <row r="910" spans="3:3">
      <c r="C910" s="1847"/>
    </row>
    <row r="911" spans="3:3">
      <c r="C911" s="1847"/>
    </row>
    <row r="912" spans="3:3">
      <c r="C912" s="1847"/>
    </row>
    <row r="913" spans="3:3">
      <c r="C913" s="1847"/>
    </row>
    <row r="914" spans="3:3">
      <c r="C914" s="1847"/>
    </row>
    <row r="915" spans="3:3">
      <c r="C915" s="1847"/>
    </row>
    <row r="916" spans="3:3">
      <c r="C916" s="1847"/>
    </row>
    <row r="917" spans="3:3">
      <c r="C917" s="1847"/>
    </row>
    <row r="918" spans="3:3">
      <c r="C918" s="1847"/>
    </row>
    <row r="919" spans="3:3">
      <c r="C919" s="1847"/>
    </row>
    <row r="920" spans="3:3">
      <c r="C920" s="1847"/>
    </row>
    <row r="921" spans="3:3">
      <c r="C921" s="1847"/>
    </row>
    <row r="922" spans="3:3">
      <c r="C922" s="1847"/>
    </row>
    <row r="923" spans="3:3">
      <c r="C923" s="1847"/>
    </row>
    <row r="924" spans="3:3">
      <c r="C924" s="1847"/>
    </row>
    <row r="925" spans="3:3">
      <c r="C925" s="1847"/>
    </row>
    <row r="926" spans="3:3">
      <c r="C926" s="1847"/>
    </row>
    <row r="927" spans="3:3">
      <c r="C927" s="1847"/>
    </row>
    <row r="928" spans="3:3">
      <c r="C928" s="1847"/>
    </row>
    <row r="929" spans="3:3">
      <c r="C929" s="1847"/>
    </row>
    <row r="930" spans="3:3">
      <c r="C930" s="1847"/>
    </row>
    <row r="931" spans="3:3">
      <c r="C931" s="1847"/>
    </row>
    <row r="932" spans="3:3">
      <c r="C932" s="1847"/>
    </row>
    <row r="933" spans="3:3">
      <c r="C933" s="1847"/>
    </row>
    <row r="934" spans="3:3">
      <c r="C934" s="1847"/>
    </row>
    <row r="935" spans="3:3">
      <c r="C935" s="1847"/>
    </row>
    <row r="936" spans="3:3">
      <c r="C936" s="1847"/>
    </row>
    <row r="937" spans="3:3">
      <c r="C937" s="1847"/>
    </row>
    <row r="938" spans="3:3">
      <c r="C938" s="1847"/>
    </row>
    <row r="939" spans="3:3">
      <c r="C939" s="1847"/>
    </row>
    <row r="940" spans="3:3">
      <c r="C940" s="1847"/>
    </row>
    <row r="941" spans="3:3">
      <c r="C941" s="1847"/>
    </row>
    <row r="942" spans="3:3">
      <c r="C942" s="1847"/>
    </row>
    <row r="943" spans="3:3">
      <c r="C943" s="1847"/>
    </row>
    <row r="944" spans="3:3">
      <c r="C944" s="1847"/>
    </row>
    <row r="945" spans="3:3">
      <c r="C945" s="1847"/>
    </row>
    <row r="946" spans="3:3">
      <c r="C946" s="1847"/>
    </row>
    <row r="947" spans="3:3">
      <c r="C947" s="1847"/>
    </row>
    <row r="948" spans="3:3">
      <c r="C948" s="1847"/>
    </row>
    <row r="949" spans="3:3">
      <c r="C949" s="1847"/>
    </row>
    <row r="950" spans="3:3">
      <c r="C950" s="1847"/>
    </row>
    <row r="951" spans="3:3">
      <c r="C951" s="1847"/>
    </row>
    <row r="952" spans="3:3">
      <c r="C952" s="1847"/>
    </row>
    <row r="953" spans="3:3">
      <c r="C953" s="1847"/>
    </row>
    <row r="954" spans="3:3">
      <c r="C954" s="1847"/>
    </row>
    <row r="955" spans="3:3">
      <c r="C955" s="1847"/>
    </row>
    <row r="956" spans="3:3">
      <c r="C956" s="1847"/>
    </row>
    <row r="957" spans="3:3">
      <c r="C957" s="1847"/>
    </row>
    <row r="958" spans="3:3">
      <c r="C958" s="1847"/>
    </row>
    <row r="959" spans="3:3">
      <c r="C959" s="1847"/>
    </row>
    <row r="960" spans="3:3">
      <c r="C960" s="1847"/>
    </row>
    <row r="961" spans="3:3">
      <c r="C961" s="1847"/>
    </row>
    <row r="962" spans="3:3">
      <c r="C962" s="1847"/>
    </row>
    <row r="963" spans="3:3">
      <c r="C963" s="1847"/>
    </row>
    <row r="964" spans="3:3">
      <c r="C964" s="1847"/>
    </row>
    <row r="965" spans="3:3">
      <c r="C965" s="1847"/>
    </row>
    <row r="966" spans="3:3">
      <c r="C966" s="1847"/>
    </row>
    <row r="967" spans="3:3">
      <c r="C967" s="1847"/>
    </row>
    <row r="968" spans="3:3">
      <c r="C968" s="1847"/>
    </row>
    <row r="969" spans="3:3">
      <c r="C969" s="1847"/>
    </row>
    <row r="970" spans="3:3">
      <c r="C970" s="1847"/>
    </row>
    <row r="971" spans="3:3">
      <c r="C971" s="1847"/>
    </row>
    <row r="972" spans="3:3">
      <c r="C972" s="1847"/>
    </row>
    <row r="973" spans="3:3">
      <c r="C973" s="1847"/>
    </row>
    <row r="974" spans="3:3">
      <c r="C974" s="1847"/>
    </row>
    <row r="975" spans="3:3">
      <c r="C975" s="1847"/>
    </row>
    <row r="976" spans="3:3">
      <c r="C976" s="1847"/>
    </row>
    <row r="977" spans="3:3">
      <c r="C977" s="1847"/>
    </row>
    <row r="978" spans="3:3">
      <c r="C978" s="1847"/>
    </row>
    <row r="979" spans="3:3">
      <c r="C979" s="1847"/>
    </row>
    <row r="980" spans="3:3">
      <c r="C980" s="1847"/>
    </row>
    <row r="981" spans="3:3">
      <c r="C981" s="1847"/>
    </row>
    <row r="982" spans="3:3">
      <c r="C982" s="1847"/>
    </row>
    <row r="983" spans="3:3">
      <c r="C983" s="1847"/>
    </row>
    <row r="984" spans="3:3">
      <c r="C984" s="1847"/>
    </row>
    <row r="985" spans="3:3">
      <c r="C985" s="1847"/>
    </row>
    <row r="986" spans="3:3">
      <c r="C986" s="1847"/>
    </row>
    <row r="987" spans="3:3">
      <c r="C987" s="1847"/>
    </row>
    <row r="988" spans="3:3">
      <c r="C988" s="1847"/>
    </row>
    <row r="989" spans="3:3">
      <c r="C989" s="1847"/>
    </row>
    <row r="990" spans="3:3">
      <c r="C990" s="1847"/>
    </row>
    <row r="991" spans="3:3">
      <c r="C991" s="1847"/>
    </row>
    <row r="992" spans="3:3">
      <c r="C992" s="1847"/>
    </row>
    <row r="993" spans="3:3">
      <c r="C993" s="1847"/>
    </row>
    <row r="994" spans="3:3">
      <c r="C994" s="1847"/>
    </row>
    <row r="995" spans="3:3">
      <c r="C995" s="1847"/>
    </row>
    <row r="996" spans="3:3">
      <c r="C996" s="1847"/>
    </row>
    <row r="997" spans="3:3">
      <c r="C997" s="1847"/>
    </row>
    <row r="998" spans="3:3">
      <c r="C998" s="1847"/>
    </row>
    <row r="999" spans="3:3">
      <c r="C999" s="1847"/>
    </row>
    <row r="1000" spans="3:3">
      <c r="C1000" s="1847"/>
    </row>
    <row r="1001" spans="3:3">
      <c r="C1001" s="1847"/>
    </row>
    <row r="1002" spans="3:3">
      <c r="C1002" s="1847"/>
    </row>
    <row r="1003" spans="3:3">
      <c r="C1003" s="1847"/>
    </row>
    <row r="1004" spans="3:3">
      <c r="C1004" s="1847"/>
    </row>
    <row r="1005" spans="3:3">
      <c r="C1005" s="1847"/>
    </row>
    <row r="1006" spans="3:3">
      <c r="C1006" s="1847"/>
    </row>
    <row r="1007" spans="3:3">
      <c r="C1007" s="1847"/>
    </row>
    <row r="1008" spans="3:3">
      <c r="C1008" s="1847"/>
    </row>
    <row r="1009" spans="3:3">
      <c r="C1009" s="1847"/>
    </row>
    <row r="1010" spans="3:3">
      <c r="C1010" s="1847"/>
    </row>
    <row r="1011" spans="3:3">
      <c r="C1011" s="1847"/>
    </row>
    <row r="1012" spans="3:3">
      <c r="C1012" s="1847"/>
    </row>
    <row r="1013" spans="3:3">
      <c r="C1013" s="1847"/>
    </row>
    <row r="1014" spans="3:3">
      <c r="C1014" s="1847"/>
    </row>
    <row r="1015" spans="3:3">
      <c r="C1015" s="1847"/>
    </row>
    <row r="1016" spans="3:3">
      <c r="C1016" s="1847"/>
    </row>
    <row r="1017" spans="3:3">
      <c r="C1017" s="1847"/>
    </row>
    <row r="1018" spans="3:3">
      <c r="C1018" s="1847"/>
    </row>
    <row r="1019" spans="3:3">
      <c r="C1019" s="1847"/>
    </row>
    <row r="1020" spans="3:3">
      <c r="C1020" s="1847"/>
    </row>
    <row r="1021" spans="3:3">
      <c r="C1021" s="1847"/>
    </row>
    <row r="1022" spans="3:3">
      <c r="C1022" s="1847"/>
    </row>
    <row r="1023" spans="3:3">
      <c r="C1023" s="1847"/>
    </row>
    <row r="1024" spans="3:3">
      <c r="C1024" s="1847"/>
    </row>
    <row r="1025" spans="3:3">
      <c r="C1025" s="1847"/>
    </row>
    <row r="1026" spans="3:3">
      <c r="C1026" s="1847"/>
    </row>
    <row r="1027" spans="3:3">
      <c r="C1027" s="1847"/>
    </row>
    <row r="1028" spans="3:3">
      <c r="C1028" s="1847"/>
    </row>
    <row r="1029" spans="3:3">
      <c r="C1029" s="1847"/>
    </row>
    <row r="1030" spans="3:3">
      <c r="C1030" s="1847"/>
    </row>
    <row r="1031" spans="3:3">
      <c r="C1031" s="1847"/>
    </row>
    <row r="1032" spans="3:3">
      <c r="C1032" s="1847"/>
    </row>
    <row r="1033" spans="3:3">
      <c r="C1033" s="1847"/>
    </row>
    <row r="1034" spans="3:3">
      <c r="C1034" s="1847"/>
    </row>
    <row r="1035" spans="3:3">
      <c r="C1035" s="1847"/>
    </row>
    <row r="1036" spans="3:3">
      <c r="C1036" s="1847"/>
    </row>
    <row r="1037" spans="3:3">
      <c r="C1037" s="1847"/>
    </row>
    <row r="1038" spans="3:3">
      <c r="C1038" s="1847"/>
    </row>
    <row r="1039" spans="3:3">
      <c r="C1039" s="1847"/>
    </row>
    <row r="1040" spans="3:3">
      <c r="C1040" s="1847"/>
    </row>
    <row r="1041" spans="3:3">
      <c r="C1041" s="1847"/>
    </row>
    <row r="1042" spans="3:3">
      <c r="C1042" s="1847"/>
    </row>
    <row r="1043" spans="3:3">
      <c r="C1043" s="1847"/>
    </row>
    <row r="1044" spans="3:3">
      <c r="C1044" s="1847"/>
    </row>
    <row r="1045" spans="3:3">
      <c r="C1045" s="1847"/>
    </row>
    <row r="1046" spans="3:3">
      <c r="C1046" s="1847"/>
    </row>
    <row r="1047" spans="3:3">
      <c r="C1047" s="1847"/>
    </row>
    <row r="1048" spans="3:3">
      <c r="C1048" s="1847"/>
    </row>
    <row r="1049" spans="3:3">
      <c r="C1049" s="1847"/>
    </row>
    <row r="1050" spans="3:3">
      <c r="C1050" s="1847"/>
    </row>
    <row r="1051" spans="3:3">
      <c r="C1051" s="1847"/>
    </row>
    <row r="1052" spans="3:3">
      <c r="C1052" s="1847"/>
    </row>
    <row r="1053" spans="3:3">
      <c r="C1053" s="1847"/>
    </row>
    <row r="1054" spans="3:3">
      <c r="C1054" s="1847"/>
    </row>
    <row r="1055" spans="3:3">
      <c r="C1055" s="1847"/>
    </row>
    <row r="1056" spans="3:3">
      <c r="C1056" s="1847"/>
    </row>
    <row r="1057" spans="3:3">
      <c r="C1057" s="1847"/>
    </row>
    <row r="1058" spans="3:3">
      <c r="C1058" s="1847"/>
    </row>
    <row r="1059" spans="3:3">
      <c r="C1059" s="1847"/>
    </row>
    <row r="1060" spans="3:3">
      <c r="C1060" s="1847"/>
    </row>
    <row r="1061" spans="3:3">
      <c r="C1061" s="1847"/>
    </row>
    <row r="1062" spans="3:3">
      <c r="C1062" s="1847"/>
    </row>
    <row r="1063" spans="3:3">
      <c r="C1063" s="1847"/>
    </row>
    <row r="1064" spans="3:3">
      <c r="C1064" s="1847"/>
    </row>
    <row r="1065" spans="3:3">
      <c r="C1065" s="1847"/>
    </row>
    <row r="1066" spans="3:3">
      <c r="C1066" s="1847"/>
    </row>
    <row r="1067" spans="3:3">
      <c r="C1067" s="1847"/>
    </row>
    <row r="1068" spans="3:3">
      <c r="C1068" s="1847"/>
    </row>
    <row r="1069" spans="3:3">
      <c r="C1069" s="1847"/>
    </row>
    <row r="1070" spans="3:3">
      <c r="C1070" s="1847"/>
    </row>
    <row r="1071" spans="3:3">
      <c r="C1071" s="1847"/>
    </row>
    <row r="1072" spans="3:3">
      <c r="C1072" s="1847"/>
    </row>
    <row r="1073" spans="3:3">
      <c r="C1073" s="1847"/>
    </row>
    <row r="1074" spans="3:3">
      <c r="C1074" s="1847"/>
    </row>
    <row r="1075" spans="3:3">
      <c r="C1075" s="1847"/>
    </row>
    <row r="1076" spans="3:3">
      <c r="C1076" s="1847"/>
    </row>
    <row r="1077" spans="3:3">
      <c r="C1077" s="1847"/>
    </row>
    <row r="1078" spans="3:3">
      <c r="C1078" s="1847"/>
    </row>
    <row r="1079" spans="3:3">
      <c r="C1079" s="1847"/>
    </row>
    <row r="1080" spans="3:3">
      <c r="C1080" s="1847"/>
    </row>
    <row r="1081" spans="3:3">
      <c r="C1081" s="1847"/>
    </row>
    <row r="1082" spans="3:3">
      <c r="C1082" s="1847"/>
    </row>
    <row r="1083" spans="3:3">
      <c r="C1083" s="1847"/>
    </row>
    <row r="1084" spans="3:3">
      <c r="C1084" s="1847"/>
    </row>
    <row r="1085" spans="3:3">
      <c r="C1085" s="1847"/>
    </row>
    <row r="1086" spans="3:3">
      <c r="C1086" s="1847"/>
    </row>
    <row r="1087" spans="3:3">
      <c r="C1087" s="1847"/>
    </row>
    <row r="1088" spans="3:3">
      <c r="C1088" s="1847"/>
    </row>
    <row r="1089" spans="3:3">
      <c r="C1089" s="1847"/>
    </row>
    <row r="1090" spans="3:3">
      <c r="C1090" s="1847"/>
    </row>
    <row r="1091" spans="3:3">
      <c r="C1091" s="1847"/>
    </row>
    <row r="1092" spans="3:3">
      <c r="C1092" s="1847"/>
    </row>
    <row r="1093" spans="3:3">
      <c r="C1093" s="1847"/>
    </row>
    <row r="1094" spans="3:3">
      <c r="C1094" s="1847"/>
    </row>
    <row r="1095" spans="3:3">
      <c r="C1095" s="1847"/>
    </row>
    <row r="1096" spans="3:3">
      <c r="C1096" s="1847"/>
    </row>
    <row r="1097" spans="3:3">
      <c r="C1097" s="1847"/>
    </row>
    <row r="1098" spans="3:3">
      <c r="C1098" s="1847"/>
    </row>
    <row r="1099" spans="3:3">
      <c r="C1099" s="1847"/>
    </row>
    <row r="1100" spans="3:3">
      <c r="C1100" s="1847"/>
    </row>
    <row r="1101" spans="3:3">
      <c r="C1101" s="1847"/>
    </row>
    <row r="1102" spans="3:3">
      <c r="C1102" s="1847"/>
    </row>
    <row r="1103" spans="3:3">
      <c r="C1103" s="1847"/>
    </row>
    <row r="1104" spans="3:3">
      <c r="C1104" s="1847"/>
    </row>
    <row r="1105" spans="3:3">
      <c r="C1105" s="1847"/>
    </row>
    <row r="1106" spans="3:3">
      <c r="C1106" s="1847"/>
    </row>
    <row r="1107" spans="3:3">
      <c r="C1107" s="1847"/>
    </row>
    <row r="1108" spans="3:3">
      <c r="C1108" s="1847"/>
    </row>
    <row r="1109" spans="3:3">
      <c r="C1109" s="1847"/>
    </row>
    <row r="1110" spans="3:3">
      <c r="C1110" s="1847"/>
    </row>
    <row r="1111" spans="3:3">
      <c r="C1111" s="1847"/>
    </row>
    <row r="1112" spans="3:3">
      <c r="C1112" s="1847"/>
    </row>
    <row r="1113" spans="3:3">
      <c r="C1113" s="1847"/>
    </row>
    <row r="1114" spans="3:3">
      <c r="C1114" s="1847"/>
    </row>
    <row r="1115" spans="3:3">
      <c r="C1115" s="1847"/>
    </row>
    <row r="1116" spans="3:3">
      <c r="C1116" s="1847"/>
    </row>
    <row r="1117" spans="3:3">
      <c r="C1117" s="1847"/>
    </row>
    <row r="1118" spans="3:3">
      <c r="C1118" s="1847"/>
    </row>
    <row r="1119" spans="3:3">
      <c r="C1119" s="1847"/>
    </row>
    <row r="1120" spans="3:3">
      <c r="C1120" s="1847"/>
    </row>
    <row r="1121" spans="3:3">
      <c r="C1121" s="1847"/>
    </row>
    <row r="1122" spans="3:3">
      <c r="C1122" s="1847"/>
    </row>
    <row r="1123" spans="3:3">
      <c r="C1123" s="1847"/>
    </row>
    <row r="1124" spans="3:3">
      <c r="C1124" s="1847"/>
    </row>
    <row r="1125" spans="3:3">
      <c r="C1125" s="1847"/>
    </row>
    <row r="1126" spans="3:3">
      <c r="C1126" s="1847"/>
    </row>
    <row r="1127" spans="3:3">
      <c r="C1127" s="1847"/>
    </row>
    <row r="1128" spans="3:3">
      <c r="C1128" s="1847"/>
    </row>
    <row r="1129" spans="3:3">
      <c r="C1129" s="1847"/>
    </row>
    <row r="1130" spans="3:3">
      <c r="C1130" s="1847"/>
    </row>
    <row r="1131" spans="3:3">
      <c r="C1131" s="1847"/>
    </row>
    <row r="1132" spans="3:3">
      <c r="C1132" s="1847"/>
    </row>
    <row r="1133" spans="3:3">
      <c r="C1133" s="1847"/>
    </row>
    <row r="1134" spans="3:3">
      <c r="C1134" s="1847"/>
    </row>
    <row r="1135" spans="3:3">
      <c r="C1135" s="1847"/>
    </row>
    <row r="1136" spans="3:3">
      <c r="C1136" s="1847"/>
    </row>
    <row r="1137" spans="3:3">
      <c r="C1137" s="1847"/>
    </row>
    <row r="1138" spans="3:3">
      <c r="C1138" s="1847"/>
    </row>
    <row r="1139" spans="3:3">
      <c r="C1139" s="1847"/>
    </row>
    <row r="1140" spans="3:3">
      <c r="C1140" s="1847"/>
    </row>
    <row r="1141" spans="3:3">
      <c r="C1141" s="1847"/>
    </row>
    <row r="1142" spans="3:3">
      <c r="C1142" s="1847"/>
    </row>
    <row r="1143" spans="3:3">
      <c r="C1143" s="1847"/>
    </row>
    <row r="1144" spans="3:3">
      <c r="C1144" s="1847"/>
    </row>
    <row r="1145" spans="3:3">
      <c r="C1145" s="1847"/>
    </row>
    <row r="1146" spans="3:3">
      <c r="C1146" s="1847"/>
    </row>
    <row r="1147" spans="3:3">
      <c r="C1147" s="1847"/>
    </row>
    <row r="1148" spans="3:3">
      <c r="C1148" s="1847"/>
    </row>
    <row r="1149" spans="3:3">
      <c r="C1149" s="1847"/>
    </row>
    <row r="1150" spans="3:3">
      <c r="C1150" s="1847"/>
    </row>
    <row r="1151" spans="3:3">
      <c r="C1151" s="1847"/>
    </row>
    <row r="1152" spans="3:3">
      <c r="C1152" s="1847"/>
    </row>
    <row r="1153" spans="3:3">
      <c r="C1153" s="1847"/>
    </row>
    <row r="1154" spans="3:3">
      <c r="C1154" s="1847"/>
    </row>
    <row r="1155" spans="3:3">
      <c r="C1155" s="1847"/>
    </row>
    <row r="1156" spans="3:3">
      <c r="C1156" s="1847"/>
    </row>
    <row r="1157" spans="3:3">
      <c r="C1157" s="1847"/>
    </row>
    <row r="1158" spans="3:3">
      <c r="C1158" s="1847"/>
    </row>
    <row r="1159" spans="3:3">
      <c r="C1159" s="1847"/>
    </row>
    <row r="1160" spans="3:3">
      <c r="C1160" s="1847"/>
    </row>
    <row r="1161" spans="3:3">
      <c r="C1161" s="1847"/>
    </row>
    <row r="1162" spans="3:3">
      <c r="C1162" s="1847"/>
    </row>
    <row r="1163" spans="3:3">
      <c r="C1163" s="1847"/>
    </row>
    <row r="1164" spans="3:3">
      <c r="C1164" s="1847"/>
    </row>
    <row r="1165" spans="3:3">
      <c r="C1165" s="1847"/>
    </row>
    <row r="1166" spans="3:3">
      <c r="C1166" s="1847"/>
    </row>
    <row r="1167" spans="3:3">
      <c r="C1167" s="1847"/>
    </row>
    <row r="1168" spans="3:3">
      <c r="C1168" s="1847"/>
    </row>
    <row r="1169" spans="3:3">
      <c r="C1169" s="1847"/>
    </row>
    <row r="1170" spans="3:3">
      <c r="C1170" s="1847"/>
    </row>
    <row r="1171" spans="3:3">
      <c r="C1171" s="1847"/>
    </row>
    <row r="1172" spans="3:3">
      <c r="C1172" s="1847"/>
    </row>
    <row r="1173" spans="3:3">
      <c r="C1173" s="1847"/>
    </row>
    <row r="1174" spans="3:3">
      <c r="C1174" s="1847"/>
    </row>
    <row r="1175" spans="3:3">
      <c r="C1175" s="1847"/>
    </row>
    <row r="1176" spans="3:3">
      <c r="C1176" s="1847"/>
    </row>
    <row r="1177" spans="3:3">
      <c r="C1177" s="1847"/>
    </row>
    <row r="1178" spans="3:3">
      <c r="C1178" s="1847"/>
    </row>
    <row r="1179" spans="3:3">
      <c r="C1179" s="1847"/>
    </row>
    <row r="1180" spans="3:3">
      <c r="C1180" s="1847"/>
    </row>
    <row r="1181" spans="3:3">
      <c r="C1181" s="1847"/>
    </row>
    <row r="1182" spans="3:3">
      <c r="C1182" s="1847"/>
    </row>
    <row r="1183" spans="3:3">
      <c r="C1183" s="1847"/>
    </row>
    <row r="1184" spans="3:3">
      <c r="C1184" s="1847"/>
    </row>
    <row r="1185" spans="3:3">
      <c r="C1185" s="1847"/>
    </row>
    <row r="1186" spans="3:3">
      <c r="C1186" s="1847"/>
    </row>
    <row r="1187" spans="3:3">
      <c r="C1187" s="1847"/>
    </row>
    <row r="1188" spans="3:3">
      <c r="C1188" s="1847"/>
    </row>
    <row r="1189" spans="3:3">
      <c r="C1189" s="1847"/>
    </row>
    <row r="1190" spans="3:3">
      <c r="C1190" s="1847"/>
    </row>
    <row r="1191" spans="3:3">
      <c r="C1191" s="1847"/>
    </row>
    <row r="1192" spans="3:3">
      <c r="C1192" s="1847"/>
    </row>
    <row r="1193" spans="3:3">
      <c r="C1193" s="1847"/>
    </row>
    <row r="1194" spans="3:3">
      <c r="C1194" s="1847"/>
    </row>
    <row r="1195" spans="3:3">
      <c r="C1195" s="1847"/>
    </row>
    <row r="1196" spans="3:3">
      <c r="C1196" s="1847"/>
    </row>
    <row r="1197" spans="3:3">
      <c r="C1197" s="1847"/>
    </row>
    <row r="1198" spans="3:3">
      <c r="C1198" s="1847"/>
    </row>
    <row r="1199" spans="3:3">
      <c r="C1199" s="1847"/>
    </row>
    <row r="1200" spans="3:3">
      <c r="C1200" s="1847"/>
    </row>
    <row r="1201" spans="3:3">
      <c r="C1201" s="1847"/>
    </row>
    <row r="1202" spans="3:3">
      <c r="C1202" s="1847"/>
    </row>
    <row r="1203" spans="3:3">
      <c r="C1203" s="1847"/>
    </row>
    <row r="1204" spans="3:3">
      <c r="C1204" s="1847"/>
    </row>
    <row r="1205" spans="3:3">
      <c r="C1205" s="1847"/>
    </row>
    <row r="1206" spans="3:3">
      <c r="C1206" s="1847"/>
    </row>
    <row r="1207" spans="3:3">
      <c r="C1207" s="1847"/>
    </row>
    <row r="1208" spans="3:3">
      <c r="C1208" s="1847"/>
    </row>
    <row r="1209" spans="3:3">
      <c r="C1209" s="1847"/>
    </row>
    <row r="1210" spans="3:3">
      <c r="C1210" s="1847"/>
    </row>
    <row r="1211" spans="3:3">
      <c r="C1211" s="1847"/>
    </row>
    <row r="1212" spans="3:3">
      <c r="C1212" s="1847"/>
    </row>
    <row r="1213" spans="3:3">
      <c r="C1213" s="1847"/>
    </row>
    <row r="1214" spans="3:3">
      <c r="C1214" s="1847"/>
    </row>
    <row r="1215" spans="3:3">
      <c r="C1215" s="1847"/>
    </row>
    <row r="1216" spans="3:3">
      <c r="C1216" s="1847"/>
    </row>
    <row r="1217" spans="3:3">
      <c r="C1217" s="1847"/>
    </row>
    <row r="1218" spans="3:3">
      <c r="C1218" s="1847"/>
    </row>
    <row r="1219" spans="3:3">
      <c r="C1219" s="1847"/>
    </row>
    <row r="1220" spans="3:3">
      <c r="C1220" s="1847"/>
    </row>
    <row r="1221" spans="3:3">
      <c r="C1221" s="1847"/>
    </row>
    <row r="1222" spans="3:3">
      <c r="C1222" s="1847"/>
    </row>
    <row r="1223" spans="3:3">
      <c r="C1223" s="1847"/>
    </row>
    <row r="1224" spans="3:3">
      <c r="C1224" s="1847"/>
    </row>
    <row r="1225" spans="3:3">
      <c r="C1225" s="1847"/>
    </row>
    <row r="1226" spans="3:3">
      <c r="C1226" s="1847"/>
    </row>
    <row r="1227" spans="3:3">
      <c r="C1227" s="1847"/>
    </row>
    <row r="1228" spans="3:3">
      <c r="C1228" s="1847"/>
    </row>
    <row r="1229" spans="3:3">
      <c r="C1229" s="1847"/>
    </row>
    <row r="1230" spans="3:3">
      <c r="C1230" s="1847"/>
    </row>
    <row r="1231" spans="3:3">
      <c r="C1231" s="1847"/>
    </row>
    <row r="1232" spans="3:3">
      <c r="C1232" s="1847"/>
    </row>
    <row r="1233" spans="3:3">
      <c r="C1233" s="1847"/>
    </row>
    <row r="1234" spans="3:3">
      <c r="C1234" s="1847"/>
    </row>
    <row r="1235" spans="3:3">
      <c r="C1235" s="1847"/>
    </row>
    <row r="1236" spans="3:3">
      <c r="C1236" s="1847"/>
    </row>
    <row r="1237" spans="3:3">
      <c r="C1237" s="1847"/>
    </row>
    <row r="1238" spans="3:3">
      <c r="C1238" s="1847"/>
    </row>
    <row r="1239" spans="3:3">
      <c r="C1239" s="1847"/>
    </row>
    <row r="1240" spans="3:3">
      <c r="C1240" s="1847"/>
    </row>
    <row r="1241" spans="3:3">
      <c r="C1241" s="1847"/>
    </row>
    <row r="1242" spans="3:3">
      <c r="C1242" s="1847"/>
    </row>
    <row r="1243" spans="3:3">
      <c r="C1243" s="1847"/>
    </row>
    <row r="1244" spans="3:3">
      <c r="C1244" s="1847"/>
    </row>
    <row r="1245" spans="3:3">
      <c r="C1245" s="1847"/>
    </row>
    <row r="1246" spans="3:3">
      <c r="C1246" s="1847"/>
    </row>
    <row r="1247" spans="3:3">
      <c r="C1247" s="1847"/>
    </row>
    <row r="1248" spans="3:3">
      <c r="C1248" s="1847"/>
    </row>
    <row r="1249" spans="3:3">
      <c r="C1249" s="1847"/>
    </row>
    <row r="1250" spans="3:3">
      <c r="C1250" s="1847"/>
    </row>
    <row r="1251" spans="3:3">
      <c r="C1251" s="1847"/>
    </row>
    <row r="1252" spans="3:3">
      <c r="C1252" s="1847"/>
    </row>
    <row r="1253" spans="3:3">
      <c r="C1253" s="1847"/>
    </row>
    <row r="1254" spans="3:3">
      <c r="C1254" s="1847"/>
    </row>
    <row r="1255" spans="3:3">
      <c r="C1255" s="1847"/>
    </row>
    <row r="1256" spans="3:3">
      <c r="C1256" s="1847"/>
    </row>
    <row r="1257" spans="3:3">
      <c r="C1257" s="1847"/>
    </row>
    <row r="1258" spans="3:3">
      <c r="C1258" s="1847"/>
    </row>
    <row r="1259" spans="3:3">
      <c r="C1259" s="1847"/>
    </row>
    <row r="1260" spans="3:3">
      <c r="C1260" s="1847"/>
    </row>
    <row r="1261" spans="3:3">
      <c r="C1261" s="1847"/>
    </row>
    <row r="1262" spans="3:3">
      <c r="C1262" s="1847"/>
    </row>
    <row r="1263" spans="3:3">
      <c r="C1263" s="1847"/>
    </row>
    <row r="1264" spans="3:3">
      <c r="C1264" s="1847"/>
    </row>
    <row r="1265" spans="3:3">
      <c r="C1265" s="1847"/>
    </row>
    <row r="1266" spans="3:3">
      <c r="C1266" s="1847"/>
    </row>
    <row r="1267" spans="3:3">
      <c r="C1267" s="1847"/>
    </row>
    <row r="1268" spans="3:3">
      <c r="C1268" s="1847"/>
    </row>
    <row r="1269" spans="3:3">
      <c r="C1269" s="1847"/>
    </row>
    <row r="1270" spans="3:3">
      <c r="C1270" s="1847"/>
    </row>
    <row r="1271" spans="3:3">
      <c r="C1271" s="1847"/>
    </row>
    <row r="1272" spans="3:3">
      <c r="C1272" s="1847"/>
    </row>
    <row r="1273" spans="3:3">
      <c r="C1273" s="1847"/>
    </row>
    <row r="1274" spans="3:3">
      <c r="C1274" s="1847"/>
    </row>
    <row r="1275" spans="3:3">
      <c r="C1275" s="1847"/>
    </row>
    <row r="1276" spans="3:3">
      <c r="C1276" s="1847"/>
    </row>
    <row r="1277" spans="3:3">
      <c r="C1277" s="1847"/>
    </row>
    <row r="1278" spans="3:3">
      <c r="C1278" s="1847"/>
    </row>
    <row r="1279" spans="3:3">
      <c r="C1279" s="1847"/>
    </row>
    <row r="1280" spans="3:3">
      <c r="C1280" s="1847"/>
    </row>
    <row r="1281" spans="3:3">
      <c r="C1281" s="1847"/>
    </row>
    <row r="1282" spans="3:3">
      <c r="C1282" s="1847"/>
    </row>
    <row r="1283" spans="3:3">
      <c r="C1283" s="1847"/>
    </row>
    <row r="1284" spans="3:3">
      <c r="C1284" s="1847"/>
    </row>
    <row r="1285" spans="3:3">
      <c r="C1285" s="1847"/>
    </row>
    <row r="1286" spans="3:3">
      <c r="C1286" s="1847"/>
    </row>
    <row r="1287" spans="3:3">
      <c r="C1287" s="1847"/>
    </row>
    <row r="1288" spans="3:3">
      <c r="C1288" s="1847"/>
    </row>
    <row r="1289" spans="3:3">
      <c r="C1289" s="1847"/>
    </row>
    <row r="1290" spans="3:3">
      <c r="C1290" s="1847"/>
    </row>
    <row r="1291" spans="3:3">
      <c r="C1291" s="1847"/>
    </row>
    <row r="1292" spans="3:3">
      <c r="C1292" s="1847"/>
    </row>
    <row r="1293" spans="3:3">
      <c r="C1293" s="1847"/>
    </row>
    <row r="1294" spans="3:3">
      <c r="C1294" s="1847"/>
    </row>
    <row r="1295" spans="3:3">
      <c r="C1295" s="1847"/>
    </row>
    <row r="1296" spans="3:3">
      <c r="C1296" s="1847"/>
    </row>
    <row r="1297" spans="3:3">
      <c r="C1297" s="1847"/>
    </row>
    <row r="1298" spans="3:3">
      <c r="C1298" s="1847"/>
    </row>
    <row r="1299" spans="3:3">
      <c r="C1299" s="1847"/>
    </row>
    <row r="1300" spans="3:3">
      <c r="C1300" s="1847"/>
    </row>
    <row r="1301" spans="3:3">
      <c r="C1301" s="1847"/>
    </row>
    <row r="1302" spans="3:3">
      <c r="C1302" s="1847"/>
    </row>
    <row r="1303" spans="3:3">
      <c r="C1303" s="1847"/>
    </row>
    <row r="1304" spans="3:3">
      <c r="C1304" s="1847"/>
    </row>
    <row r="1305" spans="3:3">
      <c r="C1305" s="1847"/>
    </row>
    <row r="1306" spans="3:3">
      <c r="C1306" s="1847"/>
    </row>
    <row r="1307" spans="3:3">
      <c r="C1307" s="1847"/>
    </row>
    <row r="1308" spans="3:3">
      <c r="C1308" s="1847"/>
    </row>
    <row r="1309" spans="3:3">
      <c r="C1309" s="1847"/>
    </row>
    <row r="1310" spans="3:3">
      <c r="C1310" s="1847"/>
    </row>
    <row r="1311" spans="3:3">
      <c r="C1311" s="1847"/>
    </row>
    <row r="1312" spans="3:3">
      <c r="C1312" s="1847"/>
    </row>
    <row r="1313" spans="3:3">
      <c r="C1313" s="1847"/>
    </row>
    <row r="1314" spans="3:3">
      <c r="C1314" s="1847"/>
    </row>
    <row r="1315" spans="3:3">
      <c r="C1315" s="1847"/>
    </row>
    <row r="1316" spans="3:3">
      <c r="C1316" s="1847"/>
    </row>
    <row r="1317" spans="3:3">
      <c r="C1317" s="1847"/>
    </row>
    <row r="1318" spans="3:3">
      <c r="C1318" s="1847"/>
    </row>
    <row r="1319" spans="3:3">
      <c r="C1319" s="1847"/>
    </row>
    <row r="1320" spans="3:3">
      <c r="C1320" s="1847"/>
    </row>
    <row r="1321" spans="3:3">
      <c r="C1321" s="1847"/>
    </row>
    <row r="1322" spans="3:3">
      <c r="C1322" s="1847"/>
    </row>
    <row r="1323" spans="3:3">
      <c r="C1323" s="1847"/>
    </row>
    <row r="1324" spans="3:3">
      <c r="C1324" s="1847"/>
    </row>
    <row r="1325" spans="3:3">
      <c r="C1325" s="1847"/>
    </row>
    <row r="1326" spans="3:3">
      <c r="C1326" s="1847"/>
    </row>
    <row r="1327" spans="3:3">
      <c r="C1327" s="1847"/>
    </row>
    <row r="1328" spans="3:3">
      <c r="C1328" s="1847"/>
    </row>
    <row r="1329" spans="3:3">
      <c r="C1329" s="1847"/>
    </row>
    <row r="1330" spans="3:3">
      <c r="C1330" s="1847"/>
    </row>
    <row r="1331" spans="3:3">
      <c r="C1331" s="1847"/>
    </row>
    <row r="1332" spans="3:3">
      <c r="C1332" s="1847"/>
    </row>
    <row r="1333" spans="3:3">
      <c r="C1333" s="1847"/>
    </row>
    <row r="1334" spans="3:3">
      <c r="C1334" s="1847"/>
    </row>
    <row r="1335" spans="3:3">
      <c r="C1335" s="1847"/>
    </row>
    <row r="1336" spans="3:3">
      <c r="C1336" s="1847"/>
    </row>
    <row r="1337" spans="3:3">
      <c r="C1337" s="1847"/>
    </row>
    <row r="1338" spans="3:3">
      <c r="C1338" s="1847"/>
    </row>
    <row r="1339" spans="3:3">
      <c r="C1339" s="1847"/>
    </row>
    <row r="1340" spans="3:3">
      <c r="C1340" s="1847"/>
    </row>
    <row r="1341" spans="3:3">
      <c r="C1341" s="1847"/>
    </row>
    <row r="1342" spans="3:3">
      <c r="C1342" s="1847"/>
    </row>
    <row r="1343" spans="3:3">
      <c r="C1343" s="1847"/>
    </row>
    <row r="1344" spans="3:3">
      <c r="C1344" s="1847"/>
    </row>
    <row r="1345" spans="3:3">
      <c r="C1345" s="1847"/>
    </row>
    <row r="1346" spans="3:3">
      <c r="C1346" s="1847"/>
    </row>
    <row r="1347" spans="3:3">
      <c r="C1347" s="1847"/>
    </row>
    <row r="1348" spans="3:3">
      <c r="C1348" s="1847"/>
    </row>
    <row r="1349" spans="3:3">
      <c r="C1349" s="1847"/>
    </row>
    <row r="1350" spans="3:3">
      <c r="C1350" s="1847"/>
    </row>
    <row r="1351" spans="3:3">
      <c r="C1351" s="1847"/>
    </row>
    <row r="1352" spans="3:3">
      <c r="C1352" s="1847"/>
    </row>
    <row r="1353" spans="3:3">
      <c r="C1353" s="1847"/>
    </row>
    <row r="1354" spans="3:3">
      <c r="C1354" s="1847"/>
    </row>
    <row r="1355" spans="3:3">
      <c r="C1355" s="1847"/>
    </row>
    <row r="1356" spans="3:3">
      <c r="C1356" s="1847"/>
    </row>
    <row r="1357" spans="3:3">
      <c r="C1357" s="1847"/>
    </row>
    <row r="1358" spans="3:3">
      <c r="C1358" s="1847"/>
    </row>
    <row r="1359" spans="3:3">
      <c r="C1359" s="1847"/>
    </row>
    <row r="1360" spans="3:3">
      <c r="C1360" s="1847"/>
    </row>
    <row r="1361" spans="3:3">
      <c r="C1361" s="1847"/>
    </row>
    <row r="1362" spans="3:3">
      <c r="C1362" s="1847"/>
    </row>
    <row r="1363" spans="3:3">
      <c r="C1363" s="1847"/>
    </row>
    <row r="1364" spans="3:3">
      <c r="C1364" s="1847"/>
    </row>
    <row r="1365" spans="3:3">
      <c r="C1365" s="1847"/>
    </row>
    <row r="1366" spans="3:3">
      <c r="C1366" s="1847"/>
    </row>
    <row r="1367" spans="3:3">
      <c r="C1367" s="1847"/>
    </row>
    <row r="1368" spans="3:3">
      <c r="C1368" s="1847"/>
    </row>
    <row r="1369" spans="3:3">
      <c r="C1369" s="1847"/>
    </row>
    <row r="1370" spans="3:3">
      <c r="C1370" s="1847"/>
    </row>
    <row r="1371" spans="3:3">
      <c r="C1371" s="1847"/>
    </row>
    <row r="1372" spans="3:3">
      <c r="C1372" s="1847"/>
    </row>
    <row r="1373" spans="3:3">
      <c r="C1373" s="1847"/>
    </row>
    <row r="1374" spans="3:3">
      <c r="C1374" s="1847"/>
    </row>
    <row r="1375" spans="3:3">
      <c r="C1375" s="1847"/>
    </row>
    <row r="1376" spans="3:3">
      <c r="C1376" s="1847"/>
    </row>
    <row r="1377" spans="3:3">
      <c r="C1377" s="1847"/>
    </row>
    <row r="1378" spans="3:3">
      <c r="C1378" s="1847"/>
    </row>
    <row r="1379" spans="3:3">
      <c r="C1379" s="1847"/>
    </row>
    <row r="1380" spans="3:3">
      <c r="C1380" s="1847"/>
    </row>
    <row r="1381" spans="3:3">
      <c r="C1381" s="1847"/>
    </row>
    <row r="1382" spans="3:3">
      <c r="C1382" s="1847"/>
    </row>
    <row r="1383" spans="3:3">
      <c r="C1383" s="1847"/>
    </row>
    <row r="1384" spans="3:3">
      <c r="C1384" s="1847"/>
    </row>
    <row r="1385" spans="3:3">
      <c r="C1385" s="1847"/>
    </row>
    <row r="1386" spans="3:3">
      <c r="C1386" s="1847"/>
    </row>
    <row r="1387" spans="3:3">
      <c r="C1387" s="1847"/>
    </row>
    <row r="1388" spans="3:3">
      <c r="C1388" s="1847"/>
    </row>
    <row r="1389" spans="3:3">
      <c r="C1389" s="1847"/>
    </row>
    <row r="1390" spans="3:3">
      <c r="C1390" s="1847"/>
    </row>
    <row r="1391" spans="3:3">
      <c r="C1391" s="1847"/>
    </row>
    <row r="1392" spans="3:3">
      <c r="C1392" s="1847"/>
    </row>
    <row r="1393" spans="3:3">
      <c r="C1393" s="1847"/>
    </row>
    <row r="1394" spans="3:3">
      <c r="C1394" s="1847"/>
    </row>
    <row r="1395" spans="3:3">
      <c r="C1395" s="1847"/>
    </row>
    <row r="1396" spans="3:3">
      <c r="C1396" s="1847"/>
    </row>
    <row r="1397" spans="3:3">
      <c r="C1397" s="1847"/>
    </row>
    <row r="1398" spans="3:3">
      <c r="C1398" s="1847"/>
    </row>
    <row r="1399" spans="3:3">
      <c r="C1399" s="1847"/>
    </row>
    <row r="1400" spans="3:3">
      <c r="C1400" s="1847"/>
    </row>
    <row r="1401" spans="3:3">
      <c r="C1401" s="1847"/>
    </row>
    <row r="1402" spans="3:3">
      <c r="C1402" s="1847"/>
    </row>
    <row r="1403" spans="3:3">
      <c r="C1403" s="1847"/>
    </row>
    <row r="1404" spans="3:3">
      <c r="C1404" s="1847"/>
    </row>
    <row r="1405" spans="3:3">
      <c r="C1405" s="1847"/>
    </row>
    <row r="1406" spans="3:3">
      <c r="C1406" s="1847"/>
    </row>
    <row r="1407" spans="3:3">
      <c r="C1407" s="1847"/>
    </row>
    <row r="1408" spans="3:3">
      <c r="C1408" s="1847"/>
    </row>
    <row r="1409" spans="3:3">
      <c r="C1409" s="1847"/>
    </row>
    <row r="1410" spans="3:3">
      <c r="C1410" s="1847"/>
    </row>
    <row r="1411" spans="3:3">
      <c r="C1411" s="1847"/>
    </row>
    <row r="1412" spans="3:3">
      <c r="C1412" s="1847"/>
    </row>
    <row r="1413" spans="3:3">
      <c r="C1413" s="1847"/>
    </row>
    <row r="1414" spans="3:3">
      <c r="C1414" s="1847"/>
    </row>
    <row r="1415" spans="3:3">
      <c r="C1415" s="1847"/>
    </row>
    <row r="1416" spans="3:3">
      <c r="C1416" s="1847"/>
    </row>
    <row r="1417" spans="3:3">
      <c r="C1417" s="1847"/>
    </row>
    <row r="1418" spans="3:3">
      <c r="C1418" s="1847"/>
    </row>
    <row r="1419" spans="3:3">
      <c r="C1419" s="1847"/>
    </row>
    <row r="1420" spans="3:3">
      <c r="C1420" s="1847"/>
    </row>
    <row r="1421" spans="3:3">
      <c r="C1421" s="1847"/>
    </row>
    <row r="1422" spans="3:3">
      <c r="C1422" s="1847"/>
    </row>
    <row r="1423" spans="3:3">
      <c r="C1423" s="1847"/>
    </row>
    <row r="1424" spans="3:3">
      <c r="C1424" s="1847"/>
    </row>
    <row r="1425" spans="3:3">
      <c r="C1425" s="1847"/>
    </row>
    <row r="1426" spans="3:3">
      <c r="C1426" s="1847"/>
    </row>
    <row r="1427" spans="3:3">
      <c r="C1427" s="1847"/>
    </row>
    <row r="1428" spans="3:3">
      <c r="C1428" s="1847"/>
    </row>
    <row r="1429" spans="3:3">
      <c r="C1429" s="1847"/>
    </row>
    <row r="1430" spans="3:3">
      <c r="C1430" s="1847"/>
    </row>
    <row r="1431" spans="3:3">
      <c r="C1431" s="1847"/>
    </row>
    <row r="1432" spans="3:3">
      <c r="C1432" s="1847"/>
    </row>
    <row r="1433" spans="3:3">
      <c r="C1433" s="1847"/>
    </row>
    <row r="1434" spans="3:3">
      <c r="C1434" s="1847"/>
    </row>
    <row r="1435" spans="3:3">
      <c r="C1435" s="1847"/>
    </row>
    <row r="1436" spans="3:3">
      <c r="C1436" s="1847"/>
    </row>
    <row r="1437" spans="3:3">
      <c r="C1437" s="1847"/>
    </row>
    <row r="1438" spans="3:3">
      <c r="C1438" s="1847"/>
    </row>
    <row r="1439" spans="3:3">
      <c r="C1439" s="1847"/>
    </row>
    <row r="1440" spans="3:3">
      <c r="C1440" s="1847"/>
    </row>
    <row r="1441" spans="3:3">
      <c r="C1441" s="1847"/>
    </row>
    <row r="1442" spans="3:3">
      <c r="C1442" s="1847"/>
    </row>
    <row r="1443" spans="3:3">
      <c r="C1443" s="1847"/>
    </row>
    <row r="1444" spans="3:3">
      <c r="C1444" s="1847"/>
    </row>
    <row r="1445" spans="3:3">
      <c r="C1445" s="1847"/>
    </row>
    <row r="1446" spans="3:3">
      <c r="C1446" s="1847"/>
    </row>
    <row r="1447" spans="3:3">
      <c r="C1447" s="1847"/>
    </row>
    <row r="1448" spans="3:3">
      <c r="C1448" s="1847"/>
    </row>
    <row r="1449" spans="3:3">
      <c r="C1449" s="1847"/>
    </row>
    <row r="1450" spans="3:3">
      <c r="C1450" s="1847"/>
    </row>
    <row r="1451" spans="3:3">
      <c r="C1451" s="1847"/>
    </row>
    <row r="1452" spans="3:3">
      <c r="C1452" s="1847"/>
    </row>
    <row r="1453" spans="3:3">
      <c r="C1453" s="1847"/>
    </row>
    <row r="1454" spans="3:3">
      <c r="C1454" s="1847"/>
    </row>
    <row r="1455" spans="3:3">
      <c r="C1455" s="1847"/>
    </row>
    <row r="1456" spans="3:3">
      <c r="C1456" s="1847"/>
    </row>
    <row r="1457" spans="3:3">
      <c r="C1457" s="1847"/>
    </row>
    <row r="1458" spans="3:3">
      <c r="C1458" s="1847"/>
    </row>
    <row r="1459" spans="3:3">
      <c r="C1459" s="1847"/>
    </row>
    <row r="1460" spans="3:3">
      <c r="C1460" s="1847"/>
    </row>
    <row r="1461" spans="3:3">
      <c r="C1461" s="1847"/>
    </row>
    <row r="1462" spans="3:3">
      <c r="C1462" s="1847"/>
    </row>
    <row r="1463" spans="3:3">
      <c r="C1463" s="1847"/>
    </row>
    <row r="1464" spans="3:3">
      <c r="C1464" s="1847"/>
    </row>
    <row r="1465" spans="3:3">
      <c r="C1465" s="1847"/>
    </row>
    <row r="1466" spans="3:3">
      <c r="C1466" s="1847"/>
    </row>
    <row r="1467" spans="3:3">
      <c r="C1467" s="1847"/>
    </row>
    <row r="1468" spans="3:3">
      <c r="C1468" s="1847"/>
    </row>
    <row r="1469" spans="3:3">
      <c r="C1469" s="1847"/>
    </row>
    <row r="1470" spans="3:3">
      <c r="C1470" s="1847"/>
    </row>
    <row r="1471" spans="3:3">
      <c r="C1471" s="1847"/>
    </row>
    <row r="1472" spans="3:3">
      <c r="C1472" s="1847"/>
    </row>
    <row r="1473" spans="3:3">
      <c r="C1473" s="1847"/>
    </row>
    <row r="1474" spans="3:3">
      <c r="C1474" s="1847"/>
    </row>
    <row r="1475" spans="3:3">
      <c r="C1475" s="1847"/>
    </row>
    <row r="1476" spans="3:3">
      <c r="C1476" s="1847"/>
    </row>
    <row r="1477" spans="3:3">
      <c r="C1477" s="1847"/>
    </row>
    <row r="1478" spans="3:3">
      <c r="C1478" s="1847"/>
    </row>
    <row r="1479" spans="3:3">
      <c r="C1479" s="1847"/>
    </row>
    <row r="1480" spans="3:3">
      <c r="C1480" s="1847"/>
    </row>
    <row r="1481" spans="3:3">
      <c r="C1481" s="1847"/>
    </row>
    <row r="1482" spans="3:3">
      <c r="C1482" s="1847"/>
    </row>
    <row r="1483" spans="3:3">
      <c r="C1483" s="1847"/>
    </row>
    <row r="1484" spans="3:3">
      <c r="C1484" s="1847"/>
    </row>
    <row r="1485" spans="3:3">
      <c r="C1485" s="1847"/>
    </row>
    <row r="1486" spans="3:3">
      <c r="C1486" s="1847"/>
    </row>
    <row r="1487" spans="3:3">
      <c r="C1487" s="1847"/>
    </row>
    <row r="1488" spans="3:3">
      <c r="C1488" s="1847"/>
    </row>
    <row r="1489" spans="3:3">
      <c r="C1489" s="1847"/>
    </row>
    <row r="1490" spans="3:3">
      <c r="C1490" s="1847"/>
    </row>
    <row r="1491" spans="3:3">
      <c r="C1491" s="1847"/>
    </row>
    <row r="1492" spans="3:3">
      <c r="C1492" s="1847"/>
    </row>
    <row r="1493" spans="3:3">
      <c r="C1493" s="1847"/>
    </row>
    <row r="1494" spans="3:3">
      <c r="C1494" s="1847"/>
    </row>
    <row r="1495" spans="3:3">
      <c r="C1495" s="1847"/>
    </row>
    <row r="1496" spans="3:3">
      <c r="C1496" s="1847"/>
    </row>
    <row r="1497" spans="3:3">
      <c r="C1497" s="1847"/>
    </row>
    <row r="1498" spans="3:3">
      <c r="C1498" s="1847"/>
    </row>
    <row r="1499" spans="3:3">
      <c r="C1499" s="1847"/>
    </row>
    <row r="1500" spans="3:3">
      <c r="C1500" s="1847"/>
    </row>
    <row r="1501" spans="3:3">
      <c r="C1501" s="1847"/>
    </row>
    <row r="1502" spans="3:3">
      <c r="C1502" s="1847"/>
    </row>
    <row r="1503" spans="3:3">
      <c r="C1503" s="1847"/>
    </row>
    <row r="1504" spans="3:3">
      <c r="C1504" s="1847"/>
    </row>
    <row r="1505" spans="3:3">
      <c r="C1505" s="1847"/>
    </row>
    <row r="1506" spans="3:3">
      <c r="C1506" s="1847"/>
    </row>
    <row r="1507" spans="3:3">
      <c r="C1507" s="1847"/>
    </row>
    <row r="1508" spans="3:3">
      <c r="C1508" s="1847"/>
    </row>
    <row r="1509" spans="3:3">
      <c r="C1509" s="1847"/>
    </row>
    <row r="1510" spans="3:3">
      <c r="C1510" s="1847"/>
    </row>
    <row r="1511" spans="3:3">
      <c r="C1511" s="1847"/>
    </row>
    <row r="1512" spans="3:3">
      <c r="C1512" s="1847"/>
    </row>
    <row r="1513" spans="3:3">
      <c r="C1513" s="1847"/>
    </row>
    <row r="1514" spans="3:3">
      <c r="C1514" s="1847"/>
    </row>
    <row r="1515" spans="3:3">
      <c r="C1515" s="1847"/>
    </row>
    <row r="1516" spans="3:3">
      <c r="C1516" s="1847"/>
    </row>
    <row r="1517" spans="3:3">
      <c r="C1517" s="1847"/>
    </row>
    <row r="1518" spans="3:3">
      <c r="C1518" s="1847"/>
    </row>
    <row r="1519" spans="3:3">
      <c r="C1519" s="1847"/>
    </row>
    <row r="1520" spans="3:3">
      <c r="C1520" s="1847"/>
    </row>
    <row r="1521" spans="3:3">
      <c r="C1521" s="1847"/>
    </row>
    <row r="1522" spans="3:3">
      <c r="C1522" s="1847"/>
    </row>
    <row r="1523" spans="3:3">
      <c r="C1523" s="1847"/>
    </row>
    <row r="1524" spans="3:3">
      <c r="C1524" s="1847"/>
    </row>
    <row r="1525" spans="3:3">
      <c r="C1525" s="1847"/>
    </row>
    <row r="1526" spans="3:3">
      <c r="C1526" s="1847"/>
    </row>
    <row r="1527" spans="3:3">
      <c r="C1527" s="1847"/>
    </row>
    <row r="1528" spans="3:3">
      <c r="C1528" s="1847"/>
    </row>
    <row r="1529" spans="3:3">
      <c r="C1529" s="1847"/>
    </row>
    <row r="1530" spans="3:3">
      <c r="C1530" s="1847"/>
    </row>
    <row r="1531" spans="3:3">
      <c r="C1531" s="1847"/>
    </row>
    <row r="1532" spans="3:3">
      <c r="C1532" s="1847"/>
    </row>
    <row r="1533" spans="3:3">
      <c r="C1533" s="1847"/>
    </row>
    <row r="1534" spans="3:3">
      <c r="C1534" s="1847"/>
    </row>
    <row r="1535" spans="3:3">
      <c r="C1535" s="1847"/>
    </row>
    <row r="1536" spans="3:3">
      <c r="C1536" s="1847"/>
    </row>
    <row r="1537" spans="3:3">
      <c r="C1537" s="1847"/>
    </row>
    <row r="1538" spans="3:3">
      <c r="C1538" s="1847"/>
    </row>
    <row r="1539" spans="3:3">
      <c r="C1539" s="1847"/>
    </row>
    <row r="1540" spans="3:3">
      <c r="C1540" s="1847"/>
    </row>
    <row r="1541" spans="3:3">
      <c r="C1541" s="1847"/>
    </row>
    <row r="1542" spans="3:3">
      <c r="C1542" s="1847"/>
    </row>
    <row r="1543" spans="3:3">
      <c r="C1543" s="1847"/>
    </row>
    <row r="1544" spans="3:3">
      <c r="C1544" s="1847"/>
    </row>
    <row r="1545" spans="3:3">
      <c r="C1545" s="1847"/>
    </row>
    <row r="1546" spans="3:3">
      <c r="C1546" s="1847"/>
    </row>
    <row r="1547" spans="3:3">
      <c r="C1547" s="1847"/>
    </row>
    <row r="1548" spans="3:3">
      <c r="C1548" s="1847"/>
    </row>
    <row r="1549" spans="3:3">
      <c r="C1549" s="1847"/>
    </row>
    <row r="1550" spans="3:3">
      <c r="C1550" s="1847"/>
    </row>
    <row r="1551" spans="3:3">
      <c r="C1551" s="1847"/>
    </row>
    <row r="1552" spans="3:3">
      <c r="C1552" s="1847"/>
    </row>
    <row r="1553" spans="3:3">
      <c r="C1553" s="1847"/>
    </row>
    <row r="1554" spans="3:3">
      <c r="C1554" s="1847"/>
    </row>
    <row r="1555" spans="3:3">
      <c r="C1555" s="1847"/>
    </row>
    <row r="1556" spans="3:3">
      <c r="C1556" s="1847"/>
    </row>
    <row r="1557" spans="3:3">
      <c r="C1557" s="1847"/>
    </row>
    <row r="1558" spans="3:3">
      <c r="C1558" s="1847"/>
    </row>
    <row r="1559" spans="3:3">
      <c r="C1559" s="1847"/>
    </row>
    <row r="1560" spans="3:3">
      <c r="C1560" s="1847"/>
    </row>
    <row r="1561" spans="3:3">
      <c r="C1561" s="1847"/>
    </row>
    <row r="1562" spans="3:3">
      <c r="C1562" s="1847"/>
    </row>
    <row r="1563" spans="3:3">
      <c r="C1563" s="1847"/>
    </row>
    <row r="1564" spans="3:3">
      <c r="C1564" s="1847"/>
    </row>
    <row r="1565" spans="3:3">
      <c r="C1565" s="1847"/>
    </row>
    <row r="1566" spans="3:3">
      <c r="C1566" s="1847"/>
    </row>
    <row r="1567" spans="3:3">
      <c r="C1567" s="1847"/>
    </row>
    <row r="1568" spans="3:3">
      <c r="C1568" s="1847"/>
    </row>
    <row r="1569" spans="3:3">
      <c r="C1569" s="1847"/>
    </row>
    <row r="1570" spans="3:3">
      <c r="C1570" s="1847"/>
    </row>
    <row r="1571" spans="3:3">
      <c r="C1571" s="1847"/>
    </row>
    <row r="1572" spans="3:3">
      <c r="C1572" s="1847"/>
    </row>
    <row r="1573" spans="3:3">
      <c r="C1573" s="1847"/>
    </row>
    <row r="1574" spans="3:3">
      <c r="C1574" s="1847"/>
    </row>
    <row r="1575" spans="3:3">
      <c r="C1575" s="1847"/>
    </row>
    <row r="1576" spans="3:3">
      <c r="C1576" s="1847"/>
    </row>
    <row r="1577" spans="3:3">
      <c r="C1577" s="1847"/>
    </row>
    <row r="1578" spans="3:3">
      <c r="C1578" s="1847"/>
    </row>
    <row r="1579" spans="3:3">
      <c r="C1579" s="1847"/>
    </row>
    <row r="1580" spans="3:3">
      <c r="C1580" s="1847"/>
    </row>
    <row r="1581" spans="3:3">
      <c r="C1581" s="1847"/>
    </row>
    <row r="1582" spans="3:3">
      <c r="C1582" s="1847"/>
    </row>
    <row r="1583" spans="3:3">
      <c r="C1583" s="1847"/>
    </row>
    <row r="1584" spans="3:3">
      <c r="C1584" s="1847"/>
    </row>
    <row r="1585" spans="3:3">
      <c r="C1585" s="1847"/>
    </row>
    <row r="1586" spans="3:3">
      <c r="C1586" s="1847"/>
    </row>
    <row r="1587" spans="3:3">
      <c r="C1587" s="1847"/>
    </row>
    <row r="1588" spans="3:3">
      <c r="C1588" s="1847"/>
    </row>
    <row r="1589" spans="3:3">
      <c r="C1589" s="1847"/>
    </row>
    <row r="1590" spans="3:3">
      <c r="C1590" s="1847"/>
    </row>
    <row r="1591" spans="3:3">
      <c r="C1591" s="1847"/>
    </row>
    <row r="1592" spans="3:3">
      <c r="C1592" s="1847"/>
    </row>
    <row r="1593" spans="3:3">
      <c r="C1593" s="1847"/>
    </row>
    <row r="1594" spans="3:3">
      <c r="C1594" s="1847"/>
    </row>
    <row r="1595" spans="3:3">
      <c r="C1595" s="1847"/>
    </row>
    <row r="1596" spans="3:3">
      <c r="C1596" s="1847"/>
    </row>
    <row r="1597" spans="3:3">
      <c r="C1597" s="1847"/>
    </row>
    <row r="1598" spans="3:3">
      <c r="C1598" s="1847"/>
    </row>
    <row r="1599" spans="3:3">
      <c r="C1599" s="1847"/>
    </row>
    <row r="1600" spans="3:3">
      <c r="C1600" s="1847"/>
    </row>
    <row r="1601" spans="3:3">
      <c r="C1601" s="1847"/>
    </row>
    <row r="1602" spans="3:3">
      <c r="C1602" s="1847"/>
    </row>
    <row r="1603" spans="3:3">
      <c r="C1603" s="1847"/>
    </row>
    <row r="1604" spans="3:3">
      <c r="C1604" s="1847"/>
    </row>
    <row r="1605" spans="3:3">
      <c r="C1605" s="1847"/>
    </row>
    <row r="1606" spans="3:3">
      <c r="C1606" s="1847"/>
    </row>
    <row r="1607" spans="3:3">
      <c r="C1607" s="1847"/>
    </row>
    <row r="1608" spans="3:3">
      <c r="C1608" s="1847"/>
    </row>
    <row r="1609" spans="3:3">
      <c r="C1609" s="1847"/>
    </row>
    <row r="1610" spans="3:3">
      <c r="C1610" s="1847"/>
    </row>
    <row r="1611" spans="3:3">
      <c r="C1611" s="1847"/>
    </row>
    <row r="1612" spans="3:3">
      <c r="C1612" s="1847"/>
    </row>
    <row r="1613" spans="3:3">
      <c r="C1613" s="1847"/>
    </row>
    <row r="1614" spans="3:3">
      <c r="C1614" s="1847"/>
    </row>
    <row r="1615" spans="3:3">
      <c r="C1615" s="1847"/>
    </row>
    <row r="1616" spans="3:3">
      <c r="C1616" s="1847"/>
    </row>
    <row r="1617" spans="3:3">
      <c r="C1617" s="1847"/>
    </row>
    <row r="1618" spans="3:3">
      <c r="C1618" s="1847"/>
    </row>
    <row r="1619" spans="3:3">
      <c r="C1619" s="1847"/>
    </row>
    <row r="1620" spans="3:3">
      <c r="C1620" s="1847"/>
    </row>
    <row r="1621" spans="3:3">
      <c r="C1621" s="1847"/>
    </row>
    <row r="1622" spans="3:3">
      <c r="C1622" s="1847"/>
    </row>
    <row r="1623" spans="3:3">
      <c r="C1623" s="1847"/>
    </row>
  </sheetData>
  <sortState xmlns:xlrd2="http://schemas.microsoft.com/office/spreadsheetml/2017/richdata2" ref="M39:N43">
    <sortCondition ref="N39:N43"/>
  </sortState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C9BE-E639-44C8-AE8E-C0CA3096B600}">
  <sheetPr codeName="Hoja13"/>
  <dimension ref="A1:T444"/>
  <sheetViews>
    <sheetView tabSelected="1" topLeftCell="A104" zoomScale="87" zoomScaleNormal="87" workbookViewId="0">
      <pane xSplit="2" topLeftCell="C1" activePane="topRight" state="frozen"/>
      <selection activeCell="A206" sqref="A206"/>
      <selection pane="topRight" activeCell="C62" sqref="C62"/>
    </sheetView>
  </sheetViews>
  <sheetFormatPr baseColWidth="10" defaultColWidth="11.5" defaultRowHeight="13" customHeight="1"/>
  <cols>
    <col min="1" max="1" width="11.5" style="985" bestFit="1" customWidth="1"/>
    <col min="2" max="2" width="53" style="985" customWidth="1"/>
    <col min="3" max="3" width="15.5" style="985" customWidth="1"/>
    <col min="4" max="4" width="14.5" style="985" customWidth="1"/>
    <col min="5" max="5" width="14.83203125" style="985" customWidth="1"/>
    <col min="6" max="6" width="14.83203125" style="1043" customWidth="1"/>
    <col min="7" max="7" width="15" style="1043" customWidth="1"/>
    <col min="8" max="9" width="14.5" style="1043" customWidth="1"/>
    <col min="10" max="10" width="16" style="985" customWidth="1"/>
    <col min="11" max="11" width="17.5" style="985" customWidth="1"/>
    <col min="12" max="13" width="14.5" style="2032" customWidth="1"/>
    <col min="14" max="14" width="12.83203125" style="985" bestFit="1" customWidth="1"/>
    <col min="15" max="15" width="11.5" style="985" customWidth="1"/>
    <col min="16" max="16" width="13.83203125" style="985" customWidth="1"/>
    <col min="18" max="16384" width="11.5" style="985"/>
  </cols>
  <sheetData>
    <row r="1" spans="2:18" ht="13" customHeight="1">
      <c r="C1" s="991"/>
      <c r="D1" s="991"/>
      <c r="E1" s="991"/>
    </row>
    <row r="2" spans="2:18" ht="13" customHeight="1">
      <c r="B2" s="996" t="s">
        <v>0</v>
      </c>
    </row>
    <row r="3" spans="2:18" ht="13" customHeight="1"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</row>
    <row r="4" spans="2:18" ht="13" customHeight="1">
      <c r="B4" s="984"/>
      <c r="C4" s="991"/>
      <c r="D4" s="991"/>
      <c r="E4" s="991"/>
      <c r="F4" s="991"/>
      <c r="G4" s="991"/>
      <c r="H4" s="991"/>
      <c r="I4" s="991"/>
      <c r="J4" s="991"/>
      <c r="K4" s="991"/>
      <c r="N4" s="991"/>
    </row>
    <row r="5" spans="2:18" ht="13" customHeight="1" thickBot="1">
      <c r="B5" s="984">
        <v>2025</v>
      </c>
      <c r="C5" s="2479">
        <v>932</v>
      </c>
      <c r="D5" s="2479">
        <v>932</v>
      </c>
      <c r="E5" s="2479">
        <v>932</v>
      </c>
      <c r="F5" s="2479">
        <v>932</v>
      </c>
      <c r="G5" s="2479">
        <v>932</v>
      </c>
      <c r="H5" s="2479">
        <v>932</v>
      </c>
      <c r="I5" s="2479">
        <v>932</v>
      </c>
      <c r="J5" s="2479">
        <v>932</v>
      </c>
      <c r="K5" s="2479">
        <v>932</v>
      </c>
      <c r="L5" s="2479">
        <v>932</v>
      </c>
      <c r="M5" s="2479">
        <v>932</v>
      </c>
      <c r="N5" s="2479">
        <v>932</v>
      </c>
    </row>
    <row r="6" spans="2:18" ht="24" customHeight="1" thickBot="1">
      <c r="B6" s="990" t="s">
        <v>619</v>
      </c>
      <c r="C6" s="1654" t="s">
        <v>796</v>
      </c>
      <c r="D6" s="1445"/>
      <c r="E6" s="1445"/>
      <c r="F6" s="1445"/>
      <c r="G6" s="1653"/>
      <c r="H6" s="1653"/>
      <c r="I6" s="1653"/>
      <c r="J6" s="1653"/>
      <c r="K6" s="1653"/>
      <c r="L6" s="2506" t="s">
        <v>504</v>
      </c>
      <c r="M6" s="2507"/>
      <c r="N6" s="2508"/>
      <c r="O6" s="2511" t="s">
        <v>1785</v>
      </c>
      <c r="P6" s="2509" t="s">
        <v>1784</v>
      </c>
    </row>
    <row r="7" spans="2:18" ht="13" customHeight="1" thickBot="1">
      <c r="B7" s="992" t="s">
        <v>1</v>
      </c>
      <c r="C7" s="1443">
        <v>45658</v>
      </c>
      <c r="D7" s="1443">
        <v>45689</v>
      </c>
      <c r="E7" s="1443">
        <v>45717</v>
      </c>
      <c r="F7" s="1443">
        <v>45748</v>
      </c>
      <c r="G7" s="1588">
        <v>45778</v>
      </c>
      <c r="H7" s="1443">
        <v>45809</v>
      </c>
      <c r="I7" s="1588">
        <v>45839</v>
      </c>
      <c r="J7" s="1588">
        <v>45870</v>
      </c>
      <c r="K7" s="1588">
        <v>45901</v>
      </c>
      <c r="L7" s="1588">
        <v>45931</v>
      </c>
      <c r="M7" s="1588">
        <v>45962</v>
      </c>
      <c r="N7" s="1443">
        <v>45992</v>
      </c>
      <c r="O7" s="2512"/>
      <c r="P7" s="2510"/>
    </row>
    <row r="8" spans="2:18" ht="13" customHeight="1" thickBot="1">
      <c r="B8" s="994" t="s">
        <v>606</v>
      </c>
      <c r="C8" s="995">
        <v>52257.137339055793</v>
      </c>
      <c r="D8" s="995">
        <v>170652.70064377683</v>
      </c>
      <c r="E8" s="1418">
        <v>303814.86909871246</v>
      </c>
      <c r="F8" s="1418">
        <v>233924.44635193134</v>
      </c>
      <c r="G8" s="1418">
        <f t="shared" ref="G8:K8" si="0">+F62</f>
        <v>120723.71995708154</v>
      </c>
      <c r="H8" s="1046">
        <f t="shared" si="0"/>
        <v>79958.162017167313</v>
      </c>
      <c r="I8" s="1046">
        <f t="shared" si="0"/>
        <v>31896.490343347556</v>
      </c>
      <c r="J8" s="1046">
        <f t="shared" si="0"/>
        <v>223662.84334763943</v>
      </c>
      <c r="K8" s="1046">
        <f t="shared" si="0"/>
        <v>357917.34549356211</v>
      </c>
      <c r="L8" s="1046">
        <f t="shared" ref="L8" si="1">+K62</f>
        <v>201391.45600858357</v>
      </c>
      <c r="M8" s="1046">
        <f t="shared" ref="M8:N8" si="2">+L62</f>
        <v>55700.806883047073</v>
      </c>
      <c r="N8" s="1046">
        <f t="shared" si="2"/>
        <v>20054.376625536286</v>
      </c>
      <c r="O8" s="2204">
        <f>SUM(C8)</f>
        <v>52257.137339055793</v>
      </c>
      <c r="P8" s="2203">
        <f>+C8</f>
        <v>52257.137339055793</v>
      </c>
    </row>
    <row r="9" spans="2:18" ht="13" customHeight="1" thickBot="1">
      <c r="B9" s="996"/>
      <c r="C9" s="1047"/>
      <c r="D9" s="1047"/>
      <c r="E9" s="1047"/>
      <c r="F9" s="1048"/>
      <c r="G9" s="1048"/>
      <c r="H9" s="1048"/>
      <c r="I9" s="1048"/>
      <c r="J9" s="1048"/>
      <c r="K9" s="1048"/>
      <c r="L9" s="1170"/>
      <c r="M9" s="1170"/>
      <c r="N9" s="1048"/>
    </row>
    <row r="10" spans="2:18" ht="13" customHeight="1" thickBot="1">
      <c r="B10" s="1040" t="s">
        <v>627</v>
      </c>
      <c r="C10" s="1676">
        <f>295745152/$C$5</f>
        <v>317323.12446351931</v>
      </c>
      <c r="D10" s="1676">
        <f>158772783/D5</f>
        <v>170357.06330472103</v>
      </c>
      <c r="E10" s="1676"/>
      <c r="F10" s="1676"/>
      <c r="G10" s="1676"/>
      <c r="H10" s="1676"/>
      <c r="I10" s="1676"/>
      <c r="J10" s="1676"/>
      <c r="K10" s="1414"/>
      <c r="L10" s="1414"/>
      <c r="M10" s="1414"/>
      <c r="N10" s="1414"/>
      <c r="O10" s="1414">
        <f>SUM(C10:N10)</f>
        <v>487680.18776824034</v>
      </c>
      <c r="P10" s="1414">
        <f>SUM(C10:K10)</f>
        <v>487680.18776824034</v>
      </c>
      <c r="R10" s="1005">
        <f>SUM(C10:K10)</f>
        <v>487680.18776824034</v>
      </c>
    </row>
    <row r="11" spans="2:18" ht="13" customHeight="1" thickBot="1">
      <c r="B11" s="1040" t="s">
        <v>626</v>
      </c>
      <c r="C11" s="1676">
        <f>41976916/C5</f>
        <v>45039.609442060086</v>
      </c>
      <c r="D11" s="1676">
        <f>351320714/D5</f>
        <v>376953.55579399143</v>
      </c>
      <c r="E11" s="1676">
        <f>+E108/E5</f>
        <v>389727.45708154509</v>
      </c>
      <c r="F11" s="1676">
        <f>+F108/932</f>
        <v>237434.48497854077</v>
      </c>
      <c r="G11" s="1676">
        <f>+G108/932</f>
        <v>272631.08476394851</v>
      </c>
      <c r="H11" s="1676">
        <f t="shared" ref="H11:N11" si="3">+H108/H5</f>
        <v>277419.07296137337</v>
      </c>
      <c r="I11" s="1676">
        <f t="shared" si="3"/>
        <v>475570.74892703863</v>
      </c>
      <c r="J11" s="1676">
        <f t="shared" si="3"/>
        <v>151482.73712446351</v>
      </c>
      <c r="K11" s="1676">
        <f t="shared" si="3"/>
        <v>297925.05042918457</v>
      </c>
      <c r="L11" s="1676">
        <f t="shared" si="3"/>
        <v>158266.46030042917</v>
      </c>
      <c r="M11" s="1676">
        <f t="shared" si="3"/>
        <v>248788.92596566523</v>
      </c>
      <c r="N11" s="1676">
        <f t="shared" si="3"/>
        <v>173207.55042918454</v>
      </c>
      <c r="O11" s="1414">
        <f>SUM(C11:N11)</f>
        <v>3104446.7381974249</v>
      </c>
      <c r="P11" s="2198">
        <f>SUM(C11:K11)</f>
        <v>2524183.8015021458</v>
      </c>
      <c r="R11" s="1005">
        <f>SUM(C11:K11)</f>
        <v>2524183.8015021458</v>
      </c>
    </row>
    <row r="12" spans="2:18" ht="13" customHeight="1" thickBot="1">
      <c r="B12" s="1040" t="s">
        <v>875</v>
      </c>
      <c r="C12" s="1003">
        <f t="shared" ref="C12:N12" si="4">SUM(C10:C11)</f>
        <v>362362.73390557943</v>
      </c>
      <c r="D12" s="1003">
        <f t="shared" si="4"/>
        <v>547310.61909871246</v>
      </c>
      <c r="E12" s="1003">
        <f t="shared" si="4"/>
        <v>389727.45708154509</v>
      </c>
      <c r="F12" s="1003">
        <f t="shared" si="4"/>
        <v>237434.48497854077</v>
      </c>
      <c r="G12" s="1003">
        <f t="shared" si="4"/>
        <v>272631.08476394851</v>
      </c>
      <c r="H12" s="1003">
        <f t="shared" si="4"/>
        <v>277419.07296137337</v>
      </c>
      <c r="I12" s="1003">
        <f t="shared" si="4"/>
        <v>475570.74892703863</v>
      </c>
      <c r="J12" s="1003">
        <f t="shared" si="4"/>
        <v>151482.73712446351</v>
      </c>
      <c r="K12" s="1003">
        <f t="shared" si="4"/>
        <v>297925.05042918457</v>
      </c>
      <c r="L12" s="1003">
        <f t="shared" si="4"/>
        <v>158266.46030042917</v>
      </c>
      <c r="M12" s="1003">
        <f t="shared" si="4"/>
        <v>248788.92596566523</v>
      </c>
      <c r="N12" s="1517">
        <f t="shared" si="4"/>
        <v>173207.55042918454</v>
      </c>
      <c r="O12" s="1517">
        <f>SUM(O10:O11)</f>
        <v>3592126.9259656654</v>
      </c>
      <c r="P12" s="2198">
        <f>SUM(P10:P11)</f>
        <v>3011863.9892703863</v>
      </c>
      <c r="R12" s="1005">
        <f>SUM(R10:R11)</f>
        <v>3011863.9892703863</v>
      </c>
    </row>
    <row r="13" spans="2:18" ht="13" customHeight="1" thickBot="1">
      <c r="B13" s="1004"/>
      <c r="C13" s="1005"/>
      <c r="D13" s="1005"/>
      <c r="E13" s="1005"/>
      <c r="F13" s="1049"/>
      <c r="G13" s="1049"/>
      <c r="H13" s="1049"/>
      <c r="I13" s="1049"/>
      <c r="J13" s="1049"/>
      <c r="K13" s="1049"/>
      <c r="L13" s="2166"/>
      <c r="M13" s="2166"/>
      <c r="N13" s="1049"/>
    </row>
    <row r="14" spans="2:18" ht="13" customHeight="1" thickBot="1">
      <c r="B14" s="1050" t="s">
        <v>600</v>
      </c>
      <c r="C14" s="1563"/>
      <c r="D14" s="1564"/>
      <c r="E14" s="1564"/>
      <c r="F14" s="1564"/>
      <c r="G14" s="1565"/>
      <c r="H14" s="1049"/>
      <c r="J14" s="1049"/>
      <c r="K14" s="1049"/>
      <c r="L14" s="2166"/>
      <c r="M14" s="2166"/>
      <c r="N14" s="1049"/>
    </row>
    <row r="15" spans="2:18" ht="13" customHeight="1">
      <c r="B15" s="1008" t="s">
        <v>7</v>
      </c>
      <c r="C15" s="1020">
        <f t="shared" ref="C15:L15" si="5">C219/C$5</f>
        <v>296365.74678111589</v>
      </c>
      <c r="D15" s="1020">
        <f t="shared" si="5"/>
        <v>217677.8551502146</v>
      </c>
      <c r="E15" s="1020">
        <f t="shared" si="5"/>
        <v>233021.5407725322</v>
      </c>
      <c r="F15" s="1020">
        <f t="shared" si="5"/>
        <v>228394.96137339057</v>
      </c>
      <c r="G15" s="1020">
        <f t="shared" si="5"/>
        <v>231362.41416309014</v>
      </c>
      <c r="H15" s="1020">
        <f t="shared" si="5"/>
        <v>243495.99356223177</v>
      </c>
      <c r="I15" s="1020">
        <f t="shared" si="5"/>
        <v>245077.71459227469</v>
      </c>
      <c r="J15" s="1020">
        <f t="shared" si="5"/>
        <v>243804.6126609442</v>
      </c>
      <c r="K15" s="1020">
        <f t="shared" si="5"/>
        <v>271946.99356223177</v>
      </c>
      <c r="L15" s="1020">
        <f t="shared" si="5"/>
        <v>276982.05793991417</v>
      </c>
      <c r="M15" s="1020">
        <f>M219/M$5</f>
        <v>266071.62339055794</v>
      </c>
      <c r="N15" s="1020">
        <f>N219/N$5</f>
        <v>328358.2650214592</v>
      </c>
      <c r="O15" s="2196">
        <f>SUM(C15:N15)</f>
        <v>3082559.7789699575</v>
      </c>
      <c r="P15" s="2196">
        <f>SUM(C15:K15)</f>
        <v>2211147.8326180261</v>
      </c>
    </row>
    <row r="16" spans="2:18" ht="13" customHeight="1">
      <c r="B16" s="1010" t="s">
        <v>8</v>
      </c>
      <c r="C16" s="1011">
        <f t="shared" ref="C16:L16" si="6">C264/C$5</f>
        <v>32187.762875536482</v>
      </c>
      <c r="D16" s="1011">
        <f t="shared" si="6"/>
        <v>101834.86909871244</v>
      </c>
      <c r="E16" s="1011">
        <f t="shared" si="6"/>
        <v>53183.325107296136</v>
      </c>
      <c r="F16" s="1011">
        <f t="shared" si="6"/>
        <v>21195.825107296136</v>
      </c>
      <c r="G16" s="1011">
        <f t="shared" si="6"/>
        <v>36226.974248927036</v>
      </c>
      <c r="H16" s="1011">
        <f t="shared" si="6"/>
        <v>61268.946351931329</v>
      </c>
      <c r="I16" s="1011">
        <f t="shared" si="6"/>
        <v>66938.033261802571</v>
      </c>
      <c r="J16" s="1011">
        <f t="shared" si="6"/>
        <v>48980.669527896993</v>
      </c>
      <c r="K16" s="1011">
        <f t="shared" si="6"/>
        <v>63646.378755364807</v>
      </c>
      <c r="L16" s="1011">
        <f t="shared" si="6"/>
        <v>126924.20278969957</v>
      </c>
      <c r="M16" s="1011">
        <f>M264/M$5</f>
        <v>59647.859442060086</v>
      </c>
      <c r="N16" s="1011">
        <f>N264/N$5</f>
        <v>59812.345493562229</v>
      </c>
      <c r="O16" s="2198">
        <f>SUM(C16:N16)</f>
        <v>731847.19206008571</v>
      </c>
      <c r="P16" s="2198">
        <f>SUM(C16:K16)</f>
        <v>485462.78433476388</v>
      </c>
    </row>
    <row r="17" spans="2:18" ht="13" customHeight="1" thickBot="1">
      <c r="B17" s="1010" t="s">
        <v>9</v>
      </c>
      <c r="C17" s="1011">
        <f t="shared" ref="C17:L17" si="7">C313/C$5</f>
        <v>46762.551502145921</v>
      </c>
      <c r="D17" s="1011">
        <f t="shared" si="7"/>
        <v>34449.546137339057</v>
      </c>
      <c r="E17" s="1011">
        <f t="shared" si="7"/>
        <v>97328.251072961371</v>
      </c>
      <c r="F17" s="1011">
        <f t="shared" si="7"/>
        <v>30391.81652360515</v>
      </c>
      <c r="G17" s="1011">
        <f t="shared" si="7"/>
        <v>12830.891630901287</v>
      </c>
      <c r="H17" s="1011">
        <f t="shared" si="7"/>
        <v>19747.437768240343</v>
      </c>
      <c r="I17" s="1011">
        <f t="shared" si="7"/>
        <v>23151.506437768239</v>
      </c>
      <c r="J17" s="1011">
        <f t="shared" si="7"/>
        <v>61059.267167381971</v>
      </c>
      <c r="K17" s="1011">
        <f t="shared" si="7"/>
        <v>61689.803648068671</v>
      </c>
      <c r="L17" s="1011">
        <f t="shared" si="7"/>
        <v>56737.710300429186</v>
      </c>
      <c r="M17" s="1011">
        <f>M313/M$5</f>
        <v>26771.986051502146</v>
      </c>
      <c r="N17" s="1011">
        <f>N313/N$5</f>
        <v>49351.8347639485</v>
      </c>
      <c r="O17" s="2197">
        <f>SUM(C17:N17)</f>
        <v>520272.60300429189</v>
      </c>
      <c r="P17" s="2198">
        <f>SUM(C17:K17)</f>
        <v>387411.071888412</v>
      </c>
    </row>
    <row r="18" spans="2:18" ht="13" customHeight="1" thickBot="1">
      <c r="B18" s="1040" t="s">
        <v>11</v>
      </c>
      <c r="C18" s="1003">
        <f t="shared" ref="C18:I18" si="8">SUM(C15:C17)</f>
        <v>375316.06115879829</v>
      </c>
      <c r="D18" s="1003">
        <f t="shared" si="8"/>
        <v>353962.27038626606</v>
      </c>
      <c r="E18" s="1003">
        <f t="shared" si="8"/>
        <v>383533.11695278971</v>
      </c>
      <c r="F18" s="1003">
        <f t="shared" si="8"/>
        <v>279982.60300429189</v>
      </c>
      <c r="G18" s="1003">
        <f t="shared" si="8"/>
        <v>280420.28004291852</v>
      </c>
      <c r="H18" s="1003">
        <f t="shared" si="8"/>
        <v>324512.37768240343</v>
      </c>
      <c r="I18" s="1003">
        <f t="shared" si="8"/>
        <v>335167.25429184549</v>
      </c>
      <c r="J18" s="1003">
        <f t="shared" ref="J18:M18" si="9">SUM(J15:J17)</f>
        <v>353844.5493562232</v>
      </c>
      <c r="K18" s="1003">
        <f t="shared" si="9"/>
        <v>397283.17596566526</v>
      </c>
      <c r="L18" s="1003">
        <f t="shared" si="9"/>
        <v>460643.97103004291</v>
      </c>
      <c r="M18" s="1003">
        <f t="shared" si="9"/>
        <v>352491.46888412023</v>
      </c>
      <c r="N18" s="1414">
        <f t="shared" ref="N18" si="10">SUM(N15:N17)</f>
        <v>437522.44527896994</v>
      </c>
      <c r="O18" s="1414">
        <f>SUM(O15:O17)</f>
        <v>4334679.5740343351</v>
      </c>
      <c r="P18" s="1414">
        <f>SUM(P15:P17)</f>
        <v>3084021.6888412018</v>
      </c>
    </row>
    <row r="19" spans="2:18" ht="13" customHeight="1" thickBot="1">
      <c r="B19" s="996"/>
      <c r="C19" s="1017"/>
      <c r="D19" s="1017"/>
      <c r="E19" s="1017"/>
      <c r="F19" s="1049"/>
      <c r="G19" s="1049"/>
      <c r="H19" s="1049"/>
      <c r="I19" s="1049"/>
      <c r="J19" s="1049"/>
      <c r="K19" s="1049"/>
      <c r="L19" s="2166"/>
      <c r="M19" s="2166"/>
      <c r="N19" s="1049"/>
      <c r="O19" s="104"/>
      <c r="P19" s="104"/>
    </row>
    <row r="20" spans="2:18" ht="13" customHeight="1" thickBot="1">
      <c r="B20" s="998" t="s">
        <v>601</v>
      </c>
      <c r="C20" s="1017"/>
      <c r="D20" s="1017"/>
      <c r="E20" s="1017"/>
      <c r="F20" s="1049"/>
      <c r="G20" s="1049"/>
      <c r="H20" s="1049"/>
      <c r="J20" s="1049"/>
      <c r="K20" s="1049"/>
      <c r="L20" s="2166"/>
      <c r="M20" s="2166"/>
      <c r="N20" s="1049"/>
      <c r="O20" s="988"/>
      <c r="P20" s="988"/>
    </row>
    <row r="21" spans="2:18" ht="13" customHeight="1">
      <c r="B21" s="1019" t="s">
        <v>614</v>
      </c>
      <c r="C21" s="1020">
        <f t="shared" ref="C21:L21" si="11">+C337/C$5</f>
        <v>13124.477467811159</v>
      </c>
      <c r="D21" s="1020">
        <f t="shared" si="11"/>
        <v>41659.74785407725</v>
      </c>
      <c r="E21" s="1020">
        <f t="shared" si="11"/>
        <v>39422.748927038629</v>
      </c>
      <c r="F21" s="1020">
        <f t="shared" si="11"/>
        <v>38934.069742489271</v>
      </c>
      <c r="G21" s="1020">
        <f t="shared" si="11"/>
        <v>34836.984978540771</v>
      </c>
      <c r="H21" s="1020">
        <f t="shared" si="11"/>
        <v>34231.01824034335</v>
      </c>
      <c r="I21" s="1020">
        <f t="shared" si="11"/>
        <v>35772.86480686695</v>
      </c>
      <c r="J21" s="1020">
        <f t="shared" si="11"/>
        <v>38882.344420600857</v>
      </c>
      <c r="K21" s="1020">
        <f t="shared" si="11"/>
        <v>39594.158798283264</v>
      </c>
      <c r="L21" s="1020">
        <f t="shared" si="11"/>
        <v>7887.4935622317598</v>
      </c>
      <c r="M21" s="1020">
        <f>+M337/M$5</f>
        <v>6600.3465665236054</v>
      </c>
      <c r="N21" s="1020">
        <f>+N337/N$5</f>
        <v>32452.513948497854</v>
      </c>
      <c r="O21" s="2202">
        <f>SUM(C21:N21)</f>
        <v>363398.76931330469</v>
      </c>
      <c r="P21" s="2198">
        <f>SUM(C21:K21)</f>
        <v>316458.41523605149</v>
      </c>
    </row>
    <row r="22" spans="2:18" ht="13" customHeight="1" thickBot="1">
      <c r="B22" s="1021" t="s">
        <v>13</v>
      </c>
      <c r="C22" s="1013">
        <f t="shared" ref="C22:L22" si="12">+C382/C$5</f>
        <v>5312.622317596567</v>
      </c>
      <c r="D22" s="1013">
        <f t="shared" si="12"/>
        <v>26504.619098712446</v>
      </c>
      <c r="E22" s="1013">
        <f t="shared" si="12"/>
        <v>16943.313304721029</v>
      </c>
      <c r="F22" s="1013">
        <f t="shared" si="12"/>
        <v>22590.673819742489</v>
      </c>
      <c r="G22" s="1013">
        <f t="shared" si="12"/>
        <v>15258.224248927039</v>
      </c>
      <c r="H22" s="1013">
        <f t="shared" si="12"/>
        <v>21822.772532188843</v>
      </c>
      <c r="I22" s="1013">
        <f t="shared" si="12"/>
        <v>24787.06652360515</v>
      </c>
      <c r="J22" s="1013">
        <f t="shared" si="12"/>
        <v>23611.128755364807</v>
      </c>
      <c r="K22" s="1013">
        <f t="shared" si="12"/>
        <v>18993.990343347639</v>
      </c>
      <c r="L22" s="1013">
        <f t="shared" si="12"/>
        <v>44654.195278969957</v>
      </c>
      <c r="M22" s="1013">
        <f>+M382/M$5</f>
        <v>33126.2982832618</v>
      </c>
      <c r="N22" s="1013">
        <f>+N382/N$5</f>
        <v>25530.576180257511</v>
      </c>
      <c r="O22" s="2197">
        <f>SUM(C22:N22)</f>
        <v>279135.48068669526</v>
      </c>
      <c r="P22" s="2198">
        <f>SUM(C22:K22)</f>
        <v>175824.410944206</v>
      </c>
    </row>
    <row r="23" spans="2:18" ht="13" customHeight="1" thickBot="1">
      <c r="B23" s="1040" t="s">
        <v>613</v>
      </c>
      <c r="C23" s="1003">
        <f t="shared" ref="C23:I23" si="13">SUM(C21:C22)</f>
        <v>18437.099785407725</v>
      </c>
      <c r="D23" s="1003">
        <f t="shared" si="13"/>
        <v>68164.3669527897</v>
      </c>
      <c r="E23" s="1003">
        <f t="shared" si="13"/>
        <v>56366.062231759657</v>
      </c>
      <c r="F23" s="1003">
        <f t="shared" si="13"/>
        <v>61524.743562231757</v>
      </c>
      <c r="G23" s="1003">
        <f t="shared" si="13"/>
        <v>50095.209227467814</v>
      </c>
      <c r="H23" s="1003">
        <f t="shared" si="13"/>
        <v>56053.790772532193</v>
      </c>
      <c r="I23" s="1003">
        <f t="shared" si="13"/>
        <v>60559.9313304721</v>
      </c>
      <c r="J23" s="1003">
        <f t="shared" ref="J23:M23" si="14">SUM(J21:J22)</f>
        <v>62493.473175965664</v>
      </c>
      <c r="K23" s="1003">
        <f t="shared" si="14"/>
        <v>58588.1491416309</v>
      </c>
      <c r="L23" s="1003">
        <f t="shared" si="14"/>
        <v>52541.688841201714</v>
      </c>
      <c r="M23" s="1003">
        <f t="shared" si="14"/>
        <v>39726.644849785407</v>
      </c>
      <c r="N23" s="1414">
        <f t="shared" ref="N23:P23" si="15">SUM(N21:N22)</f>
        <v>57983.090128755364</v>
      </c>
      <c r="O23" s="1414">
        <f>SUM(O21:O22)</f>
        <v>642534.25</v>
      </c>
      <c r="P23" s="1414">
        <f t="shared" si="15"/>
        <v>492282.82618025749</v>
      </c>
    </row>
    <row r="24" spans="2:18" ht="13" customHeight="1" thickBot="1">
      <c r="B24" s="996"/>
      <c r="C24" s="1017"/>
      <c r="D24" s="1017"/>
      <c r="E24" s="1017"/>
      <c r="F24" s="1049"/>
      <c r="G24" s="1049"/>
      <c r="H24" s="1049"/>
      <c r="J24" s="1049"/>
      <c r="K24" s="1049"/>
      <c r="L24" s="2166"/>
      <c r="M24" s="2166"/>
      <c r="N24" s="1049"/>
      <c r="O24" s="1049"/>
      <c r="P24" s="1049"/>
    </row>
    <row r="25" spans="2:18" ht="13" customHeight="1" thickBot="1">
      <c r="B25" s="1040" t="s">
        <v>604</v>
      </c>
      <c r="C25" s="1024">
        <f t="shared" ref="C25:L25" si="16">+C317/C$5</f>
        <v>3523.4871244635192</v>
      </c>
      <c r="D25" s="1024">
        <f t="shared" si="16"/>
        <v>0</v>
      </c>
      <c r="E25" s="1024">
        <f t="shared" si="16"/>
        <v>0</v>
      </c>
      <c r="F25" s="1024">
        <f t="shared" si="16"/>
        <v>0</v>
      </c>
      <c r="G25" s="1024">
        <f t="shared" si="16"/>
        <v>9619.3143776824036</v>
      </c>
      <c r="H25" s="1024">
        <f t="shared" si="16"/>
        <v>0</v>
      </c>
      <c r="I25" s="1024">
        <f t="shared" si="16"/>
        <v>0</v>
      </c>
      <c r="J25" s="1024">
        <f t="shared" si="16"/>
        <v>8910.8830472103</v>
      </c>
      <c r="K25" s="1024">
        <f t="shared" si="16"/>
        <v>0</v>
      </c>
      <c r="L25" s="1024">
        <f t="shared" si="16"/>
        <v>0</v>
      </c>
      <c r="M25" s="1024">
        <f>+M317/M$5</f>
        <v>0</v>
      </c>
      <c r="N25" s="1024">
        <f>+N317/N$5</f>
        <v>0</v>
      </c>
      <c r="O25" s="2287">
        <f>SUM(C25:N25)</f>
        <v>22053.684549356221</v>
      </c>
      <c r="P25" s="2286">
        <f>SUM(C25:K25)</f>
        <v>22053.684549356221</v>
      </c>
    </row>
    <row r="26" spans="2:18" ht="13" customHeight="1" thickBot="1">
      <c r="B26" s="996"/>
      <c r="C26" s="1017"/>
      <c r="D26" s="1017"/>
      <c r="E26" s="1017"/>
      <c r="F26" s="1049"/>
      <c r="G26" s="1049"/>
      <c r="H26" s="1049"/>
      <c r="I26" s="1049"/>
      <c r="J26" s="1049"/>
      <c r="K26" s="1049"/>
      <c r="L26" s="2166"/>
      <c r="M26" s="2166"/>
      <c r="N26" s="1049"/>
      <c r="O26" s="1049"/>
      <c r="P26" s="1049"/>
    </row>
    <row r="27" spans="2:18" ht="13" customHeight="1" thickBot="1">
      <c r="B27" s="1040" t="s">
        <v>1020</v>
      </c>
      <c r="C27" s="1446">
        <f>SUM(C12-C18-C23-C25)</f>
        <v>-34913.914163090099</v>
      </c>
      <c r="D27" s="1446">
        <f t="shared" ref="D27:N27" si="17">SUM(D12-D18-D23-D25)</f>
        <v>125183.9817596567</v>
      </c>
      <c r="E27" s="1446">
        <f t="shared" si="17"/>
        <v>-50171.722103004286</v>
      </c>
      <c r="F27" s="1446">
        <f t="shared" si="17"/>
        <v>-104072.86158798287</v>
      </c>
      <c r="G27" s="1446">
        <f t="shared" si="17"/>
        <v>-67503.718884120215</v>
      </c>
      <c r="H27" s="1446">
        <f>SUM(H12-H18-H23-H25)</f>
        <v>-103147.09549356226</v>
      </c>
      <c r="I27" s="1447">
        <f>SUM(I12-I18-I23-I25)</f>
        <v>79843.563304721043</v>
      </c>
      <c r="J27" s="1447">
        <f>SUM(J12-J18-J23-J25)</f>
        <v>-273766.16845493566</v>
      </c>
      <c r="K27" s="1447">
        <f>SUM(K12-K18-K23-K25)</f>
        <v>-157946.2746781116</v>
      </c>
      <c r="L27" s="1446">
        <f t="shared" si="17"/>
        <v>-354919.19957081543</v>
      </c>
      <c r="M27" s="1446">
        <f t="shared" si="17"/>
        <v>-143429.1877682404</v>
      </c>
      <c r="N27" s="1446">
        <f t="shared" si="17"/>
        <v>-322297.98497854074</v>
      </c>
      <c r="O27" s="1446">
        <f>SUM(O12-O18-O23-O25)</f>
        <v>-1407140.5826180258</v>
      </c>
      <c r="P27" s="1446">
        <f>SUM(P12-P18-P23-P25)</f>
        <v>-586494.21030042926</v>
      </c>
    </row>
    <row r="28" spans="2:18" ht="13" customHeight="1">
      <c r="B28" s="996"/>
      <c r="C28" s="1017"/>
      <c r="D28" s="1017"/>
      <c r="E28" s="1017"/>
      <c r="F28" s="1049"/>
      <c r="G28" s="1049"/>
      <c r="H28" s="1049"/>
      <c r="I28" s="1049"/>
      <c r="J28" s="1049"/>
      <c r="K28" s="1049"/>
      <c r="L28" s="2166"/>
      <c r="M28" s="2166"/>
      <c r="N28" s="1049"/>
    </row>
    <row r="29" spans="2:18" ht="13" customHeight="1" thickBot="1">
      <c r="B29" s="996"/>
      <c r="C29" s="1049"/>
      <c r="D29" s="1049"/>
      <c r="E29" s="1049"/>
      <c r="F29" s="1049"/>
      <c r="G29" s="1049"/>
      <c r="H29" s="1049"/>
      <c r="I29" s="1049"/>
      <c r="J29" s="1049"/>
      <c r="K29" s="1049"/>
      <c r="L29" s="2166"/>
      <c r="M29" s="2166"/>
      <c r="N29" s="1049"/>
    </row>
    <row r="30" spans="2:18" ht="13" customHeight="1" thickBot="1">
      <c r="B30" s="998" t="s">
        <v>5</v>
      </c>
      <c r="C30" s="1057"/>
      <c r="D30" s="1026"/>
      <c r="E30" s="1026"/>
      <c r="F30" s="1049"/>
      <c r="G30" s="1049"/>
      <c r="H30" s="1049"/>
      <c r="J30" s="1049"/>
      <c r="K30" s="1049"/>
      <c r="L30" s="2166"/>
      <c r="M30" s="2166"/>
      <c r="N30" s="1049"/>
    </row>
    <row r="31" spans="2:18" ht="13" customHeight="1">
      <c r="B31" s="1203" t="s">
        <v>623</v>
      </c>
      <c r="C31" s="1591">
        <f>+C112/C5</f>
        <v>69432.939914163086</v>
      </c>
      <c r="D31" s="1591">
        <f>+D112/D5</f>
        <v>104811.89592274679</v>
      </c>
      <c r="E31" s="1591">
        <f>+E112/E5</f>
        <v>75208.023605150214</v>
      </c>
      <c r="F31" s="1591">
        <f>+F112/932</f>
        <v>47094.724248927036</v>
      </c>
      <c r="G31" s="1591">
        <f>+G112/932</f>
        <v>62773.512875536479</v>
      </c>
      <c r="H31" s="1591">
        <f t="shared" ref="H31:M31" si="18">+H112/H5</f>
        <v>53789.214592274679</v>
      </c>
      <c r="I31" s="1591">
        <f t="shared" si="18"/>
        <v>103658.78433476394</v>
      </c>
      <c r="J31" s="1591">
        <f t="shared" si="18"/>
        <v>35825.605150214593</v>
      </c>
      <c r="K31" s="1591">
        <f t="shared" si="18"/>
        <v>57280.831545064379</v>
      </c>
      <c r="L31" s="1591">
        <f t="shared" si="18"/>
        <v>32498.942060085836</v>
      </c>
      <c r="M31" s="1591">
        <f t="shared" si="18"/>
        <v>37753.159871244636</v>
      </c>
      <c r="N31" s="1591">
        <f t="shared" ref="N31" si="19">+N112/N5</f>
        <v>32909.43347639485</v>
      </c>
      <c r="O31" s="2202">
        <f>SUM(C31:N31)</f>
        <v>713037.06759656651</v>
      </c>
      <c r="P31" s="2202">
        <f t="shared" ref="P31:P40" si="20">SUM(C31:K31)</f>
        <v>609875.53218884114</v>
      </c>
    </row>
    <row r="32" spans="2:18" ht="13" customHeight="1">
      <c r="B32" s="1769" t="s">
        <v>1354</v>
      </c>
      <c r="C32" s="1770">
        <f>+C127/C5</f>
        <v>57052.603004291843</v>
      </c>
      <c r="D32" s="1770">
        <f>+D127/D5</f>
        <v>113524.19957081546</v>
      </c>
      <c r="E32" s="1770"/>
      <c r="F32" s="1770">
        <f>(+F127+F122)/932</f>
        <v>146563.30150214591</v>
      </c>
      <c r="G32" s="1770">
        <f t="shared" ref="G32:L32" si="21">+G127/932</f>
        <v>9291.9935622317589</v>
      </c>
      <c r="H32" s="1770">
        <f t="shared" si="21"/>
        <v>0</v>
      </c>
      <c r="I32" s="1770">
        <f t="shared" si="21"/>
        <v>0</v>
      </c>
      <c r="J32" s="1770">
        <f t="shared" si="21"/>
        <v>0</v>
      </c>
      <c r="K32" s="1770">
        <f t="shared" si="21"/>
        <v>27214.363733905579</v>
      </c>
      <c r="L32" s="1770">
        <f t="shared" si="21"/>
        <v>0</v>
      </c>
      <c r="M32" s="1770">
        <f t="shared" ref="M32:N32" si="22">+M127/932</f>
        <v>0</v>
      </c>
      <c r="N32" s="1770">
        <f t="shared" si="22"/>
        <v>0</v>
      </c>
      <c r="O32" s="2199">
        <f>SUM(C32:N32)</f>
        <v>353646.46137339063</v>
      </c>
      <c r="P32" s="2199">
        <f>SUM(C32:K32)</f>
        <v>353646.46137339063</v>
      </c>
      <c r="R32" s="1005"/>
    </row>
    <row r="33" spans="2:18" ht="13" customHeight="1">
      <c r="B33" s="1769" t="s">
        <v>1885</v>
      </c>
      <c r="C33" s="2430"/>
      <c r="D33" s="2430"/>
      <c r="E33" s="2430"/>
      <c r="F33" s="2430"/>
      <c r="G33" s="2430"/>
      <c r="H33" s="2430"/>
      <c r="I33" s="2430"/>
      <c r="J33" s="2430"/>
      <c r="K33" s="2430"/>
      <c r="L33" s="2430"/>
      <c r="M33" s="1770">
        <f>+M125/932</f>
        <v>26824.03433476395</v>
      </c>
      <c r="N33" s="1770">
        <f>+N125/932</f>
        <v>4862.8755364806866</v>
      </c>
      <c r="O33" s="2199">
        <f>SUM(C33:N33)</f>
        <v>31686.909871244636</v>
      </c>
      <c r="P33" s="2199">
        <f>SUM(C33:K33)</f>
        <v>0</v>
      </c>
      <c r="R33" s="1005"/>
    </row>
    <row r="34" spans="2:18" ht="13" customHeight="1">
      <c r="B34" s="1059" t="s">
        <v>1806</v>
      </c>
      <c r="C34" s="1062">
        <f>+C118</f>
        <v>0</v>
      </c>
      <c r="D34" s="1062">
        <f t="shared" ref="D34" si="23">+D118</f>
        <v>0</v>
      </c>
      <c r="E34" s="1062">
        <f t="shared" ref="E34:L34" si="24">+E118/E5</f>
        <v>5265.8025751072964</v>
      </c>
      <c r="F34" s="1062">
        <f t="shared" si="24"/>
        <v>10432.480686695279</v>
      </c>
      <c r="G34" s="1062">
        <f t="shared" si="24"/>
        <v>40299.509656652357</v>
      </c>
      <c r="H34" s="1062">
        <f t="shared" si="24"/>
        <v>0</v>
      </c>
      <c r="I34" s="1062">
        <f t="shared" si="24"/>
        <v>67413.997854077257</v>
      </c>
      <c r="J34" s="1062">
        <f t="shared" si="24"/>
        <v>37073.081545064379</v>
      </c>
      <c r="K34" s="1062">
        <f t="shared" si="24"/>
        <v>3553.0075107296138</v>
      </c>
      <c r="L34" s="1062">
        <f t="shared" si="24"/>
        <v>23055.238197424893</v>
      </c>
      <c r="M34" s="1062">
        <f t="shared" ref="M34:N34" si="25">+M118/M5</f>
        <v>0</v>
      </c>
      <c r="N34" s="1062">
        <f t="shared" si="25"/>
        <v>0</v>
      </c>
      <c r="O34" s="2198">
        <f t="shared" ref="O34:O40" si="26">SUM(C34:N34)</f>
        <v>187093.11802575106</v>
      </c>
      <c r="P34" s="2198">
        <f t="shared" si="20"/>
        <v>164037.87982832617</v>
      </c>
      <c r="R34" s="1005"/>
    </row>
    <row r="35" spans="2:18" ht="13" customHeight="1">
      <c r="B35" s="1059" t="s">
        <v>879</v>
      </c>
      <c r="C35" s="1062">
        <f>+C121/C5</f>
        <v>134087.98497854077</v>
      </c>
      <c r="D35" s="1062"/>
      <c r="E35" s="1592">
        <f>+E121/D5</f>
        <v>0</v>
      </c>
      <c r="F35" s="1592">
        <f>+F121/E5</f>
        <v>0</v>
      </c>
      <c r="G35" s="1592">
        <f>+G121/F5</f>
        <v>0</v>
      </c>
      <c r="H35" s="1592">
        <f>+H121/G5</f>
        <v>0</v>
      </c>
      <c r="I35" s="1592">
        <f>+I121/H5</f>
        <v>0</v>
      </c>
      <c r="J35" s="1592">
        <f>+J119/J5</f>
        <v>459872.82296137337</v>
      </c>
      <c r="K35" s="1592">
        <f>+K119/K5</f>
        <v>0</v>
      </c>
      <c r="L35" s="1592">
        <f>+L119/L5</f>
        <v>154199.13735515022</v>
      </c>
      <c r="M35" s="1592">
        <f>+M121/M5</f>
        <v>120289.84012875537</v>
      </c>
      <c r="N35" s="1592">
        <f>+N121/N5</f>
        <v>0</v>
      </c>
      <c r="O35" s="2198">
        <f t="shared" si="26"/>
        <v>868449.78542381967</v>
      </c>
      <c r="P35" s="2198">
        <f t="shared" si="20"/>
        <v>593960.80793991417</v>
      </c>
      <c r="R35" s="1005"/>
    </row>
    <row r="36" spans="2:18" ht="13" customHeight="1">
      <c r="B36" s="1059" t="s">
        <v>1029</v>
      </c>
      <c r="C36" s="1062"/>
      <c r="D36" s="1062"/>
      <c r="E36" s="1592">
        <f>(+E117)/E5</f>
        <v>14640.396995708155</v>
      </c>
      <c r="F36" s="1592">
        <f>+F117/F5</f>
        <v>48275.159871244636</v>
      </c>
      <c r="G36" s="1592">
        <f t="shared" ref="G36:L36" si="27">+G117/932</f>
        <v>32259.953862660943</v>
      </c>
      <c r="H36" s="1592">
        <f t="shared" si="27"/>
        <v>0</v>
      </c>
      <c r="I36" s="1592">
        <f t="shared" si="27"/>
        <v>46679.405579399143</v>
      </c>
      <c r="J36" s="1592">
        <f t="shared" si="27"/>
        <v>0</v>
      </c>
      <c r="K36" s="1592">
        <f t="shared" si="27"/>
        <v>0</v>
      </c>
      <c r="L36" s="1592">
        <f t="shared" si="27"/>
        <v>0</v>
      </c>
      <c r="M36" s="1592">
        <f t="shared" ref="M36:N36" si="28">+M117/932</f>
        <v>0</v>
      </c>
      <c r="N36" s="1592">
        <f t="shared" si="28"/>
        <v>390966.73819742491</v>
      </c>
      <c r="O36" s="2198">
        <f t="shared" si="26"/>
        <v>532821.65450643783</v>
      </c>
      <c r="P36" s="2198">
        <f t="shared" si="20"/>
        <v>141854.91630901289</v>
      </c>
    </row>
    <row r="37" spans="2:18" ht="13" customHeight="1">
      <c r="B37" s="1063" t="s">
        <v>876</v>
      </c>
      <c r="C37" s="1029"/>
      <c r="D37" s="1064"/>
      <c r="E37" s="1592">
        <f t="shared" ref="E37:L37" si="29">+E120/E5</f>
        <v>5175.8927038626607</v>
      </c>
      <c r="F37" s="1592">
        <f t="shared" si="29"/>
        <v>0</v>
      </c>
      <c r="G37" s="1592">
        <f t="shared" si="29"/>
        <v>0</v>
      </c>
      <c r="H37" s="1592">
        <f t="shared" si="29"/>
        <v>0</v>
      </c>
      <c r="I37" s="1592">
        <f t="shared" si="29"/>
        <v>0</v>
      </c>
      <c r="J37" s="1592">
        <f t="shared" si="29"/>
        <v>0</v>
      </c>
      <c r="K37" s="1592">
        <f t="shared" si="29"/>
        <v>0</v>
      </c>
      <c r="L37" s="1592">
        <f t="shared" si="29"/>
        <v>0</v>
      </c>
      <c r="M37" s="1592">
        <f t="shared" ref="M37:N37" si="30">+M120/M5</f>
        <v>0</v>
      </c>
      <c r="N37" s="1592">
        <f t="shared" si="30"/>
        <v>0</v>
      </c>
      <c r="O37" s="2198">
        <f t="shared" si="26"/>
        <v>5175.8927038626607</v>
      </c>
      <c r="P37" s="2198">
        <f t="shared" si="20"/>
        <v>5175.8927038626607</v>
      </c>
    </row>
    <row r="38" spans="2:18" ht="13" customHeight="1">
      <c r="B38" s="1028" t="s">
        <v>1014</v>
      </c>
      <c r="C38" s="1027"/>
      <c r="D38" s="1062">
        <f>+D124/D5</f>
        <v>10399.31652360515</v>
      </c>
      <c r="E38" s="1592"/>
      <c r="F38" s="1592">
        <f>+F124/932</f>
        <v>11315.144849785407</v>
      </c>
      <c r="G38" s="1592"/>
      <c r="H38" s="1592"/>
      <c r="I38" s="1592"/>
      <c r="J38" s="1592"/>
      <c r="K38" s="1592"/>
      <c r="L38" s="1592"/>
      <c r="M38" s="1592"/>
      <c r="N38" s="1592"/>
      <c r="O38" s="2198">
        <f t="shared" si="26"/>
        <v>21714.461373390557</v>
      </c>
      <c r="P38" s="2198">
        <f t="shared" si="20"/>
        <v>21714.461373390557</v>
      </c>
    </row>
    <row r="39" spans="2:18" ht="13" customHeight="1">
      <c r="B39" s="1065" t="s">
        <v>1255</v>
      </c>
      <c r="C39" s="1066">
        <f>+C123/C5</f>
        <v>703.28540772532187</v>
      </c>
      <c r="D39" s="1067"/>
      <c r="E39" s="1592"/>
      <c r="F39" s="1592"/>
      <c r="G39" s="1592">
        <f t="shared" ref="G39:L39" si="31">(+G123+G124)/932</f>
        <v>15361.519313304721</v>
      </c>
      <c r="H39" s="1592">
        <f t="shared" si="31"/>
        <v>0</v>
      </c>
      <c r="I39" s="1592">
        <f t="shared" si="31"/>
        <v>1266.618025751073</v>
      </c>
      <c r="J39" s="1592">
        <f t="shared" si="31"/>
        <v>0</v>
      </c>
      <c r="K39" s="1592">
        <f t="shared" si="31"/>
        <v>516.93991416309018</v>
      </c>
      <c r="L39" s="1592">
        <f t="shared" si="31"/>
        <v>13.927038626609441</v>
      </c>
      <c r="M39" s="1592">
        <f t="shared" ref="M39:N39" si="32">(+M123+M124)/932</f>
        <v>415.80686695278968</v>
      </c>
      <c r="N39" s="1592">
        <f t="shared" si="32"/>
        <v>119.83583690987125</v>
      </c>
      <c r="O39" s="2198">
        <f t="shared" si="26"/>
        <v>18397.932403433475</v>
      </c>
      <c r="P39" s="2198">
        <f t="shared" si="20"/>
        <v>17848.362660944204</v>
      </c>
    </row>
    <row r="40" spans="2:18" ht="13" customHeight="1" thickBot="1">
      <c r="B40" s="1030" t="s">
        <v>882</v>
      </c>
      <c r="C40" s="1069"/>
      <c r="D40" s="1070"/>
      <c r="E40" s="1593">
        <v>0</v>
      </c>
      <c r="F40" s="1593">
        <v>0</v>
      </c>
      <c r="G40" s="1593">
        <v>0</v>
      </c>
      <c r="H40" s="1593">
        <f t="shared" ref="H40:M40" si="33">+H126/H5</f>
        <v>89784.033261802571</v>
      </c>
      <c r="I40" s="1593">
        <f t="shared" si="33"/>
        <v>0</v>
      </c>
      <c r="J40" s="1593">
        <f t="shared" si="33"/>
        <v>0</v>
      </c>
      <c r="K40" s="1593">
        <f t="shared" si="33"/>
        <v>0</v>
      </c>
      <c r="L40" s="1593">
        <f t="shared" si="33"/>
        <v>81630.901287553643</v>
      </c>
      <c r="M40" s="1593">
        <f t="shared" si="33"/>
        <v>0</v>
      </c>
      <c r="N40" s="1593">
        <f t="shared" ref="N40" si="34">+N126/N5</f>
        <v>0</v>
      </c>
      <c r="O40" s="2197">
        <f t="shared" si="26"/>
        <v>171414.93454935623</v>
      </c>
      <c r="P40" s="2216">
        <f t="shared" si="20"/>
        <v>89784.033261802571</v>
      </c>
    </row>
    <row r="41" spans="2:18" ht="13" customHeight="1" thickBot="1">
      <c r="B41" s="1031" t="s">
        <v>5</v>
      </c>
      <c r="C41" s="1032">
        <f t="shared" ref="C41:M41" si="35">SUM(C31:C40)</f>
        <v>261276.81330472103</v>
      </c>
      <c r="D41" s="1032">
        <f t="shared" si="35"/>
        <v>228735.41201716737</v>
      </c>
      <c r="E41" s="1032">
        <f t="shared" si="35"/>
        <v>100290.11587982833</v>
      </c>
      <c r="F41" s="1032">
        <f t="shared" si="35"/>
        <v>263680.81115879829</v>
      </c>
      <c r="G41" s="1032">
        <f t="shared" si="35"/>
        <v>159986.48927038626</v>
      </c>
      <c r="H41" s="1032">
        <f t="shared" si="35"/>
        <v>143573.24785407726</v>
      </c>
      <c r="I41" s="1032">
        <f t="shared" si="35"/>
        <v>219018.80579399143</v>
      </c>
      <c r="J41" s="1032">
        <f t="shared" si="35"/>
        <v>532771.50965665234</v>
      </c>
      <c r="K41" s="1032">
        <f t="shared" si="35"/>
        <v>88565.142703862657</v>
      </c>
      <c r="L41" s="1032">
        <f t="shared" si="35"/>
        <v>291398.14593884116</v>
      </c>
      <c r="M41" s="1032">
        <f t="shared" si="35"/>
        <v>185282.84120171674</v>
      </c>
      <c r="N41" s="1071">
        <f t="shared" ref="N41" si="36">SUM(N31:N40)</f>
        <v>428858.88304721034</v>
      </c>
      <c r="O41" s="1071">
        <f>SUM(O31:O40)</f>
        <v>2903438.2178272535</v>
      </c>
      <c r="P41" s="1071">
        <f>SUM(P31:P40)</f>
        <v>1997898.347639485</v>
      </c>
    </row>
    <row r="42" spans="2:18" ht="13" customHeight="1" thickBot="1">
      <c r="B42" s="996"/>
      <c r="C42" s="1026">
        <f>+'Tabla datos unidades'!D2</f>
        <v>0</v>
      </c>
      <c r="D42" s="1026"/>
      <c r="E42" s="1026"/>
      <c r="F42" s="1049"/>
      <c r="G42" s="1049"/>
      <c r="H42" s="1049"/>
      <c r="I42" s="1049"/>
      <c r="J42" s="1049"/>
      <c r="K42" s="1049"/>
      <c r="L42" s="2166"/>
      <c r="M42" s="2166"/>
      <c r="N42" s="1049"/>
      <c r="O42" s="1049"/>
      <c r="P42" s="1049"/>
    </row>
    <row r="43" spans="2:18" ht="13" customHeight="1" thickBot="1">
      <c r="B43" s="1001" t="s">
        <v>616</v>
      </c>
      <c r="C43" s="1026"/>
      <c r="D43" s="1026"/>
      <c r="E43" s="1026"/>
      <c r="F43" s="1049"/>
      <c r="G43" s="1049"/>
      <c r="H43" s="1049"/>
      <c r="I43" s="1049"/>
      <c r="J43" s="1049"/>
      <c r="K43" s="1049"/>
      <c r="L43" s="2166"/>
      <c r="M43" s="2166"/>
      <c r="N43" s="1049"/>
      <c r="O43" s="1049"/>
      <c r="P43" s="1049"/>
    </row>
    <row r="44" spans="2:18" ht="13" customHeight="1">
      <c r="B44" s="1072" t="s">
        <v>15</v>
      </c>
      <c r="C44" s="1073">
        <f>SUM(C390)/$C$5</f>
        <v>34979.333690987121</v>
      </c>
      <c r="D44" s="1073">
        <f>SUM(+D390/$D$5)</f>
        <v>63266.4517167382</v>
      </c>
      <c r="E44" s="1594">
        <f>SUM(E390)/$E$5</f>
        <v>11946.347639484979</v>
      </c>
      <c r="F44" s="1594">
        <f>SUM(F390)/$E$5</f>
        <v>31666.326180257511</v>
      </c>
      <c r="G44" s="1594">
        <f>SUM(G390)/$E$5</f>
        <v>65886.450643776829</v>
      </c>
      <c r="H44" s="1594">
        <f t="shared" ref="H44:L44" si="37">(+H387+H388)/932</f>
        <v>41468.2660944206</v>
      </c>
      <c r="I44" s="1594">
        <f t="shared" si="37"/>
        <v>8884.0879828326179</v>
      </c>
      <c r="J44" s="1594">
        <f t="shared" si="37"/>
        <v>86387.474248927043</v>
      </c>
      <c r="K44" s="1594">
        <f t="shared" si="37"/>
        <v>27284.614806866954</v>
      </c>
      <c r="L44" s="1594">
        <f t="shared" si="37"/>
        <v>47891.938841201714</v>
      </c>
      <c r="M44" s="1594">
        <f>(+M387+M388)/932</f>
        <v>45200.180257510729</v>
      </c>
      <c r="N44" s="1594">
        <f t="shared" ref="N44" si="38">(+N387+N388)/932</f>
        <v>24253.625536480686</v>
      </c>
      <c r="O44" s="2196">
        <f>SUM(C44:N44)</f>
        <v>489115.09763948503</v>
      </c>
      <c r="P44" s="2196">
        <f t="shared" ref="P44:P45" si="39">SUM(C44:K44)</f>
        <v>371769.35300429189</v>
      </c>
    </row>
    <row r="45" spans="2:18" ht="13" customHeight="1">
      <c r="B45" s="1075" t="s">
        <v>607</v>
      </c>
      <c r="C45" s="1076">
        <f>+C394/$C$5</f>
        <v>7459.9184549356223</v>
      </c>
      <c r="D45" s="1076">
        <f>+D394/$D$5</f>
        <v>7447.972103004292</v>
      </c>
      <c r="E45" s="1595">
        <f>+E394/$E$5</f>
        <v>7527.5021459227464</v>
      </c>
      <c r="F45" s="1595">
        <f t="shared" ref="F45:H47" si="40">+F394/932</f>
        <v>7557.4699570815446</v>
      </c>
      <c r="G45" s="1595">
        <f t="shared" ref="G45" si="41">+G394/932</f>
        <v>7593.5633047210304</v>
      </c>
      <c r="H45" s="1595">
        <f t="shared" si="40"/>
        <v>7608.8283261802571</v>
      </c>
      <c r="I45" s="1595">
        <f t="shared" ref="I45:J45" si="42">+I394/932</f>
        <v>7622.1137339055795</v>
      </c>
      <c r="J45" s="1595">
        <f t="shared" si="42"/>
        <v>7593.1609442060089</v>
      </c>
      <c r="K45" s="1595">
        <f t="shared" ref="K45:L45" si="43">+K394/932</f>
        <v>7660.0675965665232</v>
      </c>
      <c r="L45" s="1595">
        <f t="shared" si="43"/>
        <v>7660.6148068669527</v>
      </c>
      <c r="M45" s="1595">
        <f t="shared" ref="M45:N47" si="44">+M394/932</f>
        <v>7689.8229613733902</v>
      </c>
      <c r="N45" s="1595">
        <f t="shared" si="44"/>
        <v>7690.1233905579402</v>
      </c>
      <c r="O45" s="2198">
        <f>SUM(C45:N45)</f>
        <v>91111.157725321886</v>
      </c>
      <c r="P45" s="2198">
        <f t="shared" si="39"/>
        <v>68070.5965665236</v>
      </c>
    </row>
    <row r="46" spans="2:18" ht="13" customHeight="1">
      <c r="B46" s="1075" t="s">
        <v>602</v>
      </c>
      <c r="C46" s="1076">
        <f>+C395/$C$5</f>
        <v>20139.6169527897</v>
      </c>
      <c r="D46" s="1076">
        <f>+D395/$D$5</f>
        <v>20125.995708154507</v>
      </c>
      <c r="E46" s="1595">
        <f>+E395/$E$5</f>
        <v>20113.230686695279</v>
      </c>
      <c r="F46" s="1595">
        <f t="shared" si="40"/>
        <v>20118.0321888412</v>
      </c>
      <c r="G46" s="1595">
        <f t="shared" ref="G46" si="45">+G395/932</f>
        <v>20099.052575107296</v>
      </c>
      <c r="H46" s="1595">
        <f t="shared" si="40"/>
        <v>20097.424892703864</v>
      </c>
      <c r="I46" s="1595">
        <f t="shared" ref="I46:J46" si="46">+I395/932</f>
        <v>20091.003218884121</v>
      </c>
      <c r="J46" s="1595">
        <f t="shared" si="46"/>
        <v>20078.587982832618</v>
      </c>
      <c r="K46" s="1595">
        <f t="shared" ref="K46:L46" si="47">+K395/932</f>
        <v>20073.063304721029</v>
      </c>
      <c r="L46" s="1595">
        <f t="shared" si="47"/>
        <v>20064.778969957082</v>
      </c>
      <c r="M46" s="1595">
        <f t="shared" si="44"/>
        <v>20055.862660944207</v>
      </c>
      <c r="N46" s="1595">
        <f t="shared" si="44"/>
        <v>20047.678111587982</v>
      </c>
      <c r="O46" s="2198">
        <f>SUM(C46:N46)</f>
        <v>241104.32725321889</v>
      </c>
      <c r="P46" s="2198">
        <f t="shared" ref="P46:P48" si="48">SUM(C46:K46)</f>
        <v>180936.00751072963</v>
      </c>
    </row>
    <row r="47" spans="2:18" ht="13" customHeight="1">
      <c r="B47" s="1078" t="s">
        <v>603</v>
      </c>
      <c r="C47" s="1079">
        <f>+C396</f>
        <v>0</v>
      </c>
      <c r="D47" s="1079">
        <f>+D396/D5</f>
        <v>11057.31330472103</v>
      </c>
      <c r="E47" s="1595">
        <f>+E396/E5</f>
        <v>3045.9935622317598</v>
      </c>
      <c r="F47" s="1595">
        <f t="shared" si="40"/>
        <v>4191.388412017167</v>
      </c>
      <c r="G47" s="1595">
        <f t="shared" ref="G47" si="49">+G396/932</f>
        <v>4968.3143776824036</v>
      </c>
      <c r="H47" s="1595">
        <f t="shared" si="40"/>
        <v>0</v>
      </c>
      <c r="I47" s="1595">
        <f t="shared" ref="I47:J47" si="50">+I396/932</f>
        <v>4169.6663090128759</v>
      </c>
      <c r="J47" s="1595">
        <f t="shared" si="50"/>
        <v>3045.9935622317598</v>
      </c>
      <c r="K47" s="1595">
        <f t="shared" ref="K47:L47" si="51">+K396/932</f>
        <v>1922.3208154506437</v>
      </c>
      <c r="L47" s="1595">
        <f t="shared" si="51"/>
        <v>4169.6663090128759</v>
      </c>
      <c r="M47" s="1595">
        <f t="shared" si="44"/>
        <v>1922.3208154506437</v>
      </c>
      <c r="N47" s="1595">
        <f t="shared" si="44"/>
        <v>3046.31652360515</v>
      </c>
      <c r="O47" s="2198">
        <f>SUM(C47:N47)</f>
        <v>41539.293991416307</v>
      </c>
      <c r="P47" s="2198">
        <f t="shared" si="48"/>
        <v>32400.990343347639</v>
      </c>
    </row>
    <row r="48" spans="2:18" ht="13" customHeight="1" thickBot="1">
      <c r="B48" s="1080" t="s">
        <v>881</v>
      </c>
      <c r="C48" s="1081"/>
      <c r="D48" s="1082"/>
      <c r="E48" s="1596">
        <f>E126/E5*-1</f>
        <v>0</v>
      </c>
      <c r="F48" s="1596">
        <f>F126/F5*-1</f>
        <v>0</v>
      </c>
      <c r="G48" s="1596">
        <f>G126/G5*-1</f>
        <v>0</v>
      </c>
      <c r="H48" s="1596"/>
      <c r="I48" s="1596"/>
      <c r="J48" s="1596"/>
      <c r="K48" s="1596"/>
      <c r="L48" s="1596"/>
      <c r="M48" s="1596"/>
      <c r="N48" s="1596"/>
      <c r="O48" s="2197">
        <f>SUM(C48:N48)</f>
        <v>0</v>
      </c>
      <c r="P48" s="2197">
        <f t="shared" si="48"/>
        <v>0</v>
      </c>
    </row>
    <row r="49" spans="2:16" ht="13" customHeight="1" thickBot="1">
      <c r="B49" s="1083" t="s">
        <v>631</v>
      </c>
      <c r="C49" s="1084">
        <f t="shared" ref="C49:I49" si="52">SUM(C44:C48)</f>
        <v>62578.869098712443</v>
      </c>
      <c r="D49" s="1084">
        <f t="shared" si="52"/>
        <v>101897.73283261803</v>
      </c>
      <c r="E49" s="1035">
        <f t="shared" si="52"/>
        <v>42633.074034334757</v>
      </c>
      <c r="F49" s="1035">
        <f t="shared" si="52"/>
        <v>63533.216738197421</v>
      </c>
      <c r="G49" s="1035">
        <f t="shared" si="52"/>
        <v>98547.380901287557</v>
      </c>
      <c r="H49" s="1035">
        <f t="shared" si="52"/>
        <v>69174.519313304714</v>
      </c>
      <c r="I49" s="1035">
        <f t="shared" si="52"/>
        <v>40766.871244635193</v>
      </c>
      <c r="J49" s="1035">
        <f t="shared" ref="J49:M49" si="53">SUM(J44:J48)</f>
        <v>117105.21673819743</v>
      </c>
      <c r="K49" s="1035">
        <f t="shared" si="53"/>
        <v>56940.06652360515</v>
      </c>
      <c r="L49" s="1035">
        <f t="shared" si="53"/>
        <v>79786.998927038614</v>
      </c>
      <c r="M49" s="1035">
        <f t="shared" si="53"/>
        <v>74868.186695278971</v>
      </c>
      <c r="N49" s="1071">
        <f t="shared" ref="N49" si="54">SUM(N44:N48)</f>
        <v>55037.743562231757</v>
      </c>
      <c r="O49" s="1071">
        <f>SUM(O44:O48)</f>
        <v>862869.87660944206</v>
      </c>
      <c r="P49" s="1071">
        <f>SUM(P44:P48)</f>
        <v>653176.9474248928</v>
      </c>
    </row>
    <row r="50" spans="2:16" ht="13" customHeight="1" thickBot="1">
      <c r="F50" s="1049"/>
      <c r="G50" s="1049"/>
      <c r="H50" s="1049"/>
      <c r="I50" s="1049"/>
      <c r="J50" s="1049"/>
      <c r="K50" s="1049"/>
      <c r="L50" s="2166"/>
      <c r="M50" s="2166"/>
      <c r="N50" s="1049"/>
      <c r="O50" s="1049"/>
      <c r="P50" s="1049"/>
    </row>
    <row r="51" spans="2:16" ht="13" customHeight="1" thickBot="1">
      <c r="B51" s="1085" t="s">
        <v>617</v>
      </c>
      <c r="C51" s="1086"/>
      <c r="D51" s="991"/>
      <c r="E51" s="991"/>
      <c r="F51" s="1049"/>
      <c r="G51" s="1049"/>
      <c r="H51" s="1049"/>
      <c r="I51" s="1049"/>
      <c r="J51" s="1049"/>
      <c r="K51" s="1049"/>
      <c r="L51" s="2166"/>
      <c r="M51" s="2166"/>
      <c r="N51" s="1049"/>
      <c r="O51" s="1049"/>
      <c r="P51" s="1049"/>
    </row>
    <row r="52" spans="2:16" ht="13" customHeight="1">
      <c r="B52" s="1087" t="s">
        <v>610</v>
      </c>
      <c r="C52" s="1088">
        <f>SUM(C400/932)</f>
        <v>21128.810085836911</v>
      </c>
      <c r="D52" s="1089"/>
      <c r="E52" s="1600">
        <f>+E400/E5</f>
        <v>15004.844420600859</v>
      </c>
      <c r="F52" s="1600">
        <f>+F400/F5</f>
        <v>63157.351931330471</v>
      </c>
      <c r="G52" s="1600">
        <f>+G400/G5</f>
        <v>21578.873390557939</v>
      </c>
      <c r="H52" s="1832">
        <f t="shared" ref="H52:I53" si="55">+H400/932</f>
        <v>19313.304721030043</v>
      </c>
      <c r="I52" s="1832">
        <f t="shared" si="55"/>
        <v>56691.817596566521</v>
      </c>
      <c r="J52" s="1832">
        <f t="shared" ref="J52:K52" si="56">+J400/932</f>
        <v>7645.622317596567</v>
      </c>
      <c r="K52" s="1832">
        <f t="shared" si="56"/>
        <v>0</v>
      </c>
      <c r="L52" s="1832">
        <f t="shared" ref="L52" si="57">+L400/932</f>
        <v>0</v>
      </c>
      <c r="M52" s="1832">
        <f>+M400/932</f>
        <v>0</v>
      </c>
      <c r="N52" s="1832">
        <f t="shared" ref="N52" si="58">+N400/932</f>
        <v>0</v>
      </c>
      <c r="O52" s="2196">
        <f t="shared" ref="O52:O57" si="59">SUM(C52:N52)</f>
        <v>204520.62446351931</v>
      </c>
      <c r="P52" s="2196">
        <f t="shared" ref="P52:P57" si="60">SUM(C52:K52)</f>
        <v>204520.62446351931</v>
      </c>
    </row>
    <row r="53" spans="2:16" ht="13" customHeight="1">
      <c r="B53" s="1449" t="s">
        <v>880</v>
      </c>
      <c r="C53" s="1450">
        <f>(11900000+10710000)/C5</f>
        <v>24259.656652360514</v>
      </c>
      <c r="D53" s="1450">
        <f>+D401/E5</f>
        <v>113524.19957081546</v>
      </c>
      <c r="E53" s="1597">
        <f>+E401/E5</f>
        <v>57052.603004291843</v>
      </c>
      <c r="F53" s="1597">
        <f>+F401/F5</f>
        <v>140964.7092274678</v>
      </c>
      <c r="G53" s="1597">
        <f>+G401/G5</f>
        <v>9291.9935622317589</v>
      </c>
      <c r="H53" s="1597">
        <f t="shared" si="55"/>
        <v>0</v>
      </c>
      <c r="I53" s="1597">
        <f t="shared" si="55"/>
        <v>0</v>
      </c>
      <c r="J53" s="1597">
        <f t="shared" ref="J53:K53" si="61">+J401/932</f>
        <v>0</v>
      </c>
      <c r="K53" s="1597">
        <f t="shared" si="61"/>
        <v>27214.363733905579</v>
      </c>
      <c r="L53" s="1597">
        <f t="shared" ref="L53" si="62">+L401/932</f>
        <v>0</v>
      </c>
      <c r="M53" s="1597">
        <f>+M401/932</f>
        <v>0</v>
      </c>
      <c r="N53" s="1597">
        <f t="shared" ref="N53" si="63">+N401/932</f>
        <v>388.0772532188841</v>
      </c>
      <c r="O53" s="2201">
        <f t="shared" si="59"/>
        <v>372695.60300429189</v>
      </c>
      <c r="P53" s="2200">
        <f t="shared" si="60"/>
        <v>372307.52575107303</v>
      </c>
    </row>
    <row r="54" spans="2:16" ht="13" customHeight="1">
      <c r="B54" s="1091" t="s">
        <v>877</v>
      </c>
      <c r="C54" s="1092"/>
      <c r="D54" s="1092"/>
      <c r="E54" s="1598">
        <f>+E403/E5</f>
        <v>5318.2950643776821</v>
      </c>
      <c r="F54" s="1598">
        <f>+F403/F5</f>
        <v>0</v>
      </c>
      <c r="G54" s="1598">
        <f>+G403/G5</f>
        <v>0</v>
      </c>
      <c r="H54" s="1598">
        <f>+H402/H5</f>
        <v>0</v>
      </c>
      <c r="I54" s="1598">
        <f>+I402/I5</f>
        <v>0</v>
      </c>
      <c r="J54" s="1598">
        <f>+J402/J5</f>
        <v>0</v>
      </c>
      <c r="K54" s="1598">
        <f>+K403/K5</f>
        <v>1851.8798283261804</v>
      </c>
      <c r="L54" s="1598">
        <f>+L403/L5</f>
        <v>0</v>
      </c>
      <c r="M54" s="1598">
        <f>+M403/M5</f>
        <v>0</v>
      </c>
      <c r="N54" s="1598">
        <f>+N403/N5</f>
        <v>0</v>
      </c>
      <c r="O54" s="2198">
        <f t="shared" si="59"/>
        <v>7170.1748927038625</v>
      </c>
      <c r="P54" s="2198">
        <f t="shared" si="60"/>
        <v>7170.1748927038625</v>
      </c>
    </row>
    <row r="55" spans="2:16" ht="13" customHeight="1">
      <c r="B55" s="1091" t="s">
        <v>878</v>
      </c>
      <c r="C55" s="1092"/>
      <c r="D55" s="1092">
        <f>+D404/E5</f>
        <v>5335.2929184549357</v>
      </c>
      <c r="E55" s="1598"/>
      <c r="F55" s="1598"/>
      <c r="G55" s="1598"/>
      <c r="H55" s="1598"/>
      <c r="I55" s="1598"/>
      <c r="J55" s="1598"/>
      <c r="K55" s="1598"/>
      <c r="L55" s="1598"/>
      <c r="M55" s="1598"/>
      <c r="N55" s="1598">
        <v>46749.957081545064</v>
      </c>
      <c r="O55" s="2198">
        <f t="shared" si="59"/>
        <v>52085.25</v>
      </c>
      <c r="P55" s="2198">
        <f t="shared" si="60"/>
        <v>5335.2929184549357</v>
      </c>
    </row>
    <row r="56" spans="2:16" ht="13" customHeight="1">
      <c r="B56" s="1091" t="s">
        <v>1529</v>
      </c>
      <c r="C56" s="1092"/>
      <c r="D56" s="1092"/>
      <c r="E56" s="1598"/>
      <c r="F56" s="1598">
        <f>(+F402)/932</f>
        <v>4860.6942060085839</v>
      </c>
      <c r="G56" s="1598">
        <f>(+G402)/932</f>
        <v>0</v>
      </c>
      <c r="H56" s="1598">
        <v>0</v>
      </c>
      <c r="I56" s="1598">
        <f t="shared" ref="I56:N56" si="64">+I404/I5</f>
        <v>126.67918454935622</v>
      </c>
      <c r="J56" s="1598">
        <f t="shared" si="64"/>
        <v>0</v>
      </c>
      <c r="K56" s="1598">
        <f t="shared" si="64"/>
        <v>0</v>
      </c>
      <c r="L56" s="1598">
        <f t="shared" si="64"/>
        <v>0</v>
      </c>
      <c r="M56" s="1598">
        <f t="shared" si="64"/>
        <v>0</v>
      </c>
      <c r="N56" s="1598">
        <f t="shared" si="64"/>
        <v>0</v>
      </c>
      <c r="O56" s="2198">
        <f t="shared" si="59"/>
        <v>4987.3733905579402</v>
      </c>
      <c r="P56" s="2198">
        <f t="shared" si="60"/>
        <v>4987.3733905579402</v>
      </c>
    </row>
    <row r="57" spans="2:16" ht="13" customHeight="1" thickBot="1">
      <c r="B57" s="1589" t="s">
        <v>1363</v>
      </c>
      <c r="C57" s="1590"/>
      <c r="D57" s="1590"/>
      <c r="E57" s="1599"/>
      <c r="F57" s="1599">
        <f t="shared" ref="F57:K57" si="65">+F405/932</f>
        <v>292.7038626609442</v>
      </c>
      <c r="G57" s="1599">
        <f t="shared" ref="G57" si="66">+G405/932</f>
        <v>3830.0804721030045</v>
      </c>
      <c r="H57" s="1599">
        <f t="shared" si="65"/>
        <v>0</v>
      </c>
      <c r="I57" s="1599">
        <f t="shared" si="65"/>
        <v>9510.6480686695286</v>
      </c>
      <c r="J57" s="1599">
        <f t="shared" si="65"/>
        <v>0</v>
      </c>
      <c r="K57" s="1599">
        <f t="shared" si="65"/>
        <v>1138.4474248927038</v>
      </c>
      <c r="L57" s="1599">
        <f t="shared" ref="L57" si="67">+L405/932</f>
        <v>2382.5965665236054</v>
      </c>
      <c r="M57" s="1599">
        <f>+M405/932</f>
        <v>2631.8969957081545</v>
      </c>
      <c r="N57" s="1599">
        <f t="shared" ref="N57" si="68">+N405/932</f>
        <v>1155.4399141630902</v>
      </c>
      <c r="O57" s="2198">
        <f t="shared" si="59"/>
        <v>20941.813304721029</v>
      </c>
      <c r="P57" s="2197">
        <f t="shared" si="60"/>
        <v>14771.87982832618</v>
      </c>
    </row>
    <row r="58" spans="2:16" ht="13" customHeight="1" thickBot="1">
      <c r="B58" s="1083" t="s">
        <v>608</v>
      </c>
      <c r="C58" s="1094">
        <f>SUM(C52:C56)</f>
        <v>45388.466738197429</v>
      </c>
      <c r="D58" s="1094">
        <f>SUM(D52:D56)</f>
        <v>118859.4924892704</v>
      </c>
      <c r="E58" s="1094">
        <f>SUM(E52:E56)</f>
        <v>77375.742489270386</v>
      </c>
      <c r="F58" s="1094">
        <f t="shared" ref="F58:N58" si="69">SUM(F52:F57)</f>
        <v>209275.4592274678</v>
      </c>
      <c r="G58" s="1094">
        <f t="shared" si="69"/>
        <v>34700.947424892707</v>
      </c>
      <c r="H58" s="1094">
        <f t="shared" si="69"/>
        <v>19313.304721030043</v>
      </c>
      <c r="I58" s="1094">
        <f t="shared" si="69"/>
        <v>66329.1448497854</v>
      </c>
      <c r="J58" s="1094">
        <f t="shared" si="69"/>
        <v>7645.622317596567</v>
      </c>
      <c r="K58" s="1094">
        <f t="shared" si="69"/>
        <v>30204.690987124461</v>
      </c>
      <c r="L58" s="1094">
        <f t="shared" si="69"/>
        <v>2382.5965665236054</v>
      </c>
      <c r="M58" s="1094">
        <f t="shared" si="69"/>
        <v>2631.8969957081545</v>
      </c>
      <c r="N58" s="1094">
        <f t="shared" si="69"/>
        <v>48293.474248927043</v>
      </c>
      <c r="O58" s="1415">
        <f>SUM(O52:O57)</f>
        <v>662400.83905579406</v>
      </c>
      <c r="P58" s="1415">
        <f>SUM(P52:P57)</f>
        <v>609092.87124463532</v>
      </c>
    </row>
    <row r="59" spans="2:16" ht="13" customHeight="1" thickBot="1">
      <c r="B59" s="1038"/>
      <c r="C59" s="1039"/>
      <c r="D59" s="1039"/>
      <c r="E59" s="1039"/>
      <c r="F59" s="1049"/>
      <c r="G59" s="1049"/>
      <c r="H59" s="1049"/>
      <c r="I59" s="1049"/>
      <c r="J59" s="1049"/>
      <c r="K59" s="1049"/>
      <c r="L59" s="2166"/>
      <c r="M59" s="2166"/>
      <c r="N59" s="1049"/>
      <c r="O59" s="1049"/>
      <c r="P59" s="1049"/>
    </row>
    <row r="60" spans="2:16" ht="13" customHeight="1" thickBot="1">
      <c r="B60" s="1040" t="s">
        <v>618</v>
      </c>
      <c r="C60" s="1041">
        <f>SUM(C27+C41-C49-C58)</f>
        <v>118395.56330472103</v>
      </c>
      <c r="D60" s="1041">
        <f t="shared" ref="D60:N60" si="70">SUM(D27+D41-D49-D58)</f>
        <v>133162.16845493563</v>
      </c>
      <c r="E60" s="1095">
        <f t="shared" si="70"/>
        <v>-69890.4227467811</v>
      </c>
      <c r="F60" s="1095">
        <f t="shared" si="70"/>
        <v>-113200.7263948498</v>
      </c>
      <c r="G60" s="1095">
        <f t="shared" si="70"/>
        <v>-40765.557939914223</v>
      </c>
      <c r="H60" s="1095">
        <f>SUM(H27+H41-H49-H58)</f>
        <v>-48061.671673819757</v>
      </c>
      <c r="I60" s="1096">
        <f>SUM(I27+I41-I49-I58)</f>
        <v>191766.35300429186</v>
      </c>
      <c r="J60" s="1096">
        <f>SUM(J27+J41-J49-J58)</f>
        <v>134254.50214592268</v>
      </c>
      <c r="K60" s="1095">
        <f>SUM(K27+K41-K49-K58)</f>
        <v>-156525.88948497854</v>
      </c>
      <c r="L60" s="2167">
        <f t="shared" si="70"/>
        <v>-145690.6491255365</v>
      </c>
      <c r="M60" s="2167">
        <f t="shared" si="70"/>
        <v>-35646.430257510787</v>
      </c>
      <c r="N60" s="1095">
        <f t="shared" si="70"/>
        <v>3229.6802575108013</v>
      </c>
      <c r="O60" s="1095">
        <f>SUM(O27+O41-O49-O58)</f>
        <v>-28973.080456008436</v>
      </c>
      <c r="P60" s="1096">
        <f>SUM(P27+P41-P49-P58)</f>
        <v>149134.31866952765</v>
      </c>
    </row>
    <row r="61" spans="2:16" ht="13" customHeight="1" thickBot="1">
      <c r="C61" s="991"/>
      <c r="D61" s="991"/>
      <c r="E61" s="991"/>
      <c r="F61" s="991"/>
      <c r="G61" s="987"/>
      <c r="H61" s="991"/>
      <c r="I61" s="991"/>
      <c r="J61" s="991"/>
      <c r="K61" s="991"/>
      <c r="N61" s="991"/>
      <c r="O61" s="991"/>
      <c r="P61" s="1052"/>
    </row>
    <row r="62" spans="2:16" ht="13" customHeight="1" thickBot="1">
      <c r="B62" s="1040" t="s">
        <v>622</v>
      </c>
      <c r="C62" s="1041">
        <f>SUM(C8+C60)</f>
        <v>170652.70064377683</v>
      </c>
      <c r="D62" s="1041">
        <f t="shared" ref="D62:P62" si="71">SUM(D8+D60)</f>
        <v>303814.86909871246</v>
      </c>
      <c r="E62" s="1041">
        <f t="shared" si="71"/>
        <v>233924.44635193137</v>
      </c>
      <c r="F62" s="1041">
        <f t="shared" si="71"/>
        <v>120723.71995708154</v>
      </c>
      <c r="G62" s="1041">
        <f t="shared" si="71"/>
        <v>79958.162017167313</v>
      </c>
      <c r="H62" s="1096">
        <f t="shared" si="71"/>
        <v>31896.490343347556</v>
      </c>
      <c r="I62" s="1096">
        <f t="shared" si="71"/>
        <v>223662.84334763943</v>
      </c>
      <c r="J62" s="1096">
        <f t="shared" si="71"/>
        <v>357917.34549356211</v>
      </c>
      <c r="K62" s="1937">
        <f t="shared" si="71"/>
        <v>201391.45600858357</v>
      </c>
      <c r="L62" s="2167">
        <f t="shared" si="71"/>
        <v>55700.806883047073</v>
      </c>
      <c r="M62" s="2167">
        <f t="shared" si="71"/>
        <v>20054.376625536286</v>
      </c>
      <c r="N62" s="1095">
        <f t="shared" si="71"/>
        <v>23284.056883047087</v>
      </c>
      <c r="O62" s="1095">
        <f>SUM(O8+O60)</f>
        <v>23284.056883047357</v>
      </c>
      <c r="P62" s="1096">
        <f t="shared" si="71"/>
        <v>201391.45600858345</v>
      </c>
    </row>
    <row r="63" spans="2:16" ht="13" customHeight="1">
      <c r="B63" s="984"/>
      <c r="C63" s="991">
        <f>+C412/C5</f>
        <v>170652.70064377683</v>
      </c>
      <c r="D63" s="991">
        <f>+D412/D5</f>
        <v>303814.86909871246</v>
      </c>
      <c r="E63" s="991">
        <f>+E412/E5</f>
        <v>233924.44635193134</v>
      </c>
      <c r="F63" s="991">
        <f>+F412/F5</f>
        <v>120723.71995708154</v>
      </c>
      <c r="G63" s="991">
        <f>+G412/932</f>
        <v>79958.162017167386</v>
      </c>
      <c r="H63" s="991">
        <f>+H412/H5</f>
        <v>31896.490343347639</v>
      </c>
      <c r="I63" s="991">
        <f>+I412/I5</f>
        <v>223662.84227467811</v>
      </c>
      <c r="J63" s="991">
        <f>+J412/J5</f>
        <v>357917.34334763949</v>
      </c>
      <c r="K63" s="991">
        <f>+K412/K5</f>
        <v>201391.45278969957</v>
      </c>
      <c r="N63" s="987"/>
      <c r="O63" s="987"/>
      <c r="P63" s="987"/>
    </row>
    <row r="64" spans="2:16" ht="13" customHeight="1">
      <c r="B64" s="1098"/>
      <c r="C64" s="1099"/>
      <c r="D64" s="1099"/>
      <c r="E64" s="1099"/>
      <c r="F64" s="1099"/>
      <c r="G64" s="1518"/>
      <c r="H64" s="1099"/>
      <c r="I64" s="1099"/>
      <c r="J64" s="1099"/>
      <c r="K64" s="1099"/>
      <c r="L64" s="2168"/>
      <c r="M64" s="2168"/>
      <c r="N64" s="1099"/>
      <c r="O64" s="1099"/>
      <c r="P64" s="1099"/>
    </row>
    <row r="65" spans="2:16" ht="13" customHeight="1">
      <c r="C65" s="987"/>
      <c r="D65" s="987"/>
      <c r="E65" s="987"/>
      <c r="F65" s="987"/>
      <c r="G65" s="987"/>
      <c r="H65" s="987"/>
      <c r="I65" s="987"/>
      <c r="J65" s="987"/>
      <c r="K65" s="987"/>
    </row>
    <row r="66" spans="2:16" ht="13" customHeight="1">
      <c r="C66" s="987"/>
      <c r="D66" s="987"/>
      <c r="E66" s="987"/>
      <c r="F66" s="987"/>
      <c r="G66" s="987"/>
      <c r="H66" s="987"/>
      <c r="I66" s="987"/>
      <c r="J66" s="987"/>
      <c r="K66" s="987"/>
    </row>
    <row r="67" spans="2:16" ht="13" customHeight="1">
      <c r="C67" s="991"/>
      <c r="D67" s="1097"/>
      <c r="E67" s="987"/>
      <c r="J67" s="1136"/>
      <c r="K67" s="1136"/>
      <c r="L67" s="2176"/>
      <c r="M67" s="1170"/>
      <c r="P67" s="991"/>
    </row>
    <row r="68" spans="2:16" ht="13" customHeight="1">
      <c r="B68" s="984"/>
      <c r="C68" s="991"/>
      <c r="D68" s="991"/>
      <c r="E68" s="991"/>
      <c r="I68" s="985"/>
      <c r="J68" s="1048"/>
      <c r="K68" s="1048"/>
      <c r="L68" s="1170"/>
      <c r="M68" s="1170"/>
    </row>
    <row r="69" spans="2:16" ht="13" customHeight="1" thickBot="1">
      <c r="B69" s="984"/>
      <c r="C69" s="986"/>
      <c r="D69" s="986"/>
      <c r="E69" s="986"/>
      <c r="F69" s="986"/>
      <c r="G69" s="986"/>
      <c r="H69" s="989"/>
      <c r="I69" s="985"/>
      <c r="J69" s="917"/>
      <c r="K69" s="1831"/>
      <c r="L69" s="2169"/>
      <c r="M69" s="985"/>
    </row>
    <row r="70" spans="2:16" ht="13" customHeight="1" thickBot="1">
      <c r="B70" s="1101" t="s">
        <v>21</v>
      </c>
      <c r="C70" s="993">
        <v>45658</v>
      </c>
      <c r="D70" s="993">
        <v>45689</v>
      </c>
      <c r="E70" s="993">
        <v>45717</v>
      </c>
      <c r="F70" s="993">
        <v>45748</v>
      </c>
      <c r="G70" s="993">
        <v>45778</v>
      </c>
      <c r="H70" s="993">
        <v>45809</v>
      </c>
      <c r="I70" s="993">
        <v>45839</v>
      </c>
      <c r="J70" s="993">
        <v>45870</v>
      </c>
      <c r="K70" s="993">
        <v>45901</v>
      </c>
      <c r="L70" s="993">
        <v>45931</v>
      </c>
      <c r="M70" s="993">
        <v>45962</v>
      </c>
      <c r="N70" s="993">
        <v>45992</v>
      </c>
    </row>
    <row r="71" spans="2:16" ht="13" customHeight="1" thickBot="1">
      <c r="B71" s="1102" t="s">
        <v>22</v>
      </c>
      <c r="C71" s="1103" t="s">
        <v>23</v>
      </c>
      <c r="D71" s="1103" t="s">
        <v>23</v>
      </c>
      <c r="E71" s="1103" t="s">
        <v>23</v>
      </c>
      <c r="F71" s="1103" t="s">
        <v>23</v>
      </c>
      <c r="G71" s="1103" t="s">
        <v>23</v>
      </c>
      <c r="H71" s="1103" t="s">
        <v>23</v>
      </c>
      <c r="I71" s="1103" t="s">
        <v>23</v>
      </c>
      <c r="J71" s="1103" t="s">
        <v>23</v>
      </c>
      <c r="K71" s="1103" t="s">
        <v>23</v>
      </c>
      <c r="L71" s="1103" t="s">
        <v>23</v>
      </c>
      <c r="M71" s="1103" t="s">
        <v>23</v>
      </c>
      <c r="N71" s="1103" t="s">
        <v>23</v>
      </c>
    </row>
    <row r="72" spans="2:16" ht="13" customHeight="1">
      <c r="B72" s="1104" t="s">
        <v>1838</v>
      </c>
      <c r="C72" s="1105"/>
      <c r="D72" s="1106"/>
      <c r="E72" s="1106"/>
      <c r="F72" s="1107"/>
      <c r="G72" s="1476"/>
      <c r="H72" s="1476"/>
      <c r="I72" s="1476"/>
      <c r="J72" s="1476"/>
      <c r="K72" s="1476"/>
      <c r="L72" s="1476">
        <v>11254887</v>
      </c>
      <c r="M72" s="1476">
        <v>47414137</v>
      </c>
      <c r="N72" s="1476">
        <v>0</v>
      </c>
    </row>
    <row r="73" spans="2:16" ht="13" customHeight="1">
      <c r="B73" s="1104" t="s">
        <v>24</v>
      </c>
      <c r="C73" s="1105">
        <v>83858385</v>
      </c>
      <c r="D73" s="1106"/>
      <c r="E73" s="1106"/>
      <c r="F73" s="1107"/>
      <c r="G73" s="1476"/>
      <c r="H73" s="1476"/>
      <c r="I73" s="1476"/>
      <c r="J73" s="1476"/>
      <c r="K73" s="1476"/>
      <c r="L73" s="1476"/>
      <c r="M73" s="1476"/>
      <c r="N73" s="1476">
        <v>0</v>
      </c>
    </row>
    <row r="74" spans="2:16" ht="13" customHeight="1">
      <c r="B74" s="1104" t="s">
        <v>1432</v>
      </c>
      <c r="C74" s="1825"/>
      <c r="D74" s="1826"/>
      <c r="E74" s="1826"/>
      <c r="F74" s="1806"/>
      <c r="G74" s="1807"/>
      <c r="H74" s="1528">
        <v>100617860</v>
      </c>
      <c r="I74" s="1528"/>
      <c r="J74" s="1528"/>
      <c r="K74" s="1528"/>
      <c r="L74" s="1476"/>
      <c r="M74" s="1476"/>
      <c r="N74" s="1476">
        <v>0</v>
      </c>
    </row>
    <row r="75" spans="2:16" ht="13" customHeight="1">
      <c r="B75" s="1109" t="s">
        <v>374</v>
      </c>
      <c r="C75" s="1105">
        <v>82670896</v>
      </c>
      <c r="D75" s="1108">
        <f>+'Facturas e Ingresos 2025'!E20+'Facturas e Ingresos 2025'!E28</f>
        <v>150942195</v>
      </c>
      <c r="E75" s="1108">
        <v>44047733</v>
      </c>
      <c r="F75" s="1108">
        <v>39685751</v>
      </c>
      <c r="G75" s="1108"/>
      <c r="H75" s="1108"/>
      <c r="I75" s="1108"/>
      <c r="J75" s="1108"/>
      <c r="K75" s="1108"/>
      <c r="L75" s="1476"/>
      <c r="M75" s="1476"/>
      <c r="N75" s="1476">
        <v>0</v>
      </c>
    </row>
    <row r="76" spans="2:16" ht="13" customHeight="1">
      <c r="B76" s="1104" t="s">
        <v>375</v>
      </c>
      <c r="C76" s="1827">
        <v>80377561</v>
      </c>
      <c r="D76" s="1107"/>
      <c r="E76" s="1107"/>
      <c r="F76" s="1107"/>
      <c r="G76" s="1107"/>
      <c r="H76" s="1107"/>
      <c r="I76" s="1107"/>
      <c r="J76" s="1107"/>
      <c r="K76" s="1107"/>
      <c r="L76" s="1476"/>
      <c r="M76" s="1476"/>
      <c r="N76" s="1476">
        <v>0</v>
      </c>
    </row>
    <row r="77" spans="2:16" ht="13" customHeight="1">
      <c r="B77" s="1104" t="s">
        <v>509</v>
      </c>
      <c r="C77" s="1105">
        <v>41976916</v>
      </c>
      <c r="D77" s="1106">
        <f>+'Facturas e Ingresos 2025'!E31</f>
        <v>9265729</v>
      </c>
      <c r="E77" s="1106">
        <v>14847194</v>
      </c>
      <c r="F77" s="1107"/>
      <c r="G77" s="1528">
        <v>10870940</v>
      </c>
      <c r="H77" s="1528"/>
      <c r="I77" s="1528">
        <v>27818176</v>
      </c>
      <c r="J77" s="1528"/>
      <c r="K77" s="1528"/>
      <c r="L77" s="1476"/>
      <c r="M77" s="1476"/>
      <c r="N77" s="1476">
        <v>0</v>
      </c>
    </row>
    <row r="78" spans="2:16" ht="13" customHeight="1">
      <c r="B78" s="1104" t="s">
        <v>1433</v>
      </c>
      <c r="C78" s="1825"/>
      <c r="D78" s="1826"/>
      <c r="E78" s="1826"/>
      <c r="F78" s="1806"/>
      <c r="G78" s="1808"/>
      <c r="H78" s="1808">
        <v>14385310</v>
      </c>
      <c r="I78" s="1808"/>
      <c r="J78" s="1808"/>
      <c r="K78" s="1808"/>
      <c r="L78" s="1476"/>
      <c r="M78" s="1476"/>
      <c r="N78" s="1476">
        <v>0</v>
      </c>
    </row>
    <row r="79" spans="2:16" ht="13" customHeight="1">
      <c r="B79" s="1104" t="s">
        <v>1434</v>
      </c>
      <c r="C79" s="1825"/>
      <c r="D79" s="1826"/>
      <c r="E79" s="1826"/>
      <c r="F79" s="1806"/>
      <c r="G79" s="1808"/>
      <c r="H79" s="1808">
        <v>29985727</v>
      </c>
      <c r="I79" s="1528"/>
      <c r="J79" s="1528"/>
      <c r="K79" s="1528"/>
      <c r="L79" s="1476"/>
      <c r="M79" s="1476"/>
      <c r="N79" s="1476">
        <v>0</v>
      </c>
    </row>
    <row r="80" spans="2:16" ht="13" customHeight="1">
      <c r="B80" s="2366" t="s">
        <v>1839</v>
      </c>
      <c r="C80" s="2367"/>
      <c r="D80" s="2368"/>
      <c r="E80" s="2368"/>
      <c r="F80" s="2369"/>
      <c r="G80" s="2370"/>
      <c r="H80" s="2370"/>
      <c r="I80" s="2370"/>
      <c r="J80" s="2370"/>
      <c r="K80" s="2370"/>
      <c r="L80" s="1476">
        <v>31899667</v>
      </c>
      <c r="M80" s="1476"/>
      <c r="N80" s="1476">
        <v>0</v>
      </c>
    </row>
    <row r="81" spans="2:14" ht="13" customHeight="1">
      <c r="B81" s="1109" t="s">
        <v>977</v>
      </c>
      <c r="C81" s="1105"/>
      <c r="D81" s="1108">
        <f>+'Facturas e Ingresos 2025'!E22</f>
        <v>14077368</v>
      </c>
      <c r="E81" s="1108"/>
      <c r="F81" s="1107"/>
      <c r="G81" s="1107"/>
      <c r="H81" s="1107"/>
      <c r="I81" s="1528"/>
      <c r="J81" s="1528"/>
      <c r="K81" s="1528">
        <f>29125728+10941351</f>
        <v>40067079</v>
      </c>
      <c r="L81" s="1476"/>
      <c r="M81" s="1476"/>
      <c r="N81" s="1476">
        <v>0</v>
      </c>
    </row>
    <row r="82" spans="2:14" ht="13" customHeight="1">
      <c r="B82" s="1109" t="s">
        <v>978</v>
      </c>
      <c r="C82" s="1105"/>
      <c r="D82" s="1108">
        <f>+'Facturas e Ingresos 2025'!E23</f>
        <v>32070646</v>
      </c>
      <c r="E82" s="1108"/>
      <c r="F82" s="1107"/>
      <c r="G82" s="1107"/>
      <c r="H82" s="1107"/>
      <c r="I82" s="1528"/>
      <c r="J82" s="1528"/>
      <c r="K82" s="1528"/>
      <c r="L82" s="1476"/>
      <c r="M82" s="1476"/>
      <c r="N82" s="1476">
        <v>0</v>
      </c>
    </row>
    <row r="83" spans="2:14" ht="13" customHeight="1">
      <c r="B83" s="1109" t="s">
        <v>979</v>
      </c>
      <c r="C83" s="1105"/>
      <c r="D83" s="1108">
        <f>+'Facturas e Ingresos 2025'!E24+'Facturas e Ingresos 2025'!E25</f>
        <v>28803159</v>
      </c>
      <c r="E83" s="1108"/>
      <c r="F83" s="1107"/>
      <c r="G83" s="1107"/>
      <c r="H83" s="1107"/>
      <c r="I83" s="1528"/>
      <c r="J83" s="1528"/>
      <c r="K83" s="1528">
        <v>7369894</v>
      </c>
      <c r="L83" s="1476"/>
      <c r="M83" s="1476"/>
      <c r="N83" s="1476">
        <v>0</v>
      </c>
    </row>
    <row r="84" spans="2:14" ht="13" customHeight="1">
      <c r="B84" s="1897" t="s">
        <v>1509</v>
      </c>
      <c r="C84" s="1825"/>
      <c r="D84" s="1898"/>
      <c r="E84" s="1898"/>
      <c r="F84" s="1806"/>
      <c r="G84" s="1806"/>
      <c r="H84" s="1806"/>
      <c r="I84" s="1528">
        <v>10349857</v>
      </c>
      <c r="J84" s="1528"/>
      <c r="K84" s="1528"/>
      <c r="L84" s="1476"/>
      <c r="M84" s="1476"/>
      <c r="N84" s="1476">
        <v>0</v>
      </c>
    </row>
    <row r="85" spans="2:14" ht="13" customHeight="1">
      <c r="B85" s="1104" t="s">
        <v>310</v>
      </c>
      <c r="C85" s="1105"/>
      <c r="D85" s="1106">
        <f>+'Facturas e Ingresos 2025'!E21</f>
        <v>34170570</v>
      </c>
      <c r="E85" s="1106"/>
      <c r="F85" s="1107"/>
      <c r="G85" s="1107"/>
      <c r="H85" s="1107"/>
      <c r="I85" s="1528"/>
      <c r="J85" s="1528"/>
      <c r="K85" s="1528"/>
      <c r="L85" s="1476"/>
      <c r="M85" s="1476"/>
      <c r="N85" s="1476">
        <v>0</v>
      </c>
    </row>
    <row r="86" spans="2:14" ht="13" customHeight="1">
      <c r="B86" s="1104" t="s">
        <v>1294</v>
      </c>
      <c r="C86" s="1105"/>
      <c r="D86" s="1106"/>
      <c r="E86" s="1106"/>
      <c r="F86" s="1107"/>
      <c r="G86" s="1528">
        <f>33123735+45871382</f>
        <v>78995117</v>
      </c>
      <c r="H86" s="1528">
        <v>30833224</v>
      </c>
      <c r="I86" s="1528">
        <v>37510072</v>
      </c>
      <c r="J86" s="1528">
        <v>29180697</v>
      </c>
      <c r="K86" s="1528">
        <v>11473679</v>
      </c>
      <c r="L86" s="1476"/>
      <c r="M86" s="1476"/>
      <c r="N86" s="1476">
        <v>0</v>
      </c>
    </row>
    <row r="87" spans="2:14" ht="13" customHeight="1">
      <c r="B87" s="1104" t="s">
        <v>520</v>
      </c>
      <c r="C87" s="1105"/>
      <c r="D87" s="1106">
        <f>+'Facturas e Ingresos 2025'!E27</f>
        <v>14564501</v>
      </c>
      <c r="E87" s="1106">
        <v>7736812</v>
      </c>
      <c r="F87" s="1108">
        <f>+'Facturas e Ingresos 2025'!E45</f>
        <v>10399331</v>
      </c>
      <c r="G87" s="1528">
        <v>12800016</v>
      </c>
      <c r="H87" s="1528"/>
      <c r="I87" s="1528"/>
      <c r="J87" s="1528"/>
      <c r="K87" s="1528"/>
      <c r="L87" s="1476"/>
      <c r="M87" s="1476"/>
      <c r="N87" s="1476">
        <v>0</v>
      </c>
    </row>
    <row r="88" spans="2:14" ht="13" customHeight="1">
      <c r="B88" s="1104" t="s">
        <v>589</v>
      </c>
      <c r="C88" s="1105"/>
      <c r="D88" s="1106"/>
      <c r="E88" s="1106">
        <v>30291258</v>
      </c>
      <c r="F88" s="1108">
        <f>30539742+29761659</f>
        <v>60301401</v>
      </c>
      <c r="G88" s="1108"/>
      <c r="H88" s="1108"/>
      <c r="I88" s="1528">
        <v>36881600</v>
      </c>
      <c r="J88" s="1528"/>
      <c r="K88" s="1528"/>
      <c r="L88" s="1476"/>
      <c r="M88" s="1476"/>
      <c r="N88" s="1476">
        <v>0</v>
      </c>
    </row>
    <row r="89" spans="2:14" ht="13" customHeight="1">
      <c r="B89" s="1104" t="s">
        <v>976</v>
      </c>
      <c r="C89" s="1828"/>
      <c r="D89" s="1829"/>
      <c r="E89" s="1106">
        <v>34324224</v>
      </c>
      <c r="F89" s="1107"/>
      <c r="G89" s="1107"/>
      <c r="H89" s="1107"/>
      <c r="I89" s="1528"/>
      <c r="J89" s="1528"/>
      <c r="K89" s="1528"/>
      <c r="L89" s="1476"/>
      <c r="M89" s="1476"/>
      <c r="N89" s="1476">
        <v>0</v>
      </c>
    </row>
    <row r="90" spans="2:14" ht="13" customHeight="1">
      <c r="B90" s="1104" t="s">
        <v>399</v>
      </c>
      <c r="C90" s="1105"/>
      <c r="D90" s="1106">
        <f>+'Facturas e Ingresos 2025'!E33</f>
        <v>67426546</v>
      </c>
      <c r="E90" s="1106"/>
      <c r="F90" s="1107"/>
      <c r="G90" s="1528">
        <v>30733290</v>
      </c>
      <c r="H90" s="1528"/>
      <c r="I90" s="1528">
        <v>13211845</v>
      </c>
      <c r="J90" s="1528"/>
      <c r="K90" s="1528"/>
      <c r="L90" s="1476"/>
      <c r="M90" s="1476"/>
      <c r="N90" s="1476">
        <v>0</v>
      </c>
    </row>
    <row r="91" spans="2:14" ht="13" customHeight="1">
      <c r="B91" s="1899" t="s">
        <v>1510</v>
      </c>
      <c r="C91" s="1825"/>
      <c r="D91" s="1826"/>
      <c r="E91" s="1826"/>
      <c r="F91" s="1806"/>
      <c r="G91" s="1808"/>
      <c r="H91" s="1808"/>
      <c r="I91" s="1808">
        <v>4794805</v>
      </c>
      <c r="J91" s="1808"/>
      <c r="K91" s="1808"/>
      <c r="L91" s="1476"/>
      <c r="M91" s="1476"/>
      <c r="N91" s="1476">
        <v>0</v>
      </c>
    </row>
    <row r="92" spans="2:14" ht="13" customHeight="1">
      <c r="B92" s="2414" t="s">
        <v>1869</v>
      </c>
      <c r="C92" s="1828"/>
      <c r="D92" s="1829"/>
      <c r="E92" s="1829"/>
      <c r="F92" s="1830"/>
      <c r="G92" s="2415"/>
      <c r="H92" s="2415"/>
      <c r="I92" s="2415"/>
      <c r="J92" s="2415"/>
      <c r="K92" s="2415"/>
      <c r="L92" s="2416"/>
      <c r="M92" s="1476">
        <v>13908694</v>
      </c>
      <c r="N92" s="1476" t="s">
        <v>1928</v>
      </c>
    </row>
    <row r="93" spans="2:14" ht="13" customHeight="1">
      <c r="B93" s="2414" t="s">
        <v>1870</v>
      </c>
      <c r="C93" s="1828"/>
      <c r="D93" s="1829"/>
      <c r="E93" s="1829"/>
      <c r="F93" s="1830"/>
      <c r="G93" s="2415"/>
      <c r="H93" s="2415"/>
      <c r="I93" s="2415"/>
      <c r="J93" s="2415"/>
      <c r="K93" s="2415"/>
      <c r="L93" s="2416"/>
      <c r="M93" s="1476">
        <v>20231452</v>
      </c>
      <c r="N93" s="1476">
        <v>0</v>
      </c>
    </row>
    <row r="94" spans="2:14" ht="13" customHeight="1">
      <c r="B94" s="1104" t="s">
        <v>524</v>
      </c>
      <c r="C94" s="1827">
        <v>48838310</v>
      </c>
      <c r="D94" s="1107"/>
      <c r="E94" s="1107"/>
      <c r="F94" s="1107"/>
      <c r="G94" s="1107"/>
      <c r="H94" s="1107"/>
      <c r="I94" s="1528"/>
      <c r="J94" s="1528"/>
      <c r="K94" s="1528"/>
      <c r="L94" s="1476"/>
      <c r="M94" s="1476"/>
      <c r="N94" s="1476">
        <v>40381474</v>
      </c>
    </row>
    <row r="95" spans="2:14" ht="13" customHeight="1">
      <c r="B95" s="2366" t="s">
        <v>1840</v>
      </c>
      <c r="C95" s="2371"/>
      <c r="D95" s="2369"/>
      <c r="E95" s="2369"/>
      <c r="F95" s="2369"/>
      <c r="G95" s="2369"/>
      <c r="H95" s="2369"/>
      <c r="I95" s="2370"/>
      <c r="J95" s="2370"/>
      <c r="K95" s="2370"/>
      <c r="L95" s="1476">
        <v>23657641</v>
      </c>
      <c r="M95" s="1476"/>
      <c r="N95" s="1476">
        <v>11683334</v>
      </c>
    </row>
    <row r="96" spans="2:14" ht="13" customHeight="1">
      <c r="B96" s="2366" t="s">
        <v>1841</v>
      </c>
      <c r="C96" s="2371"/>
      <c r="D96" s="2369"/>
      <c r="E96" s="2369"/>
      <c r="F96" s="2369"/>
      <c r="G96" s="2369"/>
      <c r="H96" s="2369"/>
      <c r="I96" s="2370"/>
      <c r="J96" s="2370"/>
      <c r="K96" s="2370"/>
      <c r="L96" s="1476">
        <v>13946282</v>
      </c>
      <c r="M96" s="1476"/>
      <c r="N96" s="1476">
        <v>0</v>
      </c>
    </row>
    <row r="97" spans="2:14" ht="13" customHeight="1">
      <c r="B97" s="1104" t="s">
        <v>418</v>
      </c>
      <c r="C97" s="1105"/>
      <c r="D97" s="1106"/>
      <c r="E97" s="1830"/>
      <c r="F97" s="1108">
        <f>+'Facturas e Ingresos 2025'!E41</f>
        <v>81486288</v>
      </c>
      <c r="G97" s="1108"/>
      <c r="H97" s="1108"/>
      <c r="I97" s="1528"/>
      <c r="J97" s="1528"/>
      <c r="K97" s="1528"/>
      <c r="L97" s="1476"/>
      <c r="M97" s="1476"/>
      <c r="N97" s="1476">
        <v>0</v>
      </c>
    </row>
    <row r="98" spans="2:14" ht="13" customHeight="1">
      <c r="B98" s="2414" t="s">
        <v>1871</v>
      </c>
      <c r="C98" s="1828"/>
      <c r="D98" s="1829"/>
      <c r="E98" s="1830"/>
      <c r="F98" s="2417"/>
      <c r="G98" s="2417"/>
      <c r="H98" s="2417"/>
      <c r="I98" s="2415"/>
      <c r="J98" s="2415">
        <v>52829556</v>
      </c>
      <c r="K98" s="2415">
        <v>67578326</v>
      </c>
      <c r="L98" s="2416">
        <v>66745864</v>
      </c>
      <c r="M98" s="1476">
        <v>51011492</v>
      </c>
      <c r="N98" s="1476">
        <v>29232841</v>
      </c>
    </row>
    <row r="99" spans="2:14" ht="13" customHeight="1">
      <c r="B99" s="1104" t="s">
        <v>436</v>
      </c>
      <c r="C99" s="1110"/>
      <c r="D99" s="1108">
        <f>+'Facturas e Ingresos 2025'!E14+'Facturas e Ingresos 2025'!E15</f>
        <v>158772783</v>
      </c>
      <c r="E99" s="1108"/>
      <c r="F99" s="1107"/>
      <c r="G99" s="1528">
        <v>33825290</v>
      </c>
      <c r="H99" s="1528"/>
      <c r="I99" s="1528"/>
      <c r="J99" s="1528"/>
      <c r="K99" s="1528"/>
      <c r="L99" s="1476"/>
      <c r="M99" s="1476"/>
      <c r="N99" s="1476">
        <v>0</v>
      </c>
    </row>
    <row r="100" spans="2:14" ht="13" customHeight="1">
      <c r="B100" s="2414" t="s">
        <v>1872</v>
      </c>
      <c r="C100" s="2418"/>
      <c r="D100" s="2417"/>
      <c r="E100" s="2417"/>
      <c r="F100" s="1830"/>
      <c r="G100" s="2415"/>
      <c r="H100" s="2415"/>
      <c r="I100" s="2415"/>
      <c r="J100" s="2415"/>
      <c r="K100" s="2415"/>
      <c r="L100" s="2416"/>
      <c r="M100" s="1476">
        <v>31516089</v>
      </c>
      <c r="N100" s="1476">
        <v>7092334</v>
      </c>
    </row>
    <row r="101" spans="2:14" ht="13" customHeight="1">
      <c r="B101" s="1104" t="s">
        <v>1293</v>
      </c>
      <c r="C101" s="1110"/>
      <c r="D101" s="1108"/>
      <c r="E101" s="1108">
        <f>82945096+120957046</f>
        <v>203902142</v>
      </c>
      <c r="F101" s="1107"/>
      <c r="G101" s="1528">
        <v>86867518</v>
      </c>
      <c r="H101" s="1528">
        <v>66180796</v>
      </c>
      <c r="I101" s="1528">
        <v>312665583</v>
      </c>
      <c r="J101" s="1528"/>
      <c r="K101" s="1528">
        <v>151177169</v>
      </c>
      <c r="L101" s="1476"/>
      <c r="M101" s="1476">
        <v>40818500</v>
      </c>
      <c r="N101" s="1476">
        <v>0</v>
      </c>
    </row>
    <row r="102" spans="2:14" ht="13" customHeight="1">
      <c r="B102" s="1104" t="s">
        <v>1655</v>
      </c>
      <c r="C102" s="2034"/>
      <c r="D102" s="2035"/>
      <c r="E102" s="2035"/>
      <c r="F102" s="2035"/>
      <c r="G102" s="2036"/>
      <c r="H102" s="2036"/>
      <c r="I102" s="2036"/>
      <c r="J102" s="2036">
        <v>59171658</v>
      </c>
      <c r="K102" s="2036"/>
      <c r="L102" s="1476"/>
      <c r="M102" s="1476"/>
      <c r="N102" s="1476">
        <v>0</v>
      </c>
    </row>
    <row r="103" spans="2:14" ht="13" customHeight="1">
      <c r="B103" s="2414" t="s">
        <v>1904</v>
      </c>
      <c r="C103" s="2418"/>
      <c r="D103" s="2417"/>
      <c r="E103" s="2417"/>
      <c r="F103" s="2417"/>
      <c r="G103" s="2415"/>
      <c r="H103" s="2415"/>
      <c r="I103" s="2415"/>
      <c r="J103" s="2415"/>
      <c r="K103" s="2415"/>
      <c r="L103" s="2416"/>
      <c r="M103" s="2416"/>
      <c r="N103" s="1476">
        <v>73039454</v>
      </c>
    </row>
    <row r="104" spans="2:14" ht="13" customHeight="1">
      <c r="B104" s="1104" t="s">
        <v>593</v>
      </c>
      <c r="C104" s="1110"/>
      <c r="D104" s="1108"/>
      <c r="E104" s="1108"/>
      <c r="F104" s="1108">
        <v>29416169</v>
      </c>
      <c r="G104" s="1108"/>
      <c r="H104" s="1108"/>
      <c r="I104" s="1528"/>
      <c r="J104" s="1528"/>
      <c r="K104" s="1528"/>
      <c r="L104" s="1476"/>
      <c r="M104" s="1476"/>
      <c r="N104" s="1476">
        <v>0</v>
      </c>
    </row>
    <row r="105" spans="2:14" ht="13" customHeight="1">
      <c r="B105" s="1104" t="s">
        <v>855</v>
      </c>
      <c r="C105" s="1110"/>
      <c r="D105" s="1108"/>
      <c r="E105" s="1108">
        <v>28076627</v>
      </c>
      <c r="F105" s="1107"/>
      <c r="G105" s="1107"/>
      <c r="H105" s="1528">
        <f>5986363+10565296</f>
        <v>16551659</v>
      </c>
      <c r="I105" s="1528"/>
      <c r="J105" s="1528"/>
      <c r="K105" s="1528"/>
      <c r="L105" s="1476"/>
      <c r="M105" s="1476"/>
      <c r="N105" s="1476">
        <v>0</v>
      </c>
    </row>
    <row r="106" spans="2:14" ht="13" customHeight="1">
      <c r="B106" s="2414" t="s">
        <v>1873</v>
      </c>
      <c r="C106" s="2418"/>
      <c r="D106" s="2417"/>
      <c r="E106" s="2417"/>
      <c r="F106" s="1830"/>
      <c r="G106" s="1830"/>
      <c r="H106" s="2415"/>
      <c r="I106" s="2415"/>
      <c r="J106" s="2415"/>
      <c r="K106" s="2415"/>
      <c r="L106" s="2416"/>
      <c r="M106" s="1476">
        <v>17260200</v>
      </c>
      <c r="N106" s="1476">
        <v>0</v>
      </c>
    </row>
    <row r="107" spans="2:14" ht="13" customHeight="1" thickBot="1">
      <c r="B107" s="1104" t="s">
        <v>1874</v>
      </c>
      <c r="C107" s="1110"/>
      <c r="D107" s="1108"/>
      <c r="E107" s="1108"/>
      <c r="F107" s="1107"/>
      <c r="G107" s="1107"/>
      <c r="H107" s="1528"/>
      <c r="I107" s="1528"/>
      <c r="J107" s="2036"/>
      <c r="K107" s="2036"/>
      <c r="L107" s="1476"/>
      <c r="M107" s="1476">
        <v>9710715</v>
      </c>
      <c r="N107" s="1476">
        <v>0</v>
      </c>
    </row>
    <row r="108" spans="2:14" ht="13" customHeight="1" thickBot="1">
      <c r="B108" s="1111" t="s">
        <v>3</v>
      </c>
      <c r="C108" s="1112">
        <f>SUM(C72:C107)</f>
        <v>337722068</v>
      </c>
      <c r="D108" s="1112">
        <f t="shared" ref="D108:M108" si="72">SUM(D72:D107)</f>
        <v>510093497</v>
      </c>
      <c r="E108" s="1112">
        <f t="shared" si="72"/>
        <v>363225990</v>
      </c>
      <c r="F108" s="1112">
        <f t="shared" si="72"/>
        <v>221288940</v>
      </c>
      <c r="G108" s="1112">
        <f t="shared" si="72"/>
        <v>254092171</v>
      </c>
      <c r="H108" s="1112">
        <f t="shared" si="72"/>
        <v>258554576</v>
      </c>
      <c r="I108" s="1112">
        <f t="shared" si="72"/>
        <v>443231938</v>
      </c>
      <c r="J108" s="1112">
        <f t="shared" si="72"/>
        <v>141181911</v>
      </c>
      <c r="K108" s="1112">
        <f t="shared" si="72"/>
        <v>277666147</v>
      </c>
      <c r="L108" s="1112">
        <f t="shared" si="72"/>
        <v>147504341</v>
      </c>
      <c r="M108" s="1112">
        <f t="shared" si="72"/>
        <v>231871279</v>
      </c>
      <c r="N108" s="1112">
        <f t="shared" ref="N108" si="73">SUM(N72:N107)</f>
        <v>161429437</v>
      </c>
    </row>
    <row r="109" spans="2:14" ht="13" customHeight="1" thickBot="1">
      <c r="F109" s="985"/>
      <c r="G109" s="985"/>
      <c r="H109" s="985"/>
      <c r="I109" s="985"/>
      <c r="L109" s="985"/>
      <c r="M109" s="985"/>
      <c r="N109" s="2032"/>
    </row>
    <row r="110" spans="2:14" ht="13" customHeight="1" thickBot="1">
      <c r="B110" s="1101" t="s">
        <v>30</v>
      </c>
      <c r="C110" s="993">
        <v>45658</v>
      </c>
      <c r="D110" s="993">
        <v>45689</v>
      </c>
      <c r="E110" s="993">
        <v>45717</v>
      </c>
      <c r="F110" s="993">
        <v>45748</v>
      </c>
      <c r="G110" s="993">
        <v>45778</v>
      </c>
      <c r="H110" s="993">
        <v>45809</v>
      </c>
      <c r="I110" s="993">
        <v>45839</v>
      </c>
      <c r="J110" s="993">
        <v>45870</v>
      </c>
      <c r="K110" s="993">
        <v>45901</v>
      </c>
      <c r="L110" s="993">
        <v>45931</v>
      </c>
      <c r="M110" s="993">
        <v>45962</v>
      </c>
      <c r="N110" s="993">
        <v>45992</v>
      </c>
    </row>
    <row r="111" spans="2:14" ht="13" customHeight="1" thickBot="1">
      <c r="B111" s="1102" t="s">
        <v>22</v>
      </c>
      <c r="C111" s="1103" t="s">
        <v>23</v>
      </c>
      <c r="D111" s="1103" t="s">
        <v>23</v>
      </c>
      <c r="E111" s="1103" t="s">
        <v>23</v>
      </c>
      <c r="F111" s="1103" t="s">
        <v>23</v>
      </c>
      <c r="G111" s="1103" t="s">
        <v>23</v>
      </c>
      <c r="H111" s="1103" t="s">
        <v>23</v>
      </c>
      <c r="I111" s="1103" t="s">
        <v>23</v>
      </c>
      <c r="J111" s="1103" t="s">
        <v>23</v>
      </c>
      <c r="K111" s="1103" t="s">
        <v>23</v>
      </c>
      <c r="L111" s="1103" t="s">
        <v>23</v>
      </c>
      <c r="M111" s="1103" t="s">
        <v>23</v>
      </c>
      <c r="N111" s="1103" t="s">
        <v>23</v>
      </c>
    </row>
    <row r="112" spans="2:14" ht="13" customHeight="1" thickBot="1">
      <c r="B112" s="1113" t="s">
        <v>30</v>
      </c>
      <c r="C112" s="2289">
        <f>73201311-8489811</f>
        <v>64711500</v>
      </c>
      <c r="D112" s="1115">
        <f>114577851-16893164</f>
        <v>97684687</v>
      </c>
      <c r="E112" s="1115">
        <v>70093878</v>
      </c>
      <c r="F112" s="1115">
        <f>64868779-20976496</f>
        <v>43892283</v>
      </c>
      <c r="G112" s="1115">
        <v>58504914</v>
      </c>
      <c r="H112" s="1115">
        <v>50131548</v>
      </c>
      <c r="I112" s="1115">
        <v>96609987</v>
      </c>
      <c r="J112" s="1115">
        <f>19931892+10037616+3419956</f>
        <v>33389464</v>
      </c>
      <c r="K112" s="1115">
        <v>53385735</v>
      </c>
      <c r="L112" s="1115">
        <v>30289014</v>
      </c>
      <c r="M112" s="1115">
        <v>35185945</v>
      </c>
      <c r="N112" s="1115">
        <v>30671592</v>
      </c>
    </row>
    <row r="113" spans="2:18" ht="13" customHeight="1" thickBot="1">
      <c r="B113" s="1111" t="s">
        <v>31</v>
      </c>
      <c r="C113" s="1112">
        <f t="shared" ref="C113:H113" si="74">SUM(C112:C112)</f>
        <v>64711500</v>
      </c>
      <c r="D113" s="1112">
        <f t="shared" si="74"/>
        <v>97684687</v>
      </c>
      <c r="E113" s="1112">
        <f t="shared" si="74"/>
        <v>70093878</v>
      </c>
      <c r="F113" s="1112">
        <f t="shared" si="74"/>
        <v>43892283</v>
      </c>
      <c r="G113" s="1112">
        <f t="shared" si="74"/>
        <v>58504914</v>
      </c>
      <c r="H113" s="1112">
        <f t="shared" si="74"/>
        <v>50131548</v>
      </c>
      <c r="I113" s="1112">
        <f t="shared" ref="I113:J113" si="75">SUM(I112:I112)</f>
        <v>96609987</v>
      </c>
      <c r="J113" s="1112">
        <f t="shared" si="75"/>
        <v>33389464</v>
      </c>
      <c r="K113" s="1112">
        <f t="shared" ref="K113:L113" si="76">SUM(K112:K112)</f>
        <v>53385735</v>
      </c>
      <c r="L113" s="1112">
        <f t="shared" si="76"/>
        <v>30289014</v>
      </c>
      <c r="M113" s="1112">
        <f t="shared" ref="M113:N113" si="77">SUM(M112:M112)</f>
        <v>35185945</v>
      </c>
      <c r="N113" s="1112">
        <f t="shared" si="77"/>
        <v>30671592</v>
      </c>
    </row>
    <row r="114" spans="2:18" ht="13" customHeight="1" thickBot="1">
      <c r="B114" s="1116"/>
      <c r="F114" s="985"/>
      <c r="G114" s="985"/>
      <c r="H114" s="985"/>
      <c r="I114" s="985"/>
      <c r="L114" s="985"/>
      <c r="M114" s="985"/>
      <c r="N114" s="2080"/>
    </row>
    <row r="115" spans="2:18" ht="13" customHeight="1" thickBot="1">
      <c r="B115" s="1101" t="s">
        <v>32</v>
      </c>
      <c r="C115" s="993">
        <v>45658</v>
      </c>
      <c r="D115" s="993">
        <v>45689</v>
      </c>
      <c r="E115" s="993">
        <v>45717</v>
      </c>
      <c r="F115" s="993">
        <v>45748</v>
      </c>
      <c r="G115" s="993">
        <v>45778</v>
      </c>
      <c r="H115" s="993">
        <v>45809</v>
      </c>
      <c r="I115" s="993">
        <v>45839</v>
      </c>
      <c r="J115" s="993">
        <v>45870</v>
      </c>
      <c r="K115" s="993">
        <v>45901</v>
      </c>
      <c r="L115" s="993">
        <v>45931</v>
      </c>
      <c r="M115" s="993">
        <v>45962</v>
      </c>
      <c r="N115" s="993">
        <v>45992</v>
      </c>
    </row>
    <row r="116" spans="2:18" ht="13" customHeight="1" thickBot="1">
      <c r="B116" s="1023" t="s">
        <v>22</v>
      </c>
      <c r="C116" s="1103"/>
      <c r="D116" s="1103"/>
      <c r="E116" s="1103"/>
      <c r="F116" s="1103"/>
      <c r="G116" s="1103"/>
      <c r="H116" s="1103"/>
      <c r="I116" s="1103"/>
      <c r="J116" s="1103"/>
      <c r="K116" s="1103"/>
      <c r="L116" s="1103"/>
      <c r="M116" s="1103"/>
      <c r="N116" s="1103"/>
    </row>
    <row r="117" spans="2:18" ht="13" customHeight="1">
      <c r="B117" s="2276" t="s">
        <v>1331</v>
      </c>
      <c r="C117" s="1117"/>
      <c r="D117" s="1117"/>
      <c r="E117" s="1117">
        <v>13644850</v>
      </c>
      <c r="F117" s="2040">
        <v>44992449</v>
      </c>
      <c r="G117" s="2295">
        <v>30066277</v>
      </c>
      <c r="H117" s="1117"/>
      <c r="I117" s="1117">
        <v>43505206</v>
      </c>
      <c r="J117" s="1117"/>
      <c r="K117" s="1118"/>
      <c r="L117" s="1118">
        <v>0</v>
      </c>
      <c r="M117" s="1118">
        <v>0</v>
      </c>
      <c r="N117" s="1118">
        <v>364381000</v>
      </c>
    </row>
    <row r="118" spans="2:18" ht="13" customHeight="1">
      <c r="B118" s="2277" t="s">
        <v>1769</v>
      </c>
      <c r="C118" s="1110"/>
      <c r="D118" s="1108"/>
      <c r="E118" s="1117">
        <v>4907728</v>
      </c>
      <c r="F118" s="1117">
        <v>9723072</v>
      </c>
      <c r="G118" s="2295">
        <v>37559143</v>
      </c>
      <c r="H118" s="1117"/>
      <c r="I118" s="1117">
        <v>62829846</v>
      </c>
      <c r="J118" s="1117">
        <v>34552112</v>
      </c>
      <c r="K118" s="1117">
        <v>3311403</v>
      </c>
      <c r="L118" s="1528">
        <v>21487482</v>
      </c>
      <c r="M118" s="1528">
        <v>0</v>
      </c>
      <c r="N118" s="1528">
        <v>0</v>
      </c>
    </row>
    <row r="119" spans="2:18" ht="13" customHeight="1">
      <c r="B119" s="1119" t="s">
        <v>1657</v>
      </c>
      <c r="C119" s="2039"/>
      <c r="D119" s="2039"/>
      <c r="E119" s="2039"/>
      <c r="G119" s="2039"/>
      <c r="H119" s="2039"/>
      <c r="I119" s="2039"/>
      <c r="J119" s="2039">
        <v>428601471</v>
      </c>
      <c r="K119" s="1118"/>
      <c r="L119" s="1118">
        <v>143713596.01500002</v>
      </c>
      <c r="M119" s="1118">
        <v>0</v>
      </c>
      <c r="N119" s="1118">
        <v>0</v>
      </c>
    </row>
    <row r="120" spans="2:18" ht="13" customHeight="1">
      <c r="B120" s="1119" t="s">
        <v>870</v>
      </c>
      <c r="C120" s="1117"/>
      <c r="D120" s="1117"/>
      <c r="E120" s="1117">
        <v>4823932</v>
      </c>
      <c r="F120" s="1118"/>
      <c r="G120" s="1117"/>
      <c r="H120" s="1117"/>
      <c r="I120" s="1117"/>
      <c r="J120" s="1117"/>
      <c r="K120" s="1118"/>
      <c r="L120" s="1118">
        <v>0</v>
      </c>
      <c r="M120" s="1118">
        <v>0</v>
      </c>
      <c r="N120" s="1118">
        <v>0</v>
      </c>
      <c r="P120" s="1831"/>
    </row>
    <row r="121" spans="2:18" ht="13" customHeight="1">
      <c r="B121" s="1119" t="s">
        <v>871</v>
      </c>
      <c r="C121" s="2290">
        <v>124970002</v>
      </c>
      <c r="D121" s="1120"/>
      <c r="E121" s="1117"/>
      <c r="F121" s="1118"/>
      <c r="G121" s="1117"/>
      <c r="H121" s="1117"/>
      <c r="I121" s="1117"/>
      <c r="J121" s="1117"/>
      <c r="K121" s="1118"/>
      <c r="L121" s="1118">
        <v>0</v>
      </c>
      <c r="M121" s="1118">
        <v>112110131</v>
      </c>
      <c r="N121" s="1118">
        <v>0</v>
      </c>
    </row>
    <row r="122" spans="2:18" ht="13" customHeight="1">
      <c r="B122" s="1119" t="s">
        <v>1332</v>
      </c>
      <c r="C122" s="1121"/>
      <c r="D122" s="1121"/>
      <c r="E122" s="1413"/>
      <c r="F122" s="1413">
        <v>5217888</v>
      </c>
      <c r="G122" s="1413"/>
      <c r="H122" s="1413"/>
      <c r="I122" s="1413"/>
      <c r="J122" s="1413"/>
      <c r="K122" s="1810"/>
      <c r="L122" s="1810">
        <v>0</v>
      </c>
      <c r="M122" s="1810">
        <v>0</v>
      </c>
      <c r="N122" s="1810">
        <v>0</v>
      </c>
    </row>
    <row r="123" spans="2:18" ht="13" customHeight="1">
      <c r="B123" s="1119" t="s">
        <v>1249</v>
      </c>
      <c r="C123" s="2290">
        <v>655462</v>
      </c>
      <c r="D123" s="1117"/>
      <c r="E123" s="1117"/>
      <c r="F123" s="1117"/>
      <c r="G123" s="2296">
        <f>14079592+2580</f>
        <v>14082172</v>
      </c>
      <c r="H123" s="2148"/>
      <c r="I123" s="2148">
        <v>1180488</v>
      </c>
      <c r="J123" s="2148"/>
      <c r="K123" s="2148">
        <f>455836+25952</f>
        <v>481788</v>
      </c>
      <c r="L123" s="2148">
        <v>12980</v>
      </c>
      <c r="M123" s="2148">
        <v>387532</v>
      </c>
      <c r="N123" s="2148">
        <v>111687</v>
      </c>
      <c r="O123" s="2032"/>
    </row>
    <row r="124" spans="2:18" ht="13" customHeight="1">
      <c r="B124" s="1119" t="s">
        <v>1296</v>
      </c>
      <c r="C124" s="1117"/>
      <c r="D124" s="1117">
        <v>9692163</v>
      </c>
      <c r="E124" s="1117"/>
      <c r="F124" s="1117">
        <v>10545715</v>
      </c>
      <c r="G124" s="2295">
        <v>234764</v>
      </c>
      <c r="H124" s="1117"/>
      <c r="I124" s="1117"/>
      <c r="J124" s="1117"/>
      <c r="K124" s="1118"/>
      <c r="L124" s="1118">
        <v>0</v>
      </c>
      <c r="M124" s="1118">
        <v>0</v>
      </c>
      <c r="N124" s="1118">
        <v>0</v>
      </c>
      <c r="O124" s="2032"/>
    </row>
    <row r="125" spans="2:18" ht="13" customHeight="1">
      <c r="B125" s="2419" t="s">
        <v>1875</v>
      </c>
      <c r="C125" s="1478"/>
      <c r="D125" s="1478"/>
      <c r="E125" s="1478"/>
      <c r="F125" s="1478"/>
      <c r="G125" s="2420"/>
      <c r="H125" s="1478"/>
      <c r="I125" s="1478"/>
      <c r="J125" s="1478"/>
      <c r="K125" s="1809"/>
      <c r="L125" s="1809"/>
      <c r="M125" s="1118">
        <v>25000000</v>
      </c>
      <c r="N125" s="1118">
        <v>4532200</v>
      </c>
      <c r="O125" s="2032"/>
    </row>
    <row r="126" spans="2:18" ht="13" customHeight="1">
      <c r="B126" s="1477" t="s">
        <v>872</v>
      </c>
      <c r="C126" s="1146"/>
      <c r="D126" s="1146"/>
      <c r="E126" s="1478"/>
      <c r="F126" s="1478"/>
      <c r="G126" s="1478"/>
      <c r="H126" s="1478">
        <f>40000509+25000001+18678209</f>
        <v>83678719</v>
      </c>
      <c r="I126" s="1478"/>
      <c r="J126" s="1478"/>
      <c r="K126" s="1809"/>
      <c r="L126" s="1809">
        <v>76080000</v>
      </c>
      <c r="M126" s="1809">
        <v>0</v>
      </c>
      <c r="N126" s="1809" t="s">
        <v>1928</v>
      </c>
      <c r="O126" s="2032"/>
    </row>
    <row r="127" spans="2:18" ht="13" customHeight="1">
      <c r="B127" s="1483" t="s">
        <v>588</v>
      </c>
      <c r="C127" s="2291">
        <f>+'Facturas e Ingresos 2025'!I13</f>
        <v>53173026</v>
      </c>
      <c r="D127" s="1482">
        <f>+'Facturas e Ingresos 2025'!I17+'Facturas e Ingresos 2025'!I18</f>
        <v>105804554</v>
      </c>
      <c r="E127" s="1482"/>
      <c r="F127" s="1481">
        <v>131379109</v>
      </c>
      <c r="G127" s="2294">
        <v>8660138</v>
      </c>
      <c r="H127" s="1529"/>
      <c r="I127" s="1529"/>
      <c r="J127" s="1529"/>
      <c r="K127" s="1529">
        <v>25363787</v>
      </c>
      <c r="L127" s="2278">
        <v>0</v>
      </c>
      <c r="M127" s="2278">
        <v>0</v>
      </c>
      <c r="N127" s="2278">
        <v>0</v>
      </c>
      <c r="O127" s="2032"/>
    </row>
    <row r="128" spans="2:18" ht="13" customHeight="1" thickBot="1">
      <c r="B128" s="1479" t="s">
        <v>31</v>
      </c>
      <c r="C128" s="1480">
        <f>SUM(C117:C127)</f>
        <v>178798490</v>
      </c>
      <c r="D128" s="1480">
        <f t="shared" ref="D128:H128" si="78">SUM(D117:D127)</f>
        <v>115496717</v>
      </c>
      <c r="E128" s="1480">
        <f>SUM(E117:E127)</f>
        <v>23376510</v>
      </c>
      <c r="F128" s="1480">
        <f>SUM(F117:F127)</f>
        <v>201858233</v>
      </c>
      <c r="G128" s="1480">
        <f>SUM(G117:G127)</f>
        <v>90602494</v>
      </c>
      <c r="H128" s="1480">
        <f t="shared" si="78"/>
        <v>83678719</v>
      </c>
      <c r="I128" s="1480">
        <f t="shared" ref="I128:N128" si="79">SUM(I117:I127)</f>
        <v>107515540</v>
      </c>
      <c r="J128" s="1480">
        <f t="shared" si="79"/>
        <v>463153583</v>
      </c>
      <c r="K128" s="1480">
        <f t="shared" si="79"/>
        <v>29156978</v>
      </c>
      <c r="L128" s="1480">
        <f t="shared" si="79"/>
        <v>241294058.01500002</v>
      </c>
      <c r="M128" s="1480">
        <f t="shared" si="79"/>
        <v>137497663</v>
      </c>
      <c r="N128" s="1480">
        <f t="shared" si="79"/>
        <v>369024887</v>
      </c>
      <c r="O128" s="1044"/>
      <c r="R128" s="1044"/>
    </row>
    <row r="129" spans="1:19" ht="13" customHeight="1" thickBot="1">
      <c r="B129" s="1116"/>
      <c r="F129" s="985"/>
      <c r="G129" s="991">
        <f>SUM(G128/932)</f>
        <v>97212.976394849786</v>
      </c>
      <c r="H129" s="985"/>
      <c r="I129" s="985"/>
      <c r="L129" s="985"/>
      <c r="M129" s="985"/>
      <c r="O129" s="2032"/>
      <c r="S129" s="1044"/>
    </row>
    <row r="130" spans="1:19" s="1044" customFormat="1" ht="13" customHeight="1" thickBot="1">
      <c r="B130" s="1101" t="s">
        <v>34</v>
      </c>
      <c r="C130" s="993">
        <v>45658</v>
      </c>
      <c r="D130" s="993">
        <v>45689</v>
      </c>
      <c r="E130" s="993">
        <v>45717</v>
      </c>
      <c r="F130" s="993">
        <v>45748</v>
      </c>
      <c r="G130" s="993">
        <v>45778</v>
      </c>
      <c r="H130" s="993">
        <v>45809</v>
      </c>
      <c r="I130" s="993">
        <v>45839</v>
      </c>
      <c r="J130" s="993">
        <v>45870</v>
      </c>
      <c r="K130" s="993">
        <v>45901</v>
      </c>
      <c r="L130" s="993">
        <v>45931</v>
      </c>
      <c r="M130" s="993">
        <v>45962</v>
      </c>
      <c r="N130" s="993">
        <v>45992</v>
      </c>
      <c r="O130" s="2032"/>
      <c r="R130" s="985"/>
      <c r="S130" s="985"/>
    </row>
    <row r="131" spans="1:19" ht="13" customHeight="1" thickBot="1">
      <c r="B131" s="1122"/>
      <c r="C131" s="1103" t="s">
        <v>23</v>
      </c>
      <c r="D131" s="1103" t="s">
        <v>23</v>
      </c>
      <c r="E131" s="1103" t="s">
        <v>23</v>
      </c>
      <c r="F131" s="1103" t="s">
        <v>23</v>
      </c>
      <c r="G131" s="1103" t="s">
        <v>23</v>
      </c>
      <c r="H131" s="1103" t="s">
        <v>23</v>
      </c>
      <c r="I131" s="1103" t="s">
        <v>23</v>
      </c>
      <c r="J131" s="1103" t="s">
        <v>23</v>
      </c>
      <c r="K131" s="1103" t="s">
        <v>23</v>
      </c>
      <c r="L131" s="1103" t="s">
        <v>23</v>
      </c>
      <c r="M131" s="1103" t="s">
        <v>23</v>
      </c>
      <c r="N131" s="1103" t="s">
        <v>23</v>
      </c>
      <c r="O131" s="2032"/>
    </row>
    <row r="132" spans="1:19" ht="12" customHeight="1" thickBot="1">
      <c r="B132" s="1123" t="s">
        <v>35</v>
      </c>
      <c r="C132" s="1124">
        <f t="shared" ref="C132:H132" si="80">SUM(C108+C113+C128)</f>
        <v>581232058</v>
      </c>
      <c r="D132" s="1124">
        <f t="shared" si="80"/>
        <v>723274901</v>
      </c>
      <c r="E132" s="1124">
        <f t="shared" si="80"/>
        <v>456696378</v>
      </c>
      <c r="F132" s="1124">
        <f t="shared" si="80"/>
        <v>467039456</v>
      </c>
      <c r="G132" s="1124">
        <f t="shared" si="80"/>
        <v>403199579</v>
      </c>
      <c r="H132" s="1124">
        <f t="shared" si="80"/>
        <v>392364843</v>
      </c>
      <c r="I132" s="1124">
        <f t="shared" ref="I132" si="81">SUM(I108+I113+I128)</f>
        <v>647357465</v>
      </c>
      <c r="J132" s="1124">
        <f>SUM(J108+J113+J128)</f>
        <v>637724958</v>
      </c>
      <c r="K132" s="1124">
        <f>SUM(K108+K113+K128)</f>
        <v>360208860</v>
      </c>
      <c r="L132" s="1124">
        <f>SUM(L108+L113+L128)</f>
        <v>419087413.01499999</v>
      </c>
      <c r="M132" s="1124">
        <f>SUM(M108+M113+M128)</f>
        <v>404554887</v>
      </c>
      <c r="N132" s="1124">
        <f>SUM(N108+N113+N128)</f>
        <v>561125916</v>
      </c>
      <c r="O132" s="2032"/>
      <c r="P132" s="1582"/>
    </row>
    <row r="133" spans="1:19" ht="13" customHeight="1">
      <c r="B133" s="1044"/>
      <c r="C133" s="1044"/>
      <c r="D133" s="1044"/>
      <c r="E133" s="1044"/>
      <c r="F133" s="1044"/>
      <c r="G133" s="1044"/>
      <c r="H133" s="1044"/>
      <c r="I133" s="1048"/>
      <c r="J133" s="1580"/>
      <c r="K133" s="2032"/>
      <c r="N133" s="2032"/>
      <c r="O133" s="2032"/>
      <c r="P133" s="1580"/>
    </row>
    <row r="134" spans="1:19" ht="13" customHeight="1" thickBot="1">
      <c r="B134" s="1116"/>
      <c r="C134" s="1100"/>
      <c r="D134" s="1100"/>
      <c r="E134" s="1100"/>
      <c r="F134" s="1100"/>
      <c r="G134" s="1100"/>
      <c r="H134" s="1100"/>
      <c r="I134" s="1048"/>
      <c r="J134" s="1583"/>
      <c r="K134" s="1583"/>
      <c r="L134" s="1583"/>
      <c r="M134" s="1583"/>
      <c r="N134" s="1583"/>
      <c r="O134" s="2032"/>
      <c r="P134" s="1583"/>
    </row>
    <row r="135" spans="1:19" ht="13" customHeight="1" thickBot="1">
      <c r="A135" s="985" t="s">
        <v>1467</v>
      </c>
      <c r="B135" s="1125" t="s">
        <v>37</v>
      </c>
      <c r="C135" s="993" t="s">
        <v>1468</v>
      </c>
      <c r="D135" s="993" t="s">
        <v>1469</v>
      </c>
      <c r="E135" s="993" t="s">
        <v>1470</v>
      </c>
      <c r="F135" s="993" t="s">
        <v>1471</v>
      </c>
      <c r="G135" s="993" t="s">
        <v>1472</v>
      </c>
      <c r="H135" s="993" t="s">
        <v>1473</v>
      </c>
      <c r="I135" s="993" t="s">
        <v>1531</v>
      </c>
      <c r="J135" s="993" t="s">
        <v>1600</v>
      </c>
      <c r="K135" s="993" t="s">
        <v>1601</v>
      </c>
      <c r="L135" s="993" t="s">
        <v>1602</v>
      </c>
      <c r="M135" s="2429" t="s">
        <v>1603</v>
      </c>
      <c r="N135" s="993" t="s">
        <v>1604</v>
      </c>
      <c r="O135" s="2032"/>
      <c r="P135" s="1580"/>
    </row>
    <row r="136" spans="1:19" ht="13" customHeight="1" thickBot="1">
      <c r="B136" s="1126" t="s">
        <v>38</v>
      </c>
      <c r="C136" s="1126" t="s">
        <v>23</v>
      </c>
      <c r="D136" s="1126" t="s">
        <v>23</v>
      </c>
      <c r="E136" s="1126" t="s">
        <v>23</v>
      </c>
      <c r="F136" s="1126" t="s">
        <v>23</v>
      </c>
      <c r="G136" s="1126" t="s">
        <v>23</v>
      </c>
      <c r="H136" s="1126" t="s">
        <v>23</v>
      </c>
      <c r="I136" s="1126" t="s">
        <v>23</v>
      </c>
      <c r="J136" s="1126" t="s">
        <v>23</v>
      </c>
      <c r="K136" s="1126" t="s">
        <v>23</v>
      </c>
      <c r="L136" s="1126" t="s">
        <v>23</v>
      </c>
      <c r="M136" s="1126" t="s">
        <v>23</v>
      </c>
      <c r="N136" s="1126" t="s">
        <v>23</v>
      </c>
      <c r="O136" s="2032"/>
      <c r="P136" s="1583"/>
    </row>
    <row r="137" spans="1:19" ht="13" customHeight="1">
      <c r="A137" s="985" t="s">
        <v>1462</v>
      </c>
      <c r="B137" s="1128" t="s">
        <v>44</v>
      </c>
      <c r="C137" s="1129">
        <v>6528940</v>
      </c>
      <c r="D137" s="1130">
        <f>6524626+92330</f>
        <v>6616956</v>
      </c>
      <c r="E137" s="1130">
        <v>6626208</v>
      </c>
      <c r="F137" s="1130">
        <v>6628165</v>
      </c>
      <c r="G137" s="1130">
        <v>6455417</v>
      </c>
      <c r="H137" s="1130">
        <v>6456269</v>
      </c>
      <c r="I137" s="1130">
        <v>6493125</v>
      </c>
      <c r="J137" s="1130">
        <v>6456502</v>
      </c>
      <c r="K137" s="2134">
        <v>6465406</v>
      </c>
      <c r="L137" s="2134">
        <v>6463115</v>
      </c>
      <c r="M137" s="2134">
        <v>6467108</v>
      </c>
      <c r="N137" s="2134">
        <v>6465384</v>
      </c>
      <c r="O137" s="2032"/>
      <c r="P137"/>
    </row>
    <row r="138" spans="1:19" ht="13" customHeight="1">
      <c r="A138" s="985" t="s">
        <v>1462</v>
      </c>
      <c r="B138" s="1132" t="s">
        <v>39</v>
      </c>
      <c r="C138" s="1129">
        <v>2030713</v>
      </c>
      <c r="D138" s="1130">
        <v>2032649</v>
      </c>
      <c r="E138" s="1130">
        <v>2032761</v>
      </c>
      <c r="F138" s="1130">
        <v>2032368</v>
      </c>
      <c r="G138" s="1130">
        <v>2032344</v>
      </c>
      <c r="H138" s="1130">
        <v>2032031</v>
      </c>
      <c r="I138" s="1130">
        <v>2077835</v>
      </c>
      <c r="J138" s="1130">
        <v>2037415</v>
      </c>
      <c r="K138" s="2134">
        <v>2034387</v>
      </c>
      <c r="L138" s="2134">
        <v>2033819</v>
      </c>
      <c r="M138" s="2134">
        <v>2033737</v>
      </c>
      <c r="N138" s="2134">
        <v>2033310</v>
      </c>
      <c r="P138"/>
    </row>
    <row r="139" spans="1:19" ht="13" customHeight="1">
      <c r="A139" s="985" t="s">
        <v>1462</v>
      </c>
      <c r="B139" s="1133" t="s">
        <v>511</v>
      </c>
      <c r="C139" s="1134">
        <v>763792</v>
      </c>
      <c r="D139" s="1135">
        <v>1303261</v>
      </c>
      <c r="E139" s="1135">
        <v>1303661</v>
      </c>
      <c r="F139" s="1130">
        <v>1303808</v>
      </c>
      <c r="G139" s="1130">
        <v>1303992</v>
      </c>
      <c r="H139" s="1130">
        <v>1304066</v>
      </c>
      <c r="I139" s="1130">
        <v>1417119</v>
      </c>
      <c r="J139" s="1130">
        <v>1399851</v>
      </c>
      <c r="K139" s="2134">
        <v>1400185</v>
      </c>
      <c r="L139" s="2134">
        <v>1400673</v>
      </c>
      <c r="M139" s="2134">
        <v>1400823</v>
      </c>
      <c r="N139" s="2134">
        <v>1400823</v>
      </c>
      <c r="P139"/>
    </row>
    <row r="140" spans="1:19" ht="13" customHeight="1">
      <c r="A140" s="985" t="s">
        <v>1462</v>
      </c>
      <c r="B140" s="2350" t="s">
        <v>1827</v>
      </c>
      <c r="C140" s="2351"/>
      <c r="D140" s="2352"/>
      <c r="E140" s="2352"/>
      <c r="F140" s="2353"/>
      <c r="G140" s="2353"/>
      <c r="H140" s="2353"/>
      <c r="I140" s="2353"/>
      <c r="J140" s="2353"/>
      <c r="K140" s="2354"/>
      <c r="L140" s="2134">
        <v>1431767</v>
      </c>
      <c r="M140" s="2134">
        <v>2140088</v>
      </c>
      <c r="N140" s="2134">
        <v>2140088</v>
      </c>
      <c r="P140"/>
    </row>
    <row r="141" spans="1:19" ht="13" customHeight="1">
      <c r="A141" s="985" t="s">
        <v>1462</v>
      </c>
      <c r="B141" s="1133" t="s">
        <v>488</v>
      </c>
      <c r="C141" s="1137">
        <v>2578131</v>
      </c>
      <c r="D141" s="1137">
        <v>62516</v>
      </c>
      <c r="E141" s="2022">
        <v>0</v>
      </c>
      <c r="F141" s="2023">
        <v>0</v>
      </c>
      <c r="G141" s="2023">
        <v>0</v>
      </c>
      <c r="H141" s="2022">
        <v>0</v>
      </c>
      <c r="I141" s="2022">
        <v>0</v>
      </c>
      <c r="J141" s="2022"/>
      <c r="K141" s="2087"/>
      <c r="L141" s="2087">
        <v>0</v>
      </c>
      <c r="M141" s="2087">
        <v>0</v>
      </c>
      <c r="N141" s="2087">
        <v>0</v>
      </c>
      <c r="P141"/>
    </row>
    <row r="142" spans="1:19" ht="13" customHeight="1">
      <c r="A142" s="985" t="s">
        <v>1462</v>
      </c>
      <c r="B142" s="1133" t="s">
        <v>428</v>
      </c>
      <c r="C142" s="1129">
        <v>3920299</v>
      </c>
      <c r="D142" s="1130">
        <v>5980691</v>
      </c>
      <c r="E142" s="1130">
        <v>5990953</v>
      </c>
      <c r="F142" s="1130">
        <v>5993653</v>
      </c>
      <c r="G142" s="1130">
        <v>5998392</v>
      </c>
      <c r="H142" s="1130">
        <v>5999913</v>
      </c>
      <c r="I142" s="1130">
        <v>6041755</v>
      </c>
      <c r="J142" s="1130">
        <v>6001145</v>
      </c>
      <c r="K142" s="2134">
        <v>6610932</v>
      </c>
      <c r="L142" s="2134">
        <v>6609608</v>
      </c>
      <c r="M142" s="2134">
        <v>6613996</v>
      </c>
      <c r="N142" s="2134">
        <v>11425238</v>
      </c>
      <c r="P142"/>
    </row>
    <row r="143" spans="1:19" ht="13" customHeight="1">
      <c r="A143" s="2358" t="s">
        <v>1462</v>
      </c>
      <c r="B143" s="1132" t="s">
        <v>565</v>
      </c>
      <c r="C143" s="1140"/>
      <c r="D143" s="1140">
        <v>5567303</v>
      </c>
      <c r="E143" s="1130">
        <v>12961280</v>
      </c>
      <c r="F143" s="1130">
        <v>12963040</v>
      </c>
      <c r="G143" s="1130">
        <v>12968134</v>
      </c>
      <c r="H143" s="1130">
        <v>12969367</v>
      </c>
      <c r="I143" s="1130">
        <v>13003159</v>
      </c>
      <c r="J143" s="1130">
        <v>12967941</v>
      </c>
      <c r="K143" s="2134">
        <v>12957648</v>
      </c>
      <c r="L143" s="2362">
        <v>16219959</v>
      </c>
      <c r="M143" s="2362">
        <v>0</v>
      </c>
      <c r="N143" s="2362">
        <v>0</v>
      </c>
      <c r="P143"/>
    </row>
    <row r="144" spans="1:19" ht="13" customHeight="1">
      <c r="A144" s="985" t="s">
        <v>1462</v>
      </c>
      <c r="B144" s="1132" t="s">
        <v>63</v>
      </c>
      <c r="C144" s="1130">
        <v>7136286</v>
      </c>
      <c r="D144" s="1130">
        <v>7132161</v>
      </c>
      <c r="E144" s="1130">
        <v>7145964</v>
      </c>
      <c r="F144" s="1130">
        <v>7149763</v>
      </c>
      <c r="G144" s="1130">
        <v>8000000</v>
      </c>
      <c r="H144" s="1130">
        <v>8000505</v>
      </c>
      <c r="I144" s="1130">
        <v>8040769</v>
      </c>
      <c r="J144" s="1130">
        <v>8000384</v>
      </c>
      <c r="K144" s="2134">
        <v>8013357</v>
      </c>
      <c r="L144" s="2134">
        <v>8011785</v>
      </c>
      <c r="M144" s="2134">
        <v>8017599</v>
      </c>
      <c r="N144" s="2134">
        <v>8016416</v>
      </c>
      <c r="P144"/>
    </row>
    <row r="145" spans="1:16" ht="13" customHeight="1">
      <c r="A145" s="985" t="s">
        <v>1462</v>
      </c>
      <c r="B145" s="1133" t="s">
        <v>487</v>
      </c>
      <c r="C145" s="1134">
        <v>4192268</v>
      </c>
      <c r="D145" s="1135">
        <v>4947612</v>
      </c>
      <c r="E145" s="1130">
        <v>4952342</v>
      </c>
      <c r="F145" s="1130">
        <v>4952785</v>
      </c>
      <c r="G145" s="1141">
        <f>2296706</f>
        <v>2296706</v>
      </c>
      <c r="H145" s="2024"/>
      <c r="I145" s="2024"/>
      <c r="J145" s="2024"/>
      <c r="K145" s="2087"/>
      <c r="L145" s="2087">
        <v>0</v>
      </c>
      <c r="M145" s="2087">
        <v>0</v>
      </c>
      <c r="N145" s="2087">
        <v>0</v>
      </c>
      <c r="P145"/>
    </row>
    <row r="146" spans="1:16" ht="13" customHeight="1">
      <c r="A146" s="985" t="s">
        <v>1462</v>
      </c>
      <c r="B146" s="1132" t="s">
        <v>47</v>
      </c>
      <c r="C146" s="1129">
        <v>1813861</v>
      </c>
      <c r="D146" s="1130">
        <v>1817095</v>
      </c>
      <c r="E146" s="1130">
        <v>1168698</v>
      </c>
      <c r="F146" s="1130">
        <v>840876</v>
      </c>
      <c r="G146" s="1130">
        <v>1817826</v>
      </c>
      <c r="H146" s="1130">
        <v>1817900</v>
      </c>
      <c r="I146" s="1130">
        <v>1861249</v>
      </c>
      <c r="J146" s="1130">
        <v>1823535</v>
      </c>
      <c r="K146" s="2134">
        <v>1823868</v>
      </c>
      <c r="L146" s="2134">
        <v>2327540</v>
      </c>
      <c r="M146" s="2134">
        <v>2328022</v>
      </c>
      <c r="N146" s="2134">
        <v>2328022</v>
      </c>
      <c r="P146"/>
    </row>
    <row r="147" spans="1:16" ht="13" customHeight="1">
      <c r="A147" s="985" t="s">
        <v>1462</v>
      </c>
      <c r="B147" s="1132" t="s">
        <v>387</v>
      </c>
      <c r="C147" s="1129">
        <v>1301224</v>
      </c>
      <c r="D147" s="1130">
        <v>1302970</v>
      </c>
      <c r="E147" s="1130">
        <v>1302691</v>
      </c>
      <c r="F147" s="1130">
        <v>1302338</v>
      </c>
      <c r="G147" s="1130">
        <v>1302209</v>
      </c>
      <c r="H147" s="1130">
        <v>1302069</v>
      </c>
      <c r="I147" s="1130">
        <v>1349005</v>
      </c>
      <c r="J147" s="1130">
        <v>1702173</v>
      </c>
      <c r="K147" s="2134">
        <v>1702507</v>
      </c>
      <c r="L147" s="2134">
        <v>1703106</v>
      </c>
      <c r="M147" s="2134">
        <v>1703255</v>
      </c>
      <c r="N147" s="2134">
        <v>1703255</v>
      </c>
      <c r="P147"/>
    </row>
    <row r="148" spans="1:16" ht="13" customHeight="1">
      <c r="A148" s="985" t="s">
        <v>1462</v>
      </c>
      <c r="B148" s="1133" t="s">
        <v>489</v>
      </c>
      <c r="C148" s="1134">
        <v>910450</v>
      </c>
      <c r="D148" s="1135">
        <v>1100602</v>
      </c>
      <c r="E148" s="1130">
        <v>1099453</v>
      </c>
      <c r="F148" s="1130">
        <v>1098461</v>
      </c>
      <c r="G148" s="1130">
        <v>1097927</v>
      </c>
      <c r="H148" s="1130">
        <v>1097513</v>
      </c>
      <c r="I148" s="1130">
        <f>451833+37418</f>
        <v>489251</v>
      </c>
      <c r="J148" s="1130"/>
      <c r="K148" s="2086"/>
      <c r="L148" s="2086">
        <v>0</v>
      </c>
      <c r="M148" s="2086">
        <v>0</v>
      </c>
      <c r="N148" s="2086">
        <v>0</v>
      </c>
      <c r="P148"/>
    </row>
    <row r="149" spans="1:16" ht="13" customHeight="1">
      <c r="A149" s="985" t="s">
        <v>1462</v>
      </c>
      <c r="B149" s="1132" t="s">
        <v>285</v>
      </c>
      <c r="C149" s="1130">
        <v>1093846</v>
      </c>
      <c r="D149" s="1130">
        <v>1096672</v>
      </c>
      <c r="E149" s="1130">
        <v>1096424</v>
      </c>
      <c r="F149" s="1130">
        <v>1096094</v>
      </c>
      <c r="G149" s="1130">
        <v>1095978</v>
      </c>
      <c r="H149" s="1130">
        <v>1095848</v>
      </c>
      <c r="I149" s="1130">
        <v>1143179</v>
      </c>
      <c r="J149" s="1130">
        <v>1101672</v>
      </c>
      <c r="K149" s="2134">
        <v>1101736</v>
      </c>
      <c r="L149" s="2134">
        <v>1101825</v>
      </c>
      <c r="M149" s="2134">
        <v>1101854</v>
      </c>
      <c r="N149" s="2134">
        <v>1101632</v>
      </c>
      <c r="P149"/>
    </row>
    <row r="150" spans="1:16" ht="13" customHeight="1">
      <c r="A150" s="985" t="s">
        <v>1462</v>
      </c>
      <c r="B150" s="1132" t="s">
        <v>49</v>
      </c>
      <c r="C150" s="1129">
        <v>1813861</v>
      </c>
      <c r="D150" s="1130">
        <v>1762071</v>
      </c>
      <c r="E150" s="1130">
        <v>1395687</v>
      </c>
      <c r="F150" s="1130">
        <v>1762617</v>
      </c>
      <c r="G150" s="1130">
        <v>1762802</v>
      </c>
      <c r="H150" s="1130">
        <v>1762876</v>
      </c>
      <c r="I150" s="1130">
        <v>1799128</v>
      </c>
      <c r="J150" s="1130">
        <v>1768333</v>
      </c>
      <c r="K150" s="2134">
        <v>2556816</v>
      </c>
      <c r="L150" s="2134">
        <v>2556816</v>
      </c>
      <c r="M150" s="2134">
        <v>2557298</v>
      </c>
      <c r="N150" s="2134">
        <v>5447844</v>
      </c>
    </row>
    <row r="151" spans="1:16" ht="13" customHeight="1">
      <c r="A151" s="985" t="s">
        <v>1462</v>
      </c>
      <c r="B151" s="1133" t="s">
        <v>425</v>
      </c>
      <c r="C151" s="1129">
        <v>1400404</v>
      </c>
      <c r="D151" s="1130">
        <v>1403639</v>
      </c>
      <c r="E151" s="1130">
        <v>1404039</v>
      </c>
      <c r="F151" s="1130">
        <v>1404185</v>
      </c>
      <c r="G151" s="1130">
        <v>1404370</v>
      </c>
      <c r="H151" s="1130">
        <v>519000</v>
      </c>
      <c r="I151" s="1130">
        <v>0</v>
      </c>
      <c r="J151" s="1130"/>
      <c r="K151" s="2086"/>
      <c r="L151" s="2086">
        <v>0</v>
      </c>
      <c r="M151" s="2086">
        <v>0</v>
      </c>
      <c r="N151" s="2086">
        <v>0</v>
      </c>
      <c r="P151"/>
    </row>
    <row r="152" spans="1:16" ht="13" customHeight="1">
      <c r="A152" s="985" t="s">
        <v>1462</v>
      </c>
      <c r="B152" s="1132" t="s">
        <v>55</v>
      </c>
      <c r="C152" s="1129">
        <v>1613773</v>
      </c>
      <c r="D152" s="1130">
        <v>1616983</v>
      </c>
      <c r="E152" s="1130">
        <v>1617383</v>
      </c>
      <c r="F152" s="1130">
        <v>1617529</v>
      </c>
      <c r="G152" s="1130">
        <v>1617714</v>
      </c>
      <c r="H152" s="1130">
        <v>2701770</v>
      </c>
      <c r="I152" s="1130">
        <v>2737443</v>
      </c>
      <c r="J152" s="1130">
        <v>2706963</v>
      </c>
      <c r="K152" s="2134">
        <v>2708038</v>
      </c>
      <c r="L152" s="2134">
        <v>2708038</v>
      </c>
      <c r="M152" s="2134">
        <v>2708520</v>
      </c>
      <c r="N152" s="2134">
        <v>5993282</v>
      </c>
      <c r="P152"/>
    </row>
    <row r="153" spans="1:16" ht="13" customHeight="1">
      <c r="A153" s="985" t="s">
        <v>1462</v>
      </c>
      <c r="B153" s="1132" t="s">
        <v>459</v>
      </c>
      <c r="C153" s="1137">
        <v>1001568</v>
      </c>
      <c r="D153" s="1138">
        <v>0</v>
      </c>
      <c r="E153" s="1138">
        <v>0</v>
      </c>
      <c r="F153" s="1092">
        <v>0</v>
      </c>
      <c r="G153" s="1138">
        <v>0</v>
      </c>
      <c r="H153" s="1138">
        <v>0</v>
      </c>
      <c r="I153" s="1138">
        <v>0</v>
      </c>
      <c r="J153" s="1138"/>
      <c r="K153" s="2087"/>
      <c r="L153" s="2087">
        <v>0</v>
      </c>
      <c r="M153" s="2087">
        <v>0</v>
      </c>
      <c r="N153" s="2087">
        <v>0</v>
      </c>
      <c r="P153"/>
    </row>
    <row r="154" spans="1:16" ht="13" customHeight="1">
      <c r="A154" s="985" t="s">
        <v>1462</v>
      </c>
      <c r="B154" s="1132" t="s">
        <v>52</v>
      </c>
      <c r="C154" s="1129">
        <v>2509297</v>
      </c>
      <c r="D154" s="1130">
        <v>2512197</v>
      </c>
      <c r="E154" s="1130">
        <v>2513484</v>
      </c>
      <c r="F154" s="1130">
        <v>2513958</v>
      </c>
      <c r="G154" s="1130">
        <v>2514553</v>
      </c>
      <c r="H154" s="1130">
        <v>2514791</v>
      </c>
      <c r="I154" s="1130">
        <v>1558177</v>
      </c>
      <c r="J154" s="1130">
        <v>2519966</v>
      </c>
      <c r="K154" s="2134">
        <v>2521041</v>
      </c>
      <c r="L154" s="2134">
        <v>2521041</v>
      </c>
      <c r="M154" s="2134">
        <v>2521523</v>
      </c>
      <c r="N154" s="2134">
        <v>7151699</v>
      </c>
      <c r="P154"/>
    </row>
    <row r="155" spans="1:16" ht="13" customHeight="1">
      <c r="A155" s="985" t="s">
        <v>1462</v>
      </c>
      <c r="B155" s="1133" t="s">
        <v>427</v>
      </c>
      <c r="C155" s="1129">
        <v>5983295</v>
      </c>
      <c r="D155" s="1130">
        <v>5980691</v>
      </c>
      <c r="E155" s="1130">
        <v>5990953</v>
      </c>
      <c r="F155" s="1130">
        <v>5993653</v>
      </c>
      <c r="G155" s="1130">
        <v>5998392</v>
      </c>
      <c r="H155" s="1130">
        <v>5999913</v>
      </c>
      <c r="I155" s="1130">
        <v>6041755</v>
      </c>
      <c r="J155" s="1130">
        <v>6001145</v>
      </c>
      <c r="K155" s="2134">
        <v>6010933</v>
      </c>
      <c r="L155" s="2134">
        <v>6009608</v>
      </c>
      <c r="M155" s="2134">
        <v>6013996</v>
      </c>
      <c r="N155" s="2134">
        <v>6013000</v>
      </c>
    </row>
    <row r="156" spans="1:16" ht="13" customHeight="1">
      <c r="A156" s="985" t="s">
        <v>1462</v>
      </c>
      <c r="B156" s="1132" t="s">
        <v>48</v>
      </c>
      <c r="C156" s="1129">
        <v>4407826</v>
      </c>
      <c r="D156" s="1130">
        <v>4405771</v>
      </c>
      <c r="E156" s="1130">
        <v>4410487</v>
      </c>
      <c r="F156" s="1130">
        <v>4410582</v>
      </c>
      <c r="G156" s="1130">
        <f>4410299+5000000</f>
        <v>9410299</v>
      </c>
      <c r="H156" s="1130">
        <v>4409676</v>
      </c>
      <c r="I156" s="1130">
        <v>5984194</v>
      </c>
      <c r="J156" s="1130">
        <v>5943328</v>
      </c>
      <c r="K156" s="2134">
        <v>5943708</v>
      </c>
      <c r="L156" s="2134">
        <v>5942218</v>
      </c>
      <c r="M156" s="2134">
        <v>5946537</v>
      </c>
      <c r="N156" s="2134">
        <v>15102285</v>
      </c>
      <c r="P156"/>
    </row>
    <row r="157" spans="1:16" ht="13" customHeight="1">
      <c r="A157" s="985" t="s">
        <v>1462</v>
      </c>
      <c r="B157" s="1133" t="s">
        <v>409</v>
      </c>
      <c r="C157" s="1130">
        <v>2682783</v>
      </c>
      <c r="D157" s="1130">
        <v>2685743</v>
      </c>
      <c r="E157" s="1130">
        <v>2687031</v>
      </c>
      <c r="F157" s="1130">
        <v>2687504</v>
      </c>
      <c r="G157" s="1130">
        <v>2688099</v>
      </c>
      <c r="H157" s="1130">
        <v>2688338</v>
      </c>
      <c r="I157" s="1130">
        <v>2730399</v>
      </c>
      <c r="J157" s="1130">
        <v>2693616</v>
      </c>
      <c r="K157" s="2134">
        <v>2676190</v>
      </c>
      <c r="L157" s="2134">
        <v>2677114</v>
      </c>
      <c r="M157" s="2134">
        <v>2715289</v>
      </c>
      <c r="N157" s="2134">
        <v>2715289</v>
      </c>
      <c r="P157"/>
    </row>
    <row r="158" spans="1:16" ht="13" customHeight="1">
      <c r="A158" s="985" t="s">
        <v>1462</v>
      </c>
      <c r="B158" s="1132" t="s">
        <v>42</v>
      </c>
      <c r="C158" s="1129">
        <v>5959442</v>
      </c>
      <c r="D158" s="1130">
        <v>5952872</v>
      </c>
      <c r="E158" s="1130">
        <v>5959430</v>
      </c>
      <c r="F158" s="1130">
        <v>5959401</v>
      </c>
      <c r="G158" s="1130">
        <v>5962424</v>
      </c>
      <c r="H158" s="1130">
        <v>5962778</v>
      </c>
      <c r="I158" s="1130">
        <v>6000200</v>
      </c>
      <c r="J158" s="1130">
        <v>5962264</v>
      </c>
      <c r="K158" s="2134">
        <v>5741136</v>
      </c>
      <c r="L158" s="2134">
        <v>5737476</v>
      </c>
      <c r="M158" s="2134">
        <v>5740905</v>
      </c>
      <c r="N158" s="2134">
        <v>7324633</v>
      </c>
      <c r="P158"/>
    </row>
    <row r="159" spans="1:16" ht="13" customHeight="1">
      <c r="A159" s="985" t="s">
        <v>1462</v>
      </c>
      <c r="B159" s="1133" t="s">
        <v>561</v>
      </c>
      <c r="C159" s="1141"/>
      <c r="D159" s="1130">
        <v>272335</v>
      </c>
      <c r="E159" s="2026">
        <v>0</v>
      </c>
      <c r="F159" s="2027">
        <v>0</v>
      </c>
      <c r="G159" s="2026">
        <v>0</v>
      </c>
      <c r="H159" s="2026">
        <v>0</v>
      </c>
      <c r="I159" s="2026">
        <v>0</v>
      </c>
      <c r="J159" s="2026"/>
      <c r="K159" s="2086"/>
      <c r="L159" s="2086">
        <v>0</v>
      </c>
      <c r="M159" s="2086">
        <v>0</v>
      </c>
      <c r="N159" s="2086">
        <v>0</v>
      </c>
      <c r="P159"/>
    </row>
    <row r="160" spans="1:16" ht="13" customHeight="1">
      <c r="A160" s="985" t="s">
        <v>1462</v>
      </c>
      <c r="B160" s="1132" t="s">
        <v>45</v>
      </c>
      <c r="C160" s="1129">
        <v>3284360</v>
      </c>
      <c r="D160" s="1130">
        <v>3283667</v>
      </c>
      <c r="E160" s="1130">
        <v>3283527</v>
      </c>
      <c r="F160" s="1471">
        <v>3282198</v>
      </c>
      <c r="G160" s="1130">
        <v>3281255</v>
      </c>
      <c r="H160" s="1130">
        <v>3280332</v>
      </c>
      <c r="I160" s="1130">
        <v>3325136</v>
      </c>
      <c r="J160" s="1130">
        <v>3285005</v>
      </c>
      <c r="K160" s="2134">
        <v>3277834</v>
      </c>
      <c r="L160" s="2134">
        <v>3276140</v>
      </c>
      <c r="M160" s="2134">
        <v>3275926</v>
      </c>
      <c r="N160" s="2134">
        <v>3274651</v>
      </c>
    </row>
    <row r="161" spans="1:16" ht="13" customHeight="1">
      <c r="A161" s="985" t="s">
        <v>1462</v>
      </c>
      <c r="B161" s="1132" t="s">
        <v>562</v>
      </c>
      <c r="C161" s="1141"/>
      <c r="D161" s="1130">
        <v>4272313</v>
      </c>
      <c r="E161" s="1130">
        <v>3868183</v>
      </c>
      <c r="F161" s="1130">
        <v>3866953</v>
      </c>
      <c r="G161" s="1130">
        <f>1048224</f>
        <v>1048224</v>
      </c>
      <c r="H161" s="1130">
        <v>5335183</v>
      </c>
      <c r="I161" s="1130">
        <v>5533284</v>
      </c>
      <c r="J161" s="1130">
        <v>5506249</v>
      </c>
      <c r="K161" s="2134">
        <v>5511904</v>
      </c>
      <c r="L161" s="2134">
        <v>2758246</v>
      </c>
      <c r="M161" s="2134">
        <v>8417627</v>
      </c>
      <c r="N161" s="2134">
        <v>0</v>
      </c>
      <c r="P161"/>
    </row>
    <row r="162" spans="1:16" ht="13" customHeight="1">
      <c r="A162" s="985" t="s">
        <v>1462</v>
      </c>
      <c r="B162" s="1132" t="s">
        <v>56</v>
      </c>
      <c r="C162" s="1129">
        <v>4500274</v>
      </c>
      <c r="D162" s="1130">
        <v>4353054</v>
      </c>
      <c r="E162" s="1130">
        <v>4358199</v>
      </c>
      <c r="F162" s="1130">
        <v>4358946</v>
      </c>
      <c r="G162" s="1130">
        <v>5500000</v>
      </c>
      <c r="H162" s="1130">
        <v>5500549</v>
      </c>
      <c r="I162" s="1130">
        <v>5543963</v>
      </c>
      <c r="J162" s="1130">
        <v>5502930</v>
      </c>
      <c r="K162" s="2134">
        <v>5504099</v>
      </c>
      <c r="L162" s="2134">
        <v>5502677</v>
      </c>
      <c r="M162" s="2134">
        <v>4266156</v>
      </c>
      <c r="N162" s="2134">
        <v>5862202</v>
      </c>
      <c r="P162"/>
    </row>
    <row r="163" spans="1:16" ht="13" customHeight="1">
      <c r="A163" s="985" t="s">
        <v>1462</v>
      </c>
      <c r="B163" s="1132" t="s">
        <v>458</v>
      </c>
      <c r="C163" s="1137">
        <v>1560029</v>
      </c>
      <c r="D163" s="2024"/>
      <c r="E163" s="2024"/>
      <c r="F163" s="2025"/>
      <c r="G163" s="2024"/>
      <c r="H163" s="2024"/>
      <c r="I163" s="2024"/>
      <c r="J163" s="2024"/>
      <c r="K163" s="2087"/>
      <c r="L163" s="2087">
        <v>0</v>
      </c>
      <c r="M163" s="2087">
        <v>0</v>
      </c>
      <c r="N163" s="2087">
        <v>0</v>
      </c>
    </row>
    <row r="164" spans="1:16" ht="13" customHeight="1">
      <c r="A164" s="985" t="s">
        <v>1462</v>
      </c>
      <c r="B164" s="1133" t="s">
        <v>426</v>
      </c>
      <c r="C164" s="1129">
        <v>4981094</v>
      </c>
      <c r="D164" s="1130">
        <v>4979547</v>
      </c>
      <c r="E164" s="1130">
        <v>4984721</v>
      </c>
      <c r="F164" s="1130">
        <v>3739119</v>
      </c>
      <c r="G164" s="1130">
        <v>3740910</v>
      </c>
      <c r="H164" s="1130">
        <v>3741328</v>
      </c>
      <c r="I164" s="1130">
        <v>3778581</v>
      </c>
      <c r="J164" s="1130">
        <v>3743289</v>
      </c>
      <c r="K164" s="2134">
        <v>3661947</v>
      </c>
      <c r="L164" s="2134">
        <v>3728348</v>
      </c>
      <c r="M164" s="2134">
        <v>3730212</v>
      </c>
      <c r="N164" s="2134">
        <v>3633135</v>
      </c>
      <c r="P164"/>
    </row>
    <row r="165" spans="1:16" ht="13" customHeight="1">
      <c r="A165" s="985" t="s">
        <v>1462</v>
      </c>
      <c r="B165" s="1132" t="s">
        <v>51</v>
      </c>
      <c r="C165" s="1129">
        <v>2979737</v>
      </c>
      <c r="D165" s="1130">
        <v>4500000</v>
      </c>
      <c r="E165" s="1130">
        <v>4505168</v>
      </c>
      <c r="F165" s="1130">
        <v>4505933</v>
      </c>
      <c r="G165" s="1130">
        <v>4508318</v>
      </c>
      <c r="H165" s="1130">
        <v>4508875</v>
      </c>
      <c r="I165" s="1130">
        <v>4553934</v>
      </c>
      <c r="J165" s="1130">
        <v>4511484</v>
      </c>
      <c r="K165" s="2134">
        <v>4516111</v>
      </c>
      <c r="L165" s="2134">
        <v>4514539</v>
      </c>
      <c r="M165" s="2134">
        <v>4515138</v>
      </c>
      <c r="N165" s="2134">
        <v>4513954</v>
      </c>
      <c r="P165"/>
    </row>
    <row r="166" spans="1:16" ht="12.75" customHeight="1">
      <c r="A166" s="985" t="s">
        <v>1462</v>
      </c>
      <c r="B166" s="1132" t="s">
        <v>460</v>
      </c>
      <c r="C166" s="1140">
        <v>1002343</v>
      </c>
      <c r="D166" s="2029"/>
      <c r="E166" s="2029"/>
      <c r="F166" s="2030"/>
      <c r="G166" s="2029"/>
      <c r="H166" s="2029"/>
      <c r="I166" s="2029"/>
      <c r="J166" s="2029"/>
      <c r="K166" s="2088"/>
      <c r="L166" s="2088">
        <v>0</v>
      </c>
      <c r="M166" s="2088">
        <v>0</v>
      </c>
      <c r="N166" s="2088">
        <v>0</v>
      </c>
      <c r="P166"/>
    </row>
    <row r="167" spans="1:16" ht="13" customHeight="1">
      <c r="A167" s="985" t="s">
        <v>1462</v>
      </c>
      <c r="B167" s="1132" t="s">
        <v>54</v>
      </c>
      <c r="C167" s="1129">
        <v>1609423</v>
      </c>
      <c r="D167" s="1130">
        <v>1612661</v>
      </c>
      <c r="E167" s="1130">
        <v>1613061</v>
      </c>
      <c r="F167" s="1130">
        <v>1613207</v>
      </c>
      <c r="G167" s="1130">
        <v>1613392</v>
      </c>
      <c r="H167" s="1130">
        <v>1613466</v>
      </c>
      <c r="I167" s="1130">
        <v>1636375</v>
      </c>
      <c r="J167" s="1130">
        <v>1619107</v>
      </c>
      <c r="K167" s="2134">
        <v>1619441</v>
      </c>
      <c r="L167" s="2134">
        <v>1620013</v>
      </c>
      <c r="M167" s="2134">
        <v>1620163</v>
      </c>
      <c r="N167" s="2134">
        <v>3207186</v>
      </c>
      <c r="P167"/>
    </row>
    <row r="168" spans="1:16" ht="13" customHeight="1">
      <c r="A168" s="985" t="s">
        <v>1462</v>
      </c>
      <c r="B168" s="2355" t="s">
        <v>1828</v>
      </c>
      <c r="C168" s="2356"/>
      <c r="D168" s="2353"/>
      <c r="E168" s="2353"/>
      <c r="F168" s="2353"/>
      <c r="G168" s="2353"/>
      <c r="H168" s="2353"/>
      <c r="I168" s="2353"/>
      <c r="J168" s="2353"/>
      <c r="K168" s="2354"/>
      <c r="L168" s="2134">
        <v>1880404</v>
      </c>
      <c r="M168" s="2134">
        <v>2831395</v>
      </c>
      <c r="N168" s="2134">
        <v>2830151</v>
      </c>
      <c r="P168"/>
    </row>
    <row r="169" spans="1:16" ht="13" customHeight="1">
      <c r="A169" s="985" t="s">
        <v>1462</v>
      </c>
      <c r="B169" s="1132" t="s">
        <v>363</v>
      </c>
      <c r="C169" s="1130">
        <v>1101066</v>
      </c>
      <c r="D169" s="1130">
        <v>1104300</v>
      </c>
      <c r="E169" s="1130">
        <v>1104700</v>
      </c>
      <c r="F169" s="1130">
        <v>665684</v>
      </c>
      <c r="G169" s="1130">
        <v>872729</v>
      </c>
      <c r="H169" s="1130">
        <v>1078459</v>
      </c>
      <c r="I169" s="1130">
        <v>1431628</v>
      </c>
      <c r="J169" s="1130">
        <v>1398922</v>
      </c>
      <c r="K169" s="2134">
        <v>1398954</v>
      </c>
      <c r="L169" s="2134">
        <v>1398625</v>
      </c>
      <c r="M169" s="2134">
        <v>1398640</v>
      </c>
      <c r="N169" s="2134">
        <v>1398391</v>
      </c>
      <c r="P169"/>
    </row>
    <row r="170" spans="1:16" ht="13" customHeight="1">
      <c r="A170" s="985" t="s">
        <v>1462</v>
      </c>
      <c r="B170" s="1132" t="s">
        <v>61</v>
      </c>
      <c r="C170" s="1129">
        <v>1107882</v>
      </c>
      <c r="D170" s="1130">
        <v>1111116</v>
      </c>
      <c r="E170" s="1130">
        <v>1111516</v>
      </c>
      <c r="F170" s="1130">
        <v>1305096</v>
      </c>
      <c r="G170" s="2027"/>
      <c r="H170" s="2026"/>
      <c r="I170" s="2026"/>
      <c r="J170" s="2026"/>
      <c r="K170" s="2086"/>
      <c r="L170" s="2086">
        <v>0</v>
      </c>
      <c r="M170" s="2086">
        <v>0</v>
      </c>
      <c r="N170" s="2086">
        <v>0</v>
      </c>
      <c r="P170"/>
    </row>
    <row r="171" spans="1:16" ht="13" customHeight="1">
      <c r="A171" s="985" t="s">
        <v>1462</v>
      </c>
      <c r="B171" s="1132" t="s">
        <v>57</v>
      </c>
      <c r="C171" s="1129">
        <v>1298799</v>
      </c>
      <c r="D171" s="1130">
        <v>1304331</v>
      </c>
      <c r="E171" s="2026">
        <v>0</v>
      </c>
      <c r="F171" s="2027">
        <v>0</v>
      </c>
      <c r="G171" s="2027">
        <v>0</v>
      </c>
      <c r="H171" s="2026">
        <v>0</v>
      </c>
      <c r="I171" s="2026"/>
      <c r="J171" s="2026"/>
      <c r="K171" s="2086"/>
      <c r="L171" s="2086">
        <v>0</v>
      </c>
      <c r="M171" s="2086">
        <v>0</v>
      </c>
      <c r="N171" s="2086">
        <v>0</v>
      </c>
      <c r="P171"/>
    </row>
    <row r="172" spans="1:16" ht="13" customHeight="1">
      <c r="A172" s="985" t="s">
        <v>1462</v>
      </c>
      <c r="B172" s="1132" t="s">
        <v>62</v>
      </c>
      <c r="C172" s="1129">
        <v>1875223</v>
      </c>
      <c r="D172" s="1130">
        <v>1705718</v>
      </c>
      <c r="E172" s="1130">
        <v>1780149</v>
      </c>
      <c r="F172" s="1130">
        <v>1706265</v>
      </c>
      <c r="G172" s="1130">
        <v>1706449</v>
      </c>
      <c r="H172" s="1130">
        <v>1699687</v>
      </c>
      <c r="I172" s="1130">
        <v>1741324</v>
      </c>
      <c r="J172" s="1130">
        <v>1705377</v>
      </c>
      <c r="K172" s="2134">
        <v>1705326</v>
      </c>
      <c r="L172" s="2134">
        <v>1704907</v>
      </c>
      <c r="M172" s="2134">
        <v>1704884</v>
      </c>
      <c r="N172" s="2134">
        <v>4462199</v>
      </c>
    </row>
    <row r="173" spans="1:16" ht="13" customHeight="1">
      <c r="A173" s="985" t="s">
        <v>1462</v>
      </c>
      <c r="B173" s="1132" t="s">
        <v>58</v>
      </c>
      <c r="C173" s="1129">
        <v>1280015</v>
      </c>
      <c r="D173" s="1130">
        <v>1282550</v>
      </c>
      <c r="E173" s="1130">
        <v>1282031</v>
      </c>
      <c r="F173" s="1130">
        <v>1281502</v>
      </c>
      <c r="G173" s="1130">
        <v>1281261</v>
      </c>
      <c r="H173" s="1130">
        <v>1281045</v>
      </c>
      <c r="I173" s="1130">
        <v>1328425</v>
      </c>
      <c r="J173" s="1130">
        <v>1286736</v>
      </c>
      <c r="K173" s="2134">
        <v>1269251</v>
      </c>
      <c r="L173" s="2134">
        <v>1268784</v>
      </c>
      <c r="M173" s="2134">
        <v>1268741</v>
      </c>
      <c r="N173" s="2134">
        <v>1268390</v>
      </c>
      <c r="P173"/>
    </row>
    <row r="174" spans="1:16" ht="13" customHeight="1">
      <c r="A174" s="985" t="s">
        <v>1462</v>
      </c>
      <c r="B174" s="1132" t="s">
        <v>563</v>
      </c>
      <c r="C174" s="1141"/>
      <c r="D174" s="1130">
        <v>1410689</v>
      </c>
      <c r="E174" s="1130">
        <v>1503735</v>
      </c>
      <c r="F174" s="1130">
        <v>1503881</v>
      </c>
      <c r="G174" s="1130">
        <v>1504066</v>
      </c>
      <c r="H174" s="1130">
        <v>1503916</v>
      </c>
      <c r="I174" s="1130">
        <v>1533003</v>
      </c>
      <c r="J174" s="1130">
        <v>1499235</v>
      </c>
      <c r="K174" s="2134">
        <v>1499249</v>
      </c>
      <c r="L174" s="2134">
        <v>1499425</v>
      </c>
      <c r="M174" s="2134">
        <v>1499432</v>
      </c>
      <c r="N174" s="2134">
        <v>2899170</v>
      </c>
    </row>
    <row r="175" spans="1:16" ht="13" customHeight="1">
      <c r="A175" s="985" t="s">
        <v>1462</v>
      </c>
      <c r="B175" s="1132" t="s">
        <v>65</v>
      </c>
      <c r="C175" s="1130">
        <v>1288373</v>
      </c>
      <c r="D175" s="1130">
        <v>1277520</v>
      </c>
      <c r="E175" s="1130">
        <v>1290355</v>
      </c>
      <c r="F175" s="1130">
        <v>1289824</v>
      </c>
      <c r="G175" s="1130">
        <v>1289583</v>
      </c>
      <c r="H175" s="1130">
        <v>1289367</v>
      </c>
      <c r="I175" s="1130">
        <f>668013+1075767</f>
        <v>1743780</v>
      </c>
      <c r="J175" s="1130"/>
      <c r="K175" s="2137"/>
      <c r="L175" s="2137">
        <v>0</v>
      </c>
      <c r="M175" s="2137">
        <v>0</v>
      </c>
      <c r="N175" s="2137">
        <v>0</v>
      </c>
      <c r="P175"/>
    </row>
    <row r="176" spans="1:16" ht="13" customHeight="1">
      <c r="A176" s="985" t="s">
        <v>1462</v>
      </c>
      <c r="B176" s="1132" t="s">
        <v>40</v>
      </c>
      <c r="C176" s="1129">
        <f>7037660+613470</f>
        <v>7651130</v>
      </c>
      <c r="D176" s="1130">
        <v>7646492</v>
      </c>
      <c r="E176" s="1130">
        <v>7659815</v>
      </c>
      <c r="F176" s="1130">
        <v>7662741</v>
      </c>
      <c r="G176" s="1130">
        <v>7668893</v>
      </c>
      <c r="H176" s="1130">
        <v>7670848</v>
      </c>
      <c r="I176" s="1130">
        <v>7705540</v>
      </c>
      <c r="J176" s="1130">
        <v>7670502</v>
      </c>
      <c r="K176" s="2134">
        <v>7683274</v>
      </c>
      <c r="L176" s="2134">
        <v>7681484</v>
      </c>
      <c r="M176" s="2134">
        <v>7687209</v>
      </c>
      <c r="N176" s="2134">
        <v>7685861</v>
      </c>
      <c r="P176"/>
    </row>
    <row r="177" spans="1:16" ht="13" customHeight="1">
      <c r="A177" s="985" t="s">
        <v>1462</v>
      </c>
      <c r="B177" s="1132" t="s">
        <v>53</v>
      </c>
      <c r="C177" s="1129">
        <v>5857275</v>
      </c>
      <c r="D177" s="1130">
        <v>5853496</v>
      </c>
      <c r="E177" s="1130">
        <v>8969681</v>
      </c>
      <c r="F177" s="2030"/>
      <c r="G177" s="2030"/>
      <c r="H177" s="2029"/>
      <c r="I177" s="2029"/>
      <c r="J177" s="2029"/>
      <c r="K177" s="2136"/>
      <c r="L177" s="2136">
        <v>0</v>
      </c>
      <c r="M177" s="2136">
        <v>0</v>
      </c>
      <c r="N177" s="2136">
        <v>0</v>
      </c>
      <c r="P177"/>
    </row>
    <row r="178" spans="1:16" ht="13" customHeight="1">
      <c r="A178" s="985" t="s">
        <v>1462</v>
      </c>
      <c r="B178" s="1132" t="s">
        <v>46</v>
      </c>
      <c r="C178" s="1129">
        <v>2979737</v>
      </c>
      <c r="D178" s="1130">
        <v>2979611</v>
      </c>
      <c r="E178" s="1130">
        <v>2977403</v>
      </c>
      <c r="F178" s="1130">
        <v>2961313</v>
      </c>
      <c r="G178" s="1130">
        <v>2960248</v>
      </c>
      <c r="H178" s="1130">
        <v>2959356</v>
      </c>
      <c r="I178" s="1130">
        <v>3011260</v>
      </c>
      <c r="J178" s="1130">
        <v>2964074</v>
      </c>
      <c r="K178" s="2134">
        <v>2956548</v>
      </c>
      <c r="L178" s="2134">
        <v>2954897</v>
      </c>
      <c r="M178" s="2134">
        <v>2954702</v>
      </c>
      <c r="N178" s="2134">
        <v>7096948</v>
      </c>
      <c r="P178"/>
    </row>
    <row r="179" spans="1:16" ht="13" customHeight="1">
      <c r="A179" s="985" t="s">
        <v>1462</v>
      </c>
      <c r="B179" s="1132" t="s">
        <v>50</v>
      </c>
      <c r="C179" s="1129">
        <v>1613755</v>
      </c>
      <c r="D179" s="1130">
        <v>1616961</v>
      </c>
      <c r="E179" s="1130">
        <v>1617360</v>
      </c>
      <c r="F179" s="1130">
        <v>1617507</v>
      </c>
      <c r="G179" s="1130">
        <v>1617692</v>
      </c>
      <c r="H179" s="1130">
        <v>1617766</v>
      </c>
      <c r="I179" s="1130">
        <v>1660750</v>
      </c>
      <c r="J179" s="1130">
        <v>1623353</v>
      </c>
      <c r="K179" s="2134">
        <v>2229637</v>
      </c>
      <c r="L179" s="2134">
        <v>2229637</v>
      </c>
      <c r="M179" s="2134">
        <v>2230119</v>
      </c>
      <c r="N179" s="2134">
        <v>2230119</v>
      </c>
      <c r="P179"/>
    </row>
    <row r="180" spans="1:16" ht="13" customHeight="1">
      <c r="A180" s="985" t="s">
        <v>1462</v>
      </c>
      <c r="B180" s="1132" t="s">
        <v>41</v>
      </c>
      <c r="C180" s="1129">
        <v>2306363</v>
      </c>
      <c r="D180" s="1130">
        <v>2308043</v>
      </c>
      <c r="E180" s="1130">
        <v>3500000</v>
      </c>
      <c r="F180" s="1130">
        <v>3498808</v>
      </c>
      <c r="G180" s="1130">
        <v>3498826</v>
      </c>
      <c r="H180" s="1130">
        <v>3498407</v>
      </c>
      <c r="I180" s="1130">
        <v>3545926</v>
      </c>
      <c r="J180" s="1130">
        <v>3502277</v>
      </c>
      <c r="K180" s="2134">
        <v>3503686</v>
      </c>
      <c r="L180" s="2134">
        <v>3502194</v>
      </c>
      <c r="M180" s="2134">
        <v>3502826</v>
      </c>
      <c r="N180" s="2134">
        <v>3501703</v>
      </c>
      <c r="P180"/>
    </row>
    <row r="181" spans="1:16" ht="13" customHeight="1">
      <c r="A181" s="985" t="s">
        <v>1462</v>
      </c>
      <c r="B181" s="1132" t="s">
        <v>64</v>
      </c>
      <c r="C181" s="1130">
        <v>4147649</v>
      </c>
      <c r="D181" s="1130">
        <v>4146669</v>
      </c>
      <c r="E181" s="1130">
        <v>4146401</v>
      </c>
      <c r="F181" s="1130">
        <v>4144977</v>
      </c>
      <c r="G181" s="1130">
        <v>4144850</v>
      </c>
      <c r="H181" s="1130">
        <v>4144333</v>
      </c>
      <c r="I181" s="1130">
        <v>4187861</v>
      </c>
      <c r="J181" s="1130">
        <v>4148271</v>
      </c>
      <c r="K181" s="2134">
        <v>4142837</v>
      </c>
      <c r="L181" s="2134">
        <v>4738844</v>
      </c>
      <c r="M181" s="2134">
        <v>4741294</v>
      </c>
      <c r="N181" s="2134">
        <v>8402409</v>
      </c>
      <c r="P181"/>
    </row>
    <row r="182" spans="1:16" ht="13" customHeight="1">
      <c r="A182" s="985" t="s">
        <v>1462</v>
      </c>
      <c r="B182" s="1132" t="s">
        <v>43</v>
      </c>
      <c r="C182" s="1129">
        <v>2979938</v>
      </c>
      <c r="D182" s="1130">
        <v>2979831</v>
      </c>
      <c r="E182" s="1130">
        <v>2977641</v>
      </c>
      <c r="F182" s="1130">
        <v>2975553</v>
      </c>
      <c r="G182" s="1130">
        <v>2974537</v>
      </c>
      <c r="H182" s="1130">
        <v>2973679</v>
      </c>
      <c r="I182" s="1130">
        <v>3019800</v>
      </c>
      <c r="J182" s="1130">
        <v>2978446</v>
      </c>
      <c r="K182" s="2134">
        <v>2978072</v>
      </c>
      <c r="L182" s="2134">
        <v>5004306</v>
      </c>
      <c r="M182" s="2134">
        <v>5006821</v>
      </c>
      <c r="N182" s="2134">
        <v>5005774</v>
      </c>
      <c r="P182"/>
    </row>
    <row r="183" spans="1:16" ht="13" customHeight="1">
      <c r="A183" s="985" t="s">
        <v>1462</v>
      </c>
      <c r="B183" s="1132" t="s">
        <v>386</v>
      </c>
      <c r="C183" s="1130">
        <v>10019144</v>
      </c>
      <c r="D183" s="1130">
        <v>10015959</v>
      </c>
      <c r="E183" s="1130">
        <v>10030625</v>
      </c>
      <c r="F183" s="1130">
        <v>10035061</v>
      </c>
      <c r="G183" s="1130">
        <v>10041836</v>
      </c>
      <c r="H183" s="1130">
        <v>10044214</v>
      </c>
      <c r="I183" s="1130">
        <v>10078424</v>
      </c>
      <c r="J183" s="1130">
        <v>0</v>
      </c>
      <c r="K183" s="2086">
        <v>10000000</v>
      </c>
      <c r="L183" s="2086">
        <v>13118853</v>
      </c>
      <c r="M183" s="2086">
        <v>7071247</v>
      </c>
      <c r="N183" s="2086">
        <v>7070910</v>
      </c>
    </row>
    <row r="184" spans="1:16" ht="13" customHeight="1">
      <c r="A184" s="985" t="s">
        <v>1462</v>
      </c>
      <c r="B184" s="1132" t="s">
        <v>378</v>
      </c>
      <c r="C184" s="1130">
        <v>5030165</v>
      </c>
      <c r="D184" s="1130">
        <v>5028440</v>
      </c>
      <c r="E184" s="1130">
        <v>5033464</v>
      </c>
      <c r="F184" s="1130">
        <v>5034124</v>
      </c>
      <c r="G184" s="1130">
        <v>5036442</v>
      </c>
      <c r="H184" s="1130">
        <v>5036954</v>
      </c>
      <c r="I184" s="1130">
        <v>5082064</v>
      </c>
      <c r="J184" s="1130">
        <v>5039497</v>
      </c>
      <c r="K184" s="2134">
        <v>5045040</v>
      </c>
      <c r="L184" s="2134">
        <v>5043574</v>
      </c>
      <c r="M184" s="2134">
        <v>5046060</v>
      </c>
      <c r="N184" s="2134">
        <v>11912026</v>
      </c>
      <c r="P184"/>
    </row>
    <row r="185" spans="1:16" ht="13" customHeight="1">
      <c r="A185" s="985" t="s">
        <v>1462</v>
      </c>
      <c r="B185" s="1132" t="s">
        <v>564</v>
      </c>
      <c r="C185" s="1130"/>
      <c r="D185" s="1130">
        <v>6124874</v>
      </c>
      <c r="E185" s="1130">
        <v>6509992</v>
      </c>
      <c r="F185" s="1130">
        <v>6512667</v>
      </c>
      <c r="G185" s="1130">
        <v>6517390</v>
      </c>
      <c r="H185" s="1130">
        <v>6518900</v>
      </c>
      <c r="I185" s="1130">
        <v>6552765</v>
      </c>
      <c r="J185" s="1130">
        <v>6520117</v>
      </c>
      <c r="K185" s="2134">
        <v>6523178</v>
      </c>
      <c r="L185" s="2134">
        <v>6521820</v>
      </c>
      <c r="M185" s="2134">
        <v>6526192</v>
      </c>
      <c r="N185" s="2134">
        <v>6525171</v>
      </c>
      <c r="P185"/>
    </row>
    <row r="186" spans="1:16" ht="13" customHeight="1">
      <c r="A186" s="985" t="s">
        <v>1462</v>
      </c>
      <c r="B186" s="1132" t="s">
        <v>60</v>
      </c>
      <c r="C186" s="1130">
        <v>1642003</v>
      </c>
      <c r="D186" s="1130">
        <v>1645237</v>
      </c>
      <c r="E186" s="1130">
        <v>1645637</v>
      </c>
      <c r="F186" s="1130">
        <v>1645784</v>
      </c>
      <c r="G186" s="1130">
        <v>1645968</v>
      </c>
      <c r="H186" s="1130">
        <v>1646042</v>
      </c>
      <c r="I186" s="1130">
        <v>1683647</v>
      </c>
      <c r="J186" s="1130">
        <v>1651678</v>
      </c>
      <c r="K186" s="2134">
        <v>1652012</v>
      </c>
      <c r="L186" s="2134">
        <v>1652012</v>
      </c>
      <c r="M186" s="2134">
        <v>1745755</v>
      </c>
      <c r="N186" s="2134">
        <v>0</v>
      </c>
      <c r="P186"/>
    </row>
    <row r="187" spans="1:16" ht="13" customHeight="1">
      <c r="A187" s="985" t="s">
        <v>1462</v>
      </c>
      <c r="B187" s="1132" t="s">
        <v>59</v>
      </c>
      <c r="C187" s="1143">
        <v>1790227</v>
      </c>
      <c r="D187" s="1143">
        <v>1792646</v>
      </c>
      <c r="E187" s="1130">
        <v>1792053</v>
      </c>
      <c r="F187" s="1130">
        <v>1791470</v>
      </c>
      <c r="G187" s="1130">
        <v>1791194</v>
      </c>
      <c r="H187" s="1130">
        <v>1790955</v>
      </c>
      <c r="I187" s="1130">
        <v>1831942</v>
      </c>
      <c r="J187" s="1130">
        <v>1796337</v>
      </c>
      <c r="K187" s="2134">
        <v>1796257</v>
      </c>
      <c r="L187" s="2134">
        <v>1804929</v>
      </c>
      <c r="M187" s="2134">
        <v>1804904</v>
      </c>
      <c r="N187" s="2134">
        <v>4557987</v>
      </c>
      <c r="P187"/>
    </row>
    <row r="188" spans="1:16" ht="13" customHeight="1">
      <c r="A188" s="985" t="s">
        <v>1462</v>
      </c>
      <c r="B188" s="1132" t="s">
        <v>461</v>
      </c>
      <c r="C188" s="1140">
        <v>1001311</v>
      </c>
      <c r="D188" s="1142">
        <v>0</v>
      </c>
      <c r="E188" s="1142">
        <v>0</v>
      </c>
      <c r="F188" s="1142">
        <v>0</v>
      </c>
      <c r="G188" s="1142">
        <v>0</v>
      </c>
      <c r="H188" s="1139">
        <v>0</v>
      </c>
      <c r="I188" s="1139"/>
      <c r="J188" s="1130"/>
      <c r="K188" s="2136"/>
      <c r="L188" s="2136">
        <v>0</v>
      </c>
      <c r="M188" s="2136">
        <v>0</v>
      </c>
      <c r="N188" s="2136">
        <v>0</v>
      </c>
      <c r="P188"/>
    </row>
    <row r="189" spans="1:16" ht="13" customHeight="1">
      <c r="A189" s="985" t="s">
        <v>1462</v>
      </c>
      <c r="B189" s="1144" t="s">
        <v>856</v>
      </c>
      <c r="C189" s="1140"/>
      <c r="D189" s="1140"/>
      <c r="E189" s="1140">
        <v>2476691</v>
      </c>
      <c r="F189" s="1130">
        <v>2476115</v>
      </c>
      <c r="G189" s="1130">
        <v>2476050</v>
      </c>
      <c r="H189" s="1130">
        <v>2475838</v>
      </c>
      <c r="I189" s="1130">
        <v>2506257</v>
      </c>
      <c r="J189" s="1130">
        <v>2980859</v>
      </c>
      <c r="K189" s="2134">
        <v>2463831</v>
      </c>
      <c r="L189" s="2134">
        <v>2463182</v>
      </c>
      <c r="M189" s="2134">
        <v>2460622</v>
      </c>
      <c r="N189" s="2134">
        <v>2460128</v>
      </c>
      <c r="P189"/>
    </row>
    <row r="190" spans="1:16" ht="13" customHeight="1">
      <c r="A190" s="985" t="s">
        <v>1462</v>
      </c>
      <c r="B190" s="1144" t="s">
        <v>1177</v>
      </c>
      <c r="C190" s="1139"/>
      <c r="D190" s="1139"/>
      <c r="E190" s="1139"/>
      <c r="F190" s="1130">
        <v>1230922</v>
      </c>
      <c r="G190" s="1130">
        <v>1529680</v>
      </c>
      <c r="H190" s="1130">
        <f>3333905+1180488</f>
        <v>4514393</v>
      </c>
      <c r="I190" s="1130"/>
      <c r="J190" s="1130"/>
      <c r="K190" s="2136"/>
      <c r="L190" s="2136">
        <v>0</v>
      </c>
      <c r="M190" s="2136">
        <v>0</v>
      </c>
      <c r="N190" s="2136">
        <v>0</v>
      </c>
      <c r="P190"/>
    </row>
    <row r="191" spans="1:16" ht="13" customHeight="1">
      <c r="A191" s="985" t="s">
        <v>1462</v>
      </c>
      <c r="B191" s="1144" t="s">
        <v>1189</v>
      </c>
      <c r="C191" s="1139"/>
      <c r="D191" s="1139"/>
      <c r="E191" s="1139"/>
      <c r="F191" s="1130">
        <v>1746516</v>
      </c>
      <c r="G191" s="1130">
        <v>1800185</v>
      </c>
      <c r="H191" s="1130">
        <v>1800259</v>
      </c>
      <c r="I191" s="1130">
        <v>1823147</v>
      </c>
      <c r="J191" s="1130">
        <v>1805889</v>
      </c>
      <c r="K191" s="2134">
        <v>2109776</v>
      </c>
      <c r="L191" s="2134">
        <v>2095393</v>
      </c>
      <c r="M191" s="2134">
        <v>2095875</v>
      </c>
      <c r="N191" s="2134">
        <v>2095875</v>
      </c>
      <c r="P191"/>
    </row>
    <row r="192" spans="1:16" ht="12.75" customHeight="1">
      <c r="A192" s="985" t="s">
        <v>1462</v>
      </c>
      <c r="B192" s="1144" t="s">
        <v>1198</v>
      </c>
      <c r="C192" s="1139"/>
      <c r="D192" s="1139"/>
      <c r="E192" s="1139"/>
      <c r="F192" s="1130">
        <v>1800000</v>
      </c>
      <c r="G192" s="1130">
        <v>1799737</v>
      </c>
      <c r="H192" s="1130">
        <v>1799507</v>
      </c>
      <c r="I192" s="1130">
        <v>2516536</v>
      </c>
      <c r="J192" s="1130">
        <v>2999520</v>
      </c>
      <c r="K192" s="2134">
        <v>2500595</v>
      </c>
      <c r="L192" s="2134">
        <v>2483487</v>
      </c>
      <c r="M192" s="2134">
        <v>2523951</v>
      </c>
      <c r="N192" s="2134">
        <v>2523951</v>
      </c>
      <c r="P192"/>
    </row>
    <row r="193" spans="1:16" ht="13" customHeight="1">
      <c r="A193" s="985" t="s">
        <v>1462</v>
      </c>
      <c r="B193" s="1144" t="s">
        <v>1210</v>
      </c>
      <c r="C193" s="1139"/>
      <c r="D193" s="1139"/>
      <c r="E193" s="1139"/>
      <c r="F193" s="1130">
        <v>1000000</v>
      </c>
      <c r="G193" s="1130">
        <v>1000185</v>
      </c>
      <c r="H193" s="1130">
        <v>1000259</v>
      </c>
      <c r="I193" s="1130">
        <v>999367</v>
      </c>
      <c r="J193" s="1130">
        <v>1020358</v>
      </c>
      <c r="K193" s="2134">
        <v>1338241</v>
      </c>
      <c r="L193" s="2134">
        <v>1329463</v>
      </c>
      <c r="M193" s="2134">
        <v>1329613</v>
      </c>
      <c r="N193" s="2134">
        <v>1329613</v>
      </c>
    </row>
    <row r="194" spans="1:16" ht="13" customHeight="1">
      <c r="A194" s="985" t="s">
        <v>1462</v>
      </c>
      <c r="B194" s="1144" t="s">
        <v>1211</v>
      </c>
      <c r="C194" s="1139"/>
      <c r="D194" s="1139"/>
      <c r="E194" s="1139"/>
      <c r="F194" s="1130">
        <f>1300042+200545</f>
        <v>1500587</v>
      </c>
      <c r="G194" s="1130">
        <v>1299921</v>
      </c>
      <c r="H194" s="1130">
        <v>440266</v>
      </c>
      <c r="I194" s="1130">
        <v>0</v>
      </c>
      <c r="J194" s="1130"/>
      <c r="K194" s="2136"/>
      <c r="L194" s="2136">
        <v>0</v>
      </c>
      <c r="M194" s="2136">
        <v>0</v>
      </c>
      <c r="N194" s="2136">
        <v>0</v>
      </c>
      <c r="P194"/>
    </row>
    <row r="195" spans="1:16" ht="13" customHeight="1">
      <c r="A195" s="985" t="s">
        <v>1462</v>
      </c>
      <c r="B195" s="1144" t="s">
        <v>1222</v>
      </c>
      <c r="C195" s="1139"/>
      <c r="D195" s="1139"/>
      <c r="E195" s="1139"/>
      <c r="F195" s="1130">
        <v>432315</v>
      </c>
      <c r="G195" s="1130">
        <v>1200185</v>
      </c>
      <c r="H195" s="1130">
        <v>1200259</v>
      </c>
      <c r="I195" s="1130">
        <v>1213651</v>
      </c>
      <c r="J195" s="1130">
        <v>1200480</v>
      </c>
      <c r="K195" s="2134">
        <v>1200548</v>
      </c>
      <c r="L195" s="2134">
        <v>1431721</v>
      </c>
      <c r="M195" s="2134">
        <v>1431870</v>
      </c>
      <c r="N195" s="2134">
        <v>1431870</v>
      </c>
      <c r="P195"/>
    </row>
    <row r="196" spans="1:16" ht="13" customHeight="1">
      <c r="A196" s="985" t="s">
        <v>1462</v>
      </c>
      <c r="B196" s="1533" t="s">
        <v>1361</v>
      </c>
      <c r="C196" s="1581"/>
      <c r="D196" s="1581"/>
      <c r="E196" s="1581"/>
      <c r="F196" s="1581"/>
      <c r="G196" s="1130">
        <v>851768</v>
      </c>
      <c r="H196" s="1130">
        <v>2199744</v>
      </c>
      <c r="I196" s="1130">
        <v>2212517</v>
      </c>
      <c r="J196" s="1130">
        <v>2504908</v>
      </c>
      <c r="K196" s="2134">
        <v>2505330</v>
      </c>
      <c r="L196" s="2134">
        <v>2499551</v>
      </c>
      <c r="M196" s="2134">
        <v>2499733</v>
      </c>
      <c r="N196" s="2134">
        <v>2499184</v>
      </c>
      <c r="P196"/>
    </row>
    <row r="197" spans="1:16" ht="13" customHeight="1">
      <c r="A197" s="985" t="s">
        <v>1462</v>
      </c>
      <c r="B197" s="1811" t="s">
        <v>1440</v>
      </c>
      <c r="C197" s="1820"/>
      <c r="D197" s="1820"/>
      <c r="E197" s="1820"/>
      <c r="F197" s="1820"/>
      <c r="G197" s="1821"/>
      <c r="H197" s="1821">
        <v>2608817</v>
      </c>
      <c r="I197" s="1821">
        <v>3615070</v>
      </c>
      <c r="J197" s="1821">
        <v>3604712</v>
      </c>
      <c r="K197" s="2139">
        <v>376641</v>
      </c>
      <c r="L197" s="2139">
        <v>215530</v>
      </c>
      <c r="M197" s="2139">
        <v>0</v>
      </c>
      <c r="N197" s="2139">
        <v>0</v>
      </c>
      <c r="O197" s="1045"/>
    </row>
    <row r="198" spans="1:16" ht="13" customHeight="1">
      <c r="A198" s="985" t="s">
        <v>1462</v>
      </c>
      <c r="B198" s="1811" t="s">
        <v>1441</v>
      </c>
      <c r="C198" s="1820"/>
      <c r="D198" s="1820"/>
      <c r="E198" s="1820"/>
      <c r="F198" s="1820"/>
      <c r="G198" s="1821"/>
      <c r="H198" s="1821">
        <v>931801</v>
      </c>
      <c r="I198" s="1821">
        <v>1211577</v>
      </c>
      <c r="J198" s="1821">
        <v>1205676</v>
      </c>
      <c r="K198" s="2134">
        <v>1402231</v>
      </c>
      <c r="L198" s="2134">
        <v>1402231</v>
      </c>
      <c r="M198" s="2134">
        <v>1402381</v>
      </c>
      <c r="N198" s="2134">
        <v>1402381</v>
      </c>
      <c r="P198"/>
    </row>
    <row r="199" spans="1:16" ht="13" customHeight="1">
      <c r="A199" s="985" t="s">
        <v>1462</v>
      </c>
      <c r="B199" s="1811" t="s">
        <v>1442</v>
      </c>
      <c r="C199" s="1820"/>
      <c r="D199" s="1820"/>
      <c r="E199" s="1820"/>
      <c r="F199" s="1820"/>
      <c r="G199" s="1821"/>
      <c r="H199" s="1821">
        <v>894381</v>
      </c>
      <c r="I199" s="1821">
        <v>1312936</v>
      </c>
      <c r="J199" s="1821">
        <v>1307029</v>
      </c>
      <c r="K199" s="2089">
        <v>571426</v>
      </c>
      <c r="L199" s="2089">
        <v>440707</v>
      </c>
      <c r="M199" s="2089">
        <v>0</v>
      </c>
      <c r="N199" s="2089">
        <v>0</v>
      </c>
      <c r="P199"/>
    </row>
    <row r="200" spans="1:16" ht="13" customHeight="1">
      <c r="A200" s="985" t="s">
        <v>1462</v>
      </c>
      <c r="B200" s="1811" t="s">
        <v>1443</v>
      </c>
      <c r="C200" s="1820"/>
      <c r="D200" s="1820"/>
      <c r="E200" s="1820"/>
      <c r="F200" s="1820"/>
      <c r="G200" s="1821"/>
      <c r="H200" s="1821">
        <v>1152599</v>
      </c>
      <c r="I200" s="1821">
        <v>1511589</v>
      </c>
      <c r="J200" s="1821">
        <v>1505682</v>
      </c>
      <c r="K200" s="2134">
        <v>1506016</v>
      </c>
      <c r="L200" s="2134">
        <v>1506539</v>
      </c>
      <c r="M200" s="2134">
        <v>1506689</v>
      </c>
      <c r="N200" s="2134">
        <v>1507241</v>
      </c>
      <c r="P200"/>
    </row>
    <row r="201" spans="1:16" ht="13" customHeight="1">
      <c r="A201" s="985" t="s">
        <v>1462</v>
      </c>
      <c r="B201" s="1811" t="s">
        <v>1444</v>
      </c>
      <c r="C201" s="1820"/>
      <c r="D201" s="1820"/>
      <c r="E201" s="1820"/>
      <c r="F201" s="1820"/>
      <c r="G201" s="1821"/>
      <c r="H201" s="1821">
        <v>1412638</v>
      </c>
      <c r="I201" s="1821">
        <v>1643042</v>
      </c>
      <c r="J201" s="1821">
        <v>1605594</v>
      </c>
      <c r="K201" s="2134">
        <v>1605928</v>
      </c>
      <c r="L201" s="2134">
        <v>1605928</v>
      </c>
      <c r="M201" s="2134">
        <v>1606077</v>
      </c>
      <c r="N201" s="2134">
        <v>1606077</v>
      </c>
    </row>
    <row r="202" spans="1:16" ht="13" customHeight="1">
      <c r="A202" s="985" t="s">
        <v>1462</v>
      </c>
      <c r="B202" s="1811" t="s">
        <v>1445</v>
      </c>
      <c r="C202" s="1820"/>
      <c r="D202" s="1820"/>
      <c r="E202" s="1820"/>
      <c r="F202" s="1820"/>
      <c r="G202" s="1821"/>
      <c r="H202" s="1821">
        <v>1226471</v>
      </c>
      <c r="I202" s="1821">
        <f>105468+237840</f>
        <v>343308</v>
      </c>
      <c r="J202" s="1821"/>
      <c r="K202" s="2135"/>
      <c r="L202" s="2135">
        <v>0</v>
      </c>
      <c r="M202" s="2135">
        <v>0</v>
      </c>
      <c r="N202" s="2135">
        <v>0</v>
      </c>
    </row>
    <row r="203" spans="1:16" ht="13" customHeight="1">
      <c r="A203" s="985" t="s">
        <v>1462</v>
      </c>
      <c r="B203" s="1144" t="s">
        <v>862</v>
      </c>
      <c r="C203" s="1139"/>
      <c r="D203" s="1139"/>
      <c r="E203" s="1140">
        <v>7000000</v>
      </c>
      <c r="F203" s="1142"/>
      <c r="G203" s="1142"/>
      <c r="H203" s="1139"/>
      <c r="I203" s="1139"/>
      <c r="J203" s="1139"/>
      <c r="K203" s="2138"/>
      <c r="L203" s="2138">
        <v>0</v>
      </c>
      <c r="M203" s="2138">
        <v>0</v>
      </c>
      <c r="N203" s="2138">
        <v>0</v>
      </c>
    </row>
    <row r="204" spans="1:16" ht="13" customHeight="1">
      <c r="A204" s="985" t="s">
        <v>1462</v>
      </c>
      <c r="B204" s="1811" t="s">
        <v>1644</v>
      </c>
      <c r="C204" s="1935"/>
      <c r="D204" s="1935"/>
      <c r="E204" s="1935"/>
      <c r="F204" s="1935"/>
      <c r="G204" s="1935"/>
      <c r="H204" s="1935"/>
      <c r="I204" s="1935"/>
      <c r="J204" s="1935">
        <v>713071</v>
      </c>
      <c r="K204" s="2134">
        <v>1030336</v>
      </c>
      <c r="L204" s="2134">
        <v>1030336</v>
      </c>
      <c r="M204" s="2134">
        <v>1030486</v>
      </c>
      <c r="N204" s="2134">
        <v>1030486</v>
      </c>
    </row>
    <row r="205" spans="1:16" ht="13" customHeight="1">
      <c r="A205" s="985" t="s">
        <v>1462</v>
      </c>
      <c r="B205" s="2021" t="s">
        <v>1645</v>
      </c>
      <c r="C205" s="1935"/>
      <c r="D205" s="1935"/>
      <c r="E205" s="1935"/>
      <c r="F205" s="1935"/>
      <c r="G205" s="1935"/>
      <c r="H205" s="1935"/>
      <c r="I205" s="1935"/>
      <c r="J205" s="1935">
        <v>3720929</v>
      </c>
      <c r="K205" s="2134">
        <v>3721900</v>
      </c>
      <c r="L205" s="2134">
        <v>3712011</v>
      </c>
      <c r="M205" s="2134">
        <v>3712437</v>
      </c>
      <c r="N205" s="2134">
        <v>3710937</v>
      </c>
    </row>
    <row r="206" spans="1:16" ht="13" customHeight="1">
      <c r="A206" s="985" t="s">
        <v>1462</v>
      </c>
      <c r="B206" s="2021" t="s">
        <v>1646</v>
      </c>
      <c r="C206" s="1935"/>
      <c r="D206" s="1935"/>
      <c r="E206" s="1935"/>
      <c r="F206" s="1935"/>
      <c r="G206" s="1935"/>
      <c r="H206" s="1935"/>
      <c r="I206" s="1935"/>
      <c r="J206" s="1935">
        <v>2479845</v>
      </c>
      <c r="K206" s="2134">
        <v>2463812</v>
      </c>
      <c r="L206" s="2134">
        <v>2463812</v>
      </c>
      <c r="M206" s="2134">
        <v>2464294</v>
      </c>
      <c r="N206" s="2134">
        <v>2464294</v>
      </c>
    </row>
    <row r="207" spans="1:16" ht="13" customHeight="1">
      <c r="A207" s="985" t="s">
        <v>1462</v>
      </c>
      <c r="B207" s="2021" t="s">
        <v>1647</v>
      </c>
      <c r="C207" s="1935"/>
      <c r="D207" s="1935"/>
      <c r="E207" s="1935"/>
      <c r="F207" s="1935"/>
      <c r="G207" s="1935"/>
      <c r="H207" s="1935"/>
      <c r="I207" s="1935"/>
      <c r="J207" s="1935">
        <v>2301087</v>
      </c>
      <c r="K207" s="2134">
        <v>2277162</v>
      </c>
      <c r="L207" s="2134">
        <v>2275377</v>
      </c>
      <c r="M207" s="2134">
        <v>2275644</v>
      </c>
      <c r="N207" s="2134">
        <v>2275248</v>
      </c>
    </row>
    <row r="208" spans="1:16" ht="13" customHeight="1">
      <c r="A208" s="985" t="s">
        <v>1462</v>
      </c>
      <c r="B208" s="2140" t="s">
        <v>1762</v>
      </c>
      <c r="C208" s="1935"/>
      <c r="D208" s="1935"/>
      <c r="E208" s="1935"/>
      <c r="F208" s="1935"/>
      <c r="G208" s="1935"/>
      <c r="H208" s="1935"/>
      <c r="I208" s="1935"/>
      <c r="J208" s="1935"/>
      <c r="K208" s="2134">
        <v>915589</v>
      </c>
      <c r="L208" s="2134">
        <v>1330522</v>
      </c>
      <c r="M208" s="2134">
        <v>1330672</v>
      </c>
      <c r="N208" s="2134">
        <v>1480928</v>
      </c>
    </row>
    <row r="209" spans="1:16" ht="13" customHeight="1">
      <c r="A209" s="985" t="s">
        <v>1462</v>
      </c>
      <c r="B209" s="2140" t="s">
        <v>1763</v>
      </c>
      <c r="C209" s="1935"/>
      <c r="D209" s="1935"/>
      <c r="E209" s="1935"/>
      <c r="F209" s="1935"/>
      <c r="G209" s="1935"/>
      <c r="H209" s="1935"/>
      <c r="I209" s="1935"/>
      <c r="J209" s="1935"/>
      <c r="K209" s="2134">
        <v>2897946</v>
      </c>
      <c r="L209" s="2134">
        <v>2895902</v>
      </c>
      <c r="M209" s="2134">
        <v>2893366</v>
      </c>
      <c r="N209" s="2134">
        <v>2891822</v>
      </c>
    </row>
    <row r="210" spans="1:16" ht="13" customHeight="1">
      <c r="A210" s="2422" t="s">
        <v>1462</v>
      </c>
      <c r="B210" s="1144" t="s">
        <v>1243</v>
      </c>
      <c r="C210" s="1140"/>
      <c r="D210" s="1140"/>
      <c r="E210" s="1140"/>
      <c r="F210" s="1140"/>
      <c r="G210" s="1140"/>
      <c r="H210" s="1140"/>
      <c r="I210" s="1140"/>
      <c r="J210" s="1140"/>
      <c r="K210" s="2421"/>
      <c r="L210" s="2421"/>
      <c r="M210" s="2134">
        <v>9005932</v>
      </c>
      <c r="N210" s="2134">
        <v>9005076</v>
      </c>
    </row>
    <row r="211" spans="1:16" ht="13" customHeight="1">
      <c r="A211" s="2422" t="s">
        <v>1462</v>
      </c>
      <c r="B211" s="1144" t="s">
        <v>1876</v>
      </c>
      <c r="C211" s="1140"/>
      <c r="D211" s="1140"/>
      <c r="E211" s="1140"/>
      <c r="F211" s="1140"/>
      <c r="G211" s="1140"/>
      <c r="H211" s="1140"/>
      <c r="I211" s="1140"/>
      <c r="J211" s="1140"/>
      <c r="K211" s="2421"/>
      <c r="L211" s="2421"/>
      <c r="M211" s="2134">
        <v>1684440</v>
      </c>
      <c r="N211" s="2134">
        <v>2307524</v>
      </c>
    </row>
    <row r="212" spans="1:16" ht="13" customHeight="1">
      <c r="A212" s="2422" t="s">
        <v>1462</v>
      </c>
      <c r="B212" s="1144" t="s">
        <v>1905</v>
      </c>
      <c r="C212" s="1140"/>
      <c r="D212" s="1140"/>
      <c r="E212" s="1140"/>
      <c r="F212" s="1140"/>
      <c r="G212" s="1140"/>
      <c r="H212" s="1140"/>
      <c r="I212" s="1140"/>
      <c r="J212" s="1140"/>
      <c r="K212" s="2421"/>
      <c r="L212" s="2421"/>
      <c r="M212" s="2421"/>
      <c r="N212" s="2134">
        <v>1330926</v>
      </c>
    </row>
    <row r="213" spans="1:16" ht="13" customHeight="1">
      <c r="A213" s="985" t="s">
        <v>1462</v>
      </c>
      <c r="B213" s="1132" t="s">
        <v>66</v>
      </c>
      <c r="C213" s="1146">
        <f>16929713+123817</f>
        <v>17053530</v>
      </c>
      <c r="D213" s="1120">
        <v>24231887</v>
      </c>
      <c r="E213" s="1120">
        <f>16960016+218329</f>
        <v>17178345</v>
      </c>
      <c r="F213" s="2020">
        <f>20071458+430403</f>
        <v>20501861</v>
      </c>
      <c r="G213" s="2020">
        <f>19117616+441819</f>
        <v>19559435</v>
      </c>
      <c r="H213" s="2020">
        <f>21179818+378473</f>
        <v>21558291</v>
      </c>
      <c r="I213" s="2020">
        <v>20981084</v>
      </c>
      <c r="J213" s="1147">
        <v>21962121</v>
      </c>
      <c r="K213" s="1179">
        <f>19438980+512873</f>
        <v>19951853</v>
      </c>
      <c r="L213" s="1179">
        <v>23851519</v>
      </c>
      <c r="M213" s="1179">
        <v>21279116</v>
      </c>
      <c r="N213" s="1179">
        <v>18532232</v>
      </c>
    </row>
    <row r="214" spans="1:16" ht="13" customHeight="1">
      <c r="A214" s="985" t="s">
        <v>1462</v>
      </c>
      <c r="B214" s="1132" t="s">
        <v>516</v>
      </c>
      <c r="C214" s="1120">
        <v>97780831</v>
      </c>
      <c r="D214" s="1148"/>
      <c r="E214" s="1148"/>
      <c r="F214" s="1148"/>
      <c r="G214" s="1148"/>
      <c r="H214" s="1148"/>
      <c r="I214" s="1148"/>
      <c r="J214" s="1148"/>
      <c r="K214" s="1148"/>
      <c r="L214" s="1148">
        <v>0</v>
      </c>
      <c r="M214" s="1148">
        <v>0</v>
      </c>
      <c r="N214" s="1148">
        <v>0</v>
      </c>
    </row>
    <row r="215" spans="1:16" ht="13" customHeight="1">
      <c r="A215" s="985" t="s">
        <v>1462</v>
      </c>
      <c r="B215" s="1144" t="s">
        <v>1274</v>
      </c>
      <c r="C215" s="1146"/>
      <c r="D215" s="1146"/>
      <c r="E215" s="1146"/>
      <c r="F215" s="1146">
        <v>1246373</v>
      </c>
      <c r="G215" s="1146">
        <v>1246970</v>
      </c>
      <c r="H215" s="1146">
        <v>1247110</v>
      </c>
      <c r="I215" s="1146">
        <v>1254913</v>
      </c>
      <c r="J215" s="1146">
        <v>1247763</v>
      </c>
      <c r="K215" s="2186">
        <v>1310649</v>
      </c>
      <c r="L215" s="1146">
        <v>1242783</v>
      </c>
      <c r="M215" s="1146">
        <v>1243404</v>
      </c>
      <c r="N215" s="1146">
        <v>1339378</v>
      </c>
    </row>
    <row r="216" spans="1:16" ht="13" customHeight="1" thickBot="1">
      <c r="A216" s="985" t="s">
        <v>1462</v>
      </c>
      <c r="B216" s="1132" t="s">
        <v>67</v>
      </c>
      <c r="C216" s="1146"/>
      <c r="D216" s="1146"/>
      <c r="E216" s="1146"/>
      <c r="F216" s="1146"/>
      <c r="G216" s="1146"/>
      <c r="H216" s="1146"/>
      <c r="I216" s="1146"/>
      <c r="J216" s="1146"/>
      <c r="K216" s="2172">
        <f>14050000-850000</f>
        <v>13200000</v>
      </c>
      <c r="L216" s="1160">
        <v>0</v>
      </c>
      <c r="M216" s="1160">
        <v>0</v>
      </c>
      <c r="N216" s="1160">
        <v>18645000</v>
      </c>
    </row>
    <row r="217" spans="1:16" ht="13" customHeight="1" thickBot="1">
      <c r="A217" s="1044"/>
      <c r="B217" s="1149" t="s">
        <v>68</v>
      </c>
      <c r="C217" s="1150">
        <f t="shared" ref="C217:J217" si="82">SUM(C137:C216)</f>
        <v>249363735</v>
      </c>
      <c r="D217" s="1150">
        <f t="shared" si="82"/>
        <v>174120402</v>
      </c>
      <c r="E217" s="1150">
        <f t="shared" si="82"/>
        <v>185859382</v>
      </c>
      <c r="F217" s="1150">
        <f t="shared" si="82"/>
        <v>180644082</v>
      </c>
      <c r="G217" s="1150">
        <f t="shared" si="82"/>
        <v>182735757</v>
      </c>
      <c r="H217" s="1150">
        <f t="shared" si="82"/>
        <v>193830917</v>
      </c>
      <c r="I217" s="1150">
        <f t="shared" si="82"/>
        <v>192422148</v>
      </c>
      <c r="J217" s="1150">
        <f t="shared" si="82"/>
        <v>191204642</v>
      </c>
      <c r="K217" s="2152">
        <f>SUM(K137:K216)</f>
        <v>214092355</v>
      </c>
      <c r="L217" s="2152">
        <f>SUM(L137:L216)</f>
        <v>215136160</v>
      </c>
      <c r="M217" s="2152">
        <f>SUM(M137:M216)</f>
        <v>206632595</v>
      </c>
      <c r="N217" s="2152">
        <f>SUM(N137:N216)</f>
        <v>265570708</v>
      </c>
      <c r="P217" s="991"/>
    </row>
    <row r="218" spans="1:16" ht="13" customHeight="1" thickBot="1">
      <c r="A218" s="985" t="s">
        <v>1462</v>
      </c>
      <c r="B218" s="1151" t="s">
        <v>69</v>
      </c>
      <c r="C218" s="1152">
        <v>26849141</v>
      </c>
      <c r="D218" s="1152">
        <f>28755359</f>
        <v>28755359</v>
      </c>
      <c r="E218" s="1152">
        <v>31316694</v>
      </c>
      <c r="F218" s="1152">
        <v>32220022</v>
      </c>
      <c r="G218" s="1473">
        <v>32894013</v>
      </c>
      <c r="H218" s="1813">
        <v>33107349</v>
      </c>
      <c r="I218" s="1813">
        <v>35990282</v>
      </c>
      <c r="J218" s="1813">
        <v>36021257</v>
      </c>
      <c r="K218" s="2194">
        <v>39362243</v>
      </c>
      <c r="L218" s="1152">
        <v>43011118</v>
      </c>
      <c r="M218" s="1152">
        <v>41346158</v>
      </c>
      <c r="N218" s="1152">
        <v>40459195</v>
      </c>
    </row>
    <row r="219" spans="1:16" ht="13" customHeight="1" thickBot="1">
      <c r="B219" s="1153" t="s">
        <v>31</v>
      </c>
      <c r="C219" s="1154">
        <f t="shared" ref="C219:H219" si="83">SUM(C217:C218)</f>
        <v>276212876</v>
      </c>
      <c r="D219" s="1154">
        <f t="shared" si="83"/>
        <v>202875761</v>
      </c>
      <c r="E219" s="1154">
        <f t="shared" si="83"/>
        <v>217176076</v>
      </c>
      <c r="F219" s="1154">
        <f t="shared" si="83"/>
        <v>212864104</v>
      </c>
      <c r="G219" s="1154">
        <f t="shared" si="83"/>
        <v>215629770</v>
      </c>
      <c r="H219" s="1154">
        <f t="shared" si="83"/>
        <v>226938266</v>
      </c>
      <c r="I219" s="1154">
        <f t="shared" ref="I219" si="84">SUM(I217:I218)</f>
        <v>228412430</v>
      </c>
      <c r="J219" s="1154">
        <f>SUM(J217:J218)</f>
        <v>227225899</v>
      </c>
      <c r="K219" s="1154">
        <f>SUM(K217:K218)</f>
        <v>253454598</v>
      </c>
      <c r="L219" s="1154">
        <f>SUM(L217:L218)</f>
        <v>258147278</v>
      </c>
      <c r="M219" s="1154">
        <f>SUM(M217:M218)</f>
        <v>247978753</v>
      </c>
      <c r="N219" s="1154">
        <f>SUM(N217:N218)</f>
        <v>306029903</v>
      </c>
    </row>
    <row r="220" spans="1:16" ht="13" customHeight="1" thickBot="1">
      <c r="B220" s="1044"/>
      <c r="C220" s="1044"/>
      <c r="D220" s="1044"/>
      <c r="E220" s="1044"/>
      <c r="F220" s="1044"/>
      <c r="G220" s="1044"/>
      <c r="H220" s="1044"/>
      <c r="I220" s="1044"/>
      <c r="J220" s="1044"/>
      <c r="K220" s="1044"/>
      <c r="L220" s="1044"/>
      <c r="M220" s="1044"/>
      <c r="N220" s="1044"/>
    </row>
    <row r="221" spans="1:16" ht="13" customHeight="1" thickBot="1">
      <c r="B221" s="1155" t="s">
        <v>70</v>
      </c>
      <c r="C221" s="993">
        <v>45658</v>
      </c>
      <c r="D221" s="993">
        <v>45689</v>
      </c>
      <c r="E221" s="993">
        <v>45717</v>
      </c>
      <c r="F221" s="993">
        <v>45748</v>
      </c>
      <c r="G221" s="993">
        <v>45778</v>
      </c>
      <c r="H221" s="993">
        <v>45809</v>
      </c>
      <c r="I221" s="993">
        <v>45863</v>
      </c>
      <c r="J221" s="993">
        <v>45894</v>
      </c>
      <c r="K221" s="993">
        <v>45925</v>
      </c>
      <c r="L221" s="993">
        <v>45955</v>
      </c>
      <c r="M221" s="993">
        <v>45986</v>
      </c>
      <c r="N221" s="993">
        <v>46016</v>
      </c>
    </row>
    <row r="222" spans="1:16" ht="13" customHeight="1" thickBot="1">
      <c r="B222" s="1126" t="s">
        <v>38</v>
      </c>
      <c r="C222" s="1127" t="s">
        <v>23</v>
      </c>
      <c r="D222" s="1127" t="s">
        <v>23</v>
      </c>
      <c r="E222" s="1127" t="s">
        <v>23</v>
      </c>
      <c r="F222" s="1127" t="s">
        <v>23</v>
      </c>
      <c r="G222" s="1127" t="s">
        <v>23</v>
      </c>
      <c r="H222" s="1127" t="s">
        <v>23</v>
      </c>
      <c r="I222" s="1127" t="s">
        <v>23</v>
      </c>
      <c r="J222" s="1127" t="s">
        <v>23</v>
      </c>
      <c r="K222" s="1127" t="s">
        <v>23</v>
      </c>
      <c r="L222" s="1127" t="s">
        <v>23</v>
      </c>
      <c r="M222" s="1127" t="s">
        <v>23</v>
      </c>
      <c r="N222" s="1127" t="s">
        <v>23</v>
      </c>
    </row>
    <row r="223" spans="1:16" ht="13" customHeight="1">
      <c r="A223" s="2330" t="s">
        <v>1462</v>
      </c>
      <c r="B223" s="1132" t="s">
        <v>71</v>
      </c>
      <c r="C223" s="1156"/>
      <c r="D223" s="1157"/>
      <c r="E223" s="1157">
        <v>2945262</v>
      </c>
      <c r="F223" s="1158"/>
      <c r="G223" s="1158"/>
      <c r="H223" s="1158"/>
      <c r="I223" s="1158"/>
      <c r="J223" s="1158"/>
      <c r="K223" s="1158"/>
      <c r="L223" s="2363">
        <v>19732961</v>
      </c>
      <c r="M223" s="2363">
        <v>0</v>
      </c>
      <c r="N223" s="2363">
        <v>0</v>
      </c>
    </row>
    <row r="224" spans="1:16" ht="13" customHeight="1">
      <c r="A224" s="985" t="s">
        <v>1463</v>
      </c>
      <c r="B224" s="1159" t="s">
        <v>356</v>
      </c>
      <c r="C224" s="1139">
        <v>5349566</v>
      </c>
      <c r="D224" s="1139">
        <v>5022389</v>
      </c>
      <c r="E224" s="1139">
        <v>7755072</v>
      </c>
      <c r="F224" s="1139"/>
      <c r="G224" s="1139"/>
      <c r="H224" s="1139">
        <v>9653131</v>
      </c>
      <c r="I224" s="1164"/>
      <c r="J224" s="1114"/>
      <c r="K224" s="1114"/>
      <c r="L224" s="1114">
        <v>2006649</v>
      </c>
      <c r="M224" s="1114">
        <v>0</v>
      </c>
      <c r="N224" s="1114">
        <v>0</v>
      </c>
    </row>
    <row r="225" spans="1:16" ht="13" customHeight="1">
      <c r="A225" s="985" t="s">
        <v>1463</v>
      </c>
      <c r="B225" s="1132" t="s">
        <v>389</v>
      </c>
      <c r="C225" s="1160"/>
      <c r="D225" s="1160">
        <f>1598446+764958</f>
        <v>2363404</v>
      </c>
      <c r="E225" s="1160"/>
      <c r="F225" s="1160"/>
      <c r="G225" s="1160"/>
      <c r="H225" s="1160"/>
      <c r="I225" s="1164"/>
      <c r="J225" s="1114"/>
      <c r="K225" s="1114"/>
      <c r="L225" s="1114">
        <v>4501364</v>
      </c>
      <c r="M225" s="1114">
        <v>0</v>
      </c>
      <c r="N225" s="1114">
        <v>0</v>
      </c>
    </row>
    <row r="226" spans="1:16" ht="13" customHeight="1">
      <c r="A226" s="985" t="s">
        <v>1462</v>
      </c>
      <c r="B226" s="1132" t="s">
        <v>424</v>
      </c>
      <c r="C226" s="1156">
        <v>7395750</v>
      </c>
      <c r="D226" s="1164">
        <v>10140300</v>
      </c>
      <c r="E226" s="1164"/>
      <c r="F226" s="1164"/>
      <c r="G226" s="1164"/>
      <c r="H226" s="1164"/>
      <c r="I226" s="1164"/>
      <c r="J226" s="1114"/>
      <c r="K226" s="1114"/>
      <c r="L226" s="1114">
        <v>0</v>
      </c>
      <c r="M226" s="1114">
        <v>0</v>
      </c>
      <c r="N226" s="1114">
        <v>0</v>
      </c>
    </row>
    <row r="227" spans="1:16" ht="13" customHeight="1">
      <c r="A227" s="985" t="s">
        <v>1463</v>
      </c>
      <c r="B227" s="1132" t="s">
        <v>455</v>
      </c>
      <c r="C227" s="1156">
        <v>3000000</v>
      </c>
      <c r="D227" s="1160"/>
      <c r="E227" s="1160"/>
      <c r="F227" s="1160"/>
      <c r="G227" s="1160"/>
      <c r="H227" s="1160"/>
      <c r="I227" s="1164"/>
      <c r="J227" s="1114"/>
      <c r="K227" s="1164"/>
      <c r="L227" s="1164">
        <v>0</v>
      </c>
      <c r="M227" s="1164">
        <v>0</v>
      </c>
      <c r="N227" s="1164">
        <v>0</v>
      </c>
    </row>
    <row r="228" spans="1:16" ht="13" customHeight="1">
      <c r="A228" s="985" t="s">
        <v>1463</v>
      </c>
      <c r="B228" s="1132" t="s">
        <v>456</v>
      </c>
      <c r="C228" s="1156">
        <f>3162500+4275000</f>
        <v>7437500</v>
      </c>
      <c r="D228" s="1160">
        <v>4275000</v>
      </c>
      <c r="E228" s="1160">
        <v>4275000</v>
      </c>
      <c r="F228" s="1160">
        <v>4275000</v>
      </c>
      <c r="G228" s="1160"/>
      <c r="H228" s="1160"/>
      <c r="I228" s="1164"/>
      <c r="J228" s="1114"/>
      <c r="K228" s="1164"/>
      <c r="L228" s="1164">
        <v>0</v>
      </c>
      <c r="M228" s="1164">
        <v>0</v>
      </c>
      <c r="N228" s="1164">
        <v>0</v>
      </c>
    </row>
    <row r="229" spans="1:16" ht="13" customHeight="1">
      <c r="A229" s="985" t="s">
        <v>1462</v>
      </c>
      <c r="B229" s="1132" t="s">
        <v>539</v>
      </c>
      <c r="C229" s="1156"/>
      <c r="D229" s="1160">
        <v>2400000</v>
      </c>
      <c r="E229" s="1160">
        <v>4000000</v>
      </c>
      <c r="F229" s="1160">
        <v>4000000</v>
      </c>
      <c r="G229" s="1160">
        <v>4000000</v>
      </c>
      <c r="H229" s="1160">
        <v>4000000</v>
      </c>
      <c r="I229" s="1164">
        <v>4000000</v>
      </c>
      <c r="J229" s="1114">
        <v>4000000</v>
      </c>
      <c r="K229" s="2183">
        <v>4000000</v>
      </c>
      <c r="L229" s="1164">
        <v>0</v>
      </c>
      <c r="M229" s="1164">
        <v>2000000</v>
      </c>
      <c r="N229" s="1164">
        <v>0</v>
      </c>
    </row>
    <row r="230" spans="1:16" ht="13" customHeight="1">
      <c r="A230" s="985" t="s">
        <v>1463</v>
      </c>
      <c r="B230" s="1132" t="s">
        <v>569</v>
      </c>
      <c r="C230" s="1156"/>
      <c r="D230" s="1160">
        <v>9095560</v>
      </c>
      <c r="E230" s="1160"/>
      <c r="F230" s="1160"/>
      <c r="G230" s="1160"/>
      <c r="H230" s="1160"/>
      <c r="I230" s="1164"/>
      <c r="J230" s="1114"/>
      <c r="K230" s="1164"/>
      <c r="L230" s="1164">
        <v>0</v>
      </c>
      <c r="M230" s="1164">
        <v>0</v>
      </c>
      <c r="N230" s="1164">
        <v>0</v>
      </c>
    </row>
    <row r="231" spans="1:16" ht="13" customHeight="1">
      <c r="A231" s="985" t="s">
        <v>1463</v>
      </c>
      <c r="B231" s="2140" t="s">
        <v>1877</v>
      </c>
      <c r="C231" s="1156"/>
      <c r="D231" s="1818"/>
      <c r="E231" s="1818"/>
      <c r="F231" s="1818"/>
      <c r="G231" s="1818"/>
      <c r="H231" s="1818"/>
      <c r="I231" s="2150"/>
      <c r="J231" s="2151"/>
      <c r="K231" s="2184">
        <v>11526697</v>
      </c>
      <c r="L231" s="2150">
        <v>0</v>
      </c>
      <c r="M231" s="2150">
        <v>11410910</v>
      </c>
      <c r="N231" s="2150">
        <v>10945858</v>
      </c>
    </row>
    <row r="232" spans="1:16" ht="13" customHeight="1">
      <c r="A232" s="985" t="s">
        <v>1463</v>
      </c>
      <c r="B232" s="1132" t="s">
        <v>494</v>
      </c>
      <c r="C232" s="1156"/>
      <c r="D232" s="1160">
        <v>5603472</v>
      </c>
      <c r="E232" s="1160"/>
      <c r="F232" s="1160"/>
      <c r="G232" s="1160"/>
      <c r="H232" s="1160"/>
      <c r="I232" s="1164"/>
      <c r="J232" s="1114">
        <v>4580453</v>
      </c>
      <c r="K232" s="1114"/>
      <c r="L232" s="1114">
        <v>14754209</v>
      </c>
      <c r="M232" s="1114">
        <v>12581421</v>
      </c>
      <c r="N232" s="1114">
        <v>7419643</v>
      </c>
    </row>
    <row r="233" spans="1:16" ht="13" customHeight="1">
      <c r="A233" s="985" t="s">
        <v>1463</v>
      </c>
      <c r="B233" s="1132" t="s">
        <v>145</v>
      </c>
      <c r="C233" s="1156"/>
      <c r="D233" s="1160">
        <v>7324736</v>
      </c>
      <c r="E233" s="1160"/>
      <c r="F233" s="1160"/>
      <c r="G233" s="1160"/>
      <c r="H233" s="1160"/>
      <c r="I233" s="1164"/>
      <c r="J233" s="1164"/>
      <c r="K233" s="2183">
        <v>5093355</v>
      </c>
      <c r="L233" s="1164">
        <v>0</v>
      </c>
      <c r="M233" s="1164">
        <v>0</v>
      </c>
      <c r="N233" s="1164">
        <v>0</v>
      </c>
    </row>
    <row r="234" spans="1:16" ht="13" customHeight="1">
      <c r="A234" s="985" t="s">
        <v>1463</v>
      </c>
      <c r="B234" s="1132" t="s">
        <v>495</v>
      </c>
      <c r="C234" s="1156"/>
      <c r="D234" s="1160">
        <v>2439690</v>
      </c>
      <c r="E234" s="1160"/>
      <c r="F234" s="1160"/>
      <c r="G234" s="1160"/>
      <c r="H234" s="1160"/>
      <c r="I234" s="1164"/>
      <c r="J234" s="1114"/>
      <c r="K234" s="1114"/>
      <c r="L234" s="1114">
        <v>0</v>
      </c>
      <c r="M234" s="1114">
        <v>0</v>
      </c>
      <c r="N234" s="1114">
        <v>0</v>
      </c>
    </row>
    <row r="235" spans="1:16" ht="13" customHeight="1">
      <c r="A235" s="985" t="s">
        <v>1463</v>
      </c>
      <c r="B235" s="1132" t="s">
        <v>571</v>
      </c>
      <c r="C235" s="1156"/>
      <c r="D235" s="1160">
        <f>10000000+10000000+4809258</f>
        <v>24809258</v>
      </c>
      <c r="E235" s="1160"/>
      <c r="F235" s="1160"/>
      <c r="G235" s="1160"/>
      <c r="H235" s="1160"/>
      <c r="I235" s="1164"/>
      <c r="J235" s="1114"/>
      <c r="K235" s="1114"/>
      <c r="L235" s="1114">
        <v>0</v>
      </c>
      <c r="M235" s="1114">
        <v>0</v>
      </c>
      <c r="N235" s="1114">
        <v>0</v>
      </c>
      <c r="P235" s="1170"/>
    </row>
    <row r="236" spans="1:16" ht="13" customHeight="1">
      <c r="A236" s="985" t="s">
        <v>1463</v>
      </c>
      <c r="B236" s="2162" t="s">
        <v>857</v>
      </c>
      <c r="C236" s="1814"/>
      <c r="D236" s="1585">
        <v>3546764</v>
      </c>
      <c r="E236" s="1585">
        <v>3027520</v>
      </c>
      <c r="F236" s="1585"/>
      <c r="G236" s="1585"/>
      <c r="H236" s="1585">
        <v>2978528</v>
      </c>
      <c r="I236" s="1164"/>
      <c r="J236" s="1164"/>
      <c r="K236" s="2163">
        <f>1640976+1634108</f>
        <v>3275084</v>
      </c>
      <c r="L236" s="1164">
        <v>1600771</v>
      </c>
      <c r="M236" s="1164">
        <v>1579538</v>
      </c>
      <c r="N236" s="1164">
        <v>0</v>
      </c>
    </row>
    <row r="237" spans="1:16" ht="13" customHeight="1">
      <c r="A237" s="985" t="s">
        <v>1463</v>
      </c>
      <c r="B237" s="1144" t="s">
        <v>965</v>
      </c>
      <c r="C237" s="1156"/>
      <c r="D237" s="1160"/>
      <c r="E237" s="1160"/>
      <c r="F237" s="1160">
        <v>266036</v>
      </c>
      <c r="G237" s="1160"/>
      <c r="H237" s="1160"/>
      <c r="I237" s="1164"/>
      <c r="J237" s="1114"/>
      <c r="K237" s="1114"/>
      <c r="L237" s="1114">
        <v>0</v>
      </c>
      <c r="M237" s="1114">
        <v>0</v>
      </c>
      <c r="N237" s="1114">
        <v>0</v>
      </c>
      <c r="P237" s="1162"/>
    </row>
    <row r="238" spans="1:16" ht="13" customHeight="1">
      <c r="A238" s="985" t="s">
        <v>1463</v>
      </c>
      <c r="B238" s="1144" t="s">
        <v>966</v>
      </c>
      <c r="C238" s="1156"/>
      <c r="D238" s="1160"/>
      <c r="E238" s="1160">
        <v>12917956</v>
      </c>
      <c r="F238" s="1160"/>
      <c r="G238" s="1160"/>
      <c r="H238" s="1160"/>
      <c r="I238" s="1164"/>
      <c r="J238" s="1114"/>
      <c r="K238" s="1114"/>
      <c r="L238" s="1114">
        <v>0</v>
      </c>
      <c r="M238" s="1114">
        <v>0</v>
      </c>
      <c r="N238" s="1114">
        <v>0</v>
      </c>
      <c r="P238" s="1163"/>
    </row>
    <row r="239" spans="1:16" ht="13" customHeight="1">
      <c r="A239" s="985" t="s">
        <v>1463</v>
      </c>
      <c r="B239" s="1144" t="s">
        <v>967</v>
      </c>
      <c r="C239" s="1156"/>
      <c r="D239" s="1160"/>
      <c r="E239" s="1160">
        <v>4383376</v>
      </c>
      <c r="F239" s="1160"/>
      <c r="G239" s="1160">
        <v>3884305</v>
      </c>
      <c r="H239" s="1160"/>
      <c r="I239" s="1160"/>
      <c r="J239" s="1160"/>
      <c r="K239" s="1160"/>
      <c r="L239" s="1160">
        <v>0</v>
      </c>
      <c r="M239" s="1160">
        <v>0</v>
      </c>
      <c r="N239" s="1160">
        <v>0</v>
      </c>
      <c r="P239" s="1163"/>
    </row>
    <row r="240" spans="1:16" ht="13" customHeight="1">
      <c r="A240" s="985" t="s">
        <v>1463</v>
      </c>
      <c r="B240" s="1132" t="s">
        <v>57</v>
      </c>
      <c r="C240" s="1156"/>
      <c r="D240" s="1160"/>
      <c r="E240" s="1160">
        <v>1499999</v>
      </c>
      <c r="F240" s="1160"/>
      <c r="G240" s="1160">
        <v>780000</v>
      </c>
      <c r="H240" s="1160"/>
      <c r="I240" s="1160"/>
      <c r="J240" s="1160"/>
      <c r="K240" s="1160"/>
      <c r="L240" s="1160">
        <v>0</v>
      </c>
      <c r="M240" s="1160">
        <v>0</v>
      </c>
      <c r="N240" s="1160">
        <v>0</v>
      </c>
      <c r="P240" s="1162"/>
    </row>
    <row r="241" spans="1:16" ht="13" customHeight="1">
      <c r="A241" s="985" t="s">
        <v>1463</v>
      </c>
      <c r="B241" s="1132" t="s">
        <v>596</v>
      </c>
      <c r="C241" s="1156"/>
      <c r="D241" s="1160"/>
      <c r="E241" s="1160">
        <v>1500000</v>
      </c>
      <c r="F241" s="1160"/>
      <c r="G241" s="1160">
        <v>1500000</v>
      </c>
      <c r="H241" s="1160"/>
      <c r="I241" s="1160"/>
      <c r="J241" s="1160"/>
      <c r="K241" s="1160"/>
      <c r="L241" s="1160">
        <v>0</v>
      </c>
      <c r="M241" s="1160">
        <v>0</v>
      </c>
      <c r="N241" s="1160">
        <v>0</v>
      </c>
      <c r="P241" s="1162"/>
    </row>
    <row r="242" spans="1:16" ht="13" customHeight="1">
      <c r="A242" s="985" t="s">
        <v>1463</v>
      </c>
      <c r="B242" s="1144" t="s">
        <v>858</v>
      </c>
      <c r="C242" s="1156"/>
      <c r="D242" s="1160"/>
      <c r="E242" s="1160">
        <v>331086</v>
      </c>
      <c r="F242" s="1160"/>
      <c r="G242" s="1160"/>
      <c r="H242" s="1160">
        <f>1710000+3420000</f>
        <v>5130000</v>
      </c>
      <c r="I242" s="1160"/>
      <c r="J242" s="1161">
        <v>3420000</v>
      </c>
      <c r="K242" s="1161"/>
      <c r="L242" s="1161">
        <v>5798117</v>
      </c>
      <c r="M242" s="1161">
        <v>0</v>
      </c>
      <c r="N242" s="1161">
        <v>0</v>
      </c>
      <c r="P242" s="1162"/>
    </row>
    <row r="243" spans="1:16" ht="13" customHeight="1">
      <c r="A243" s="985" t="s">
        <v>1463</v>
      </c>
      <c r="B243" s="2021" t="s">
        <v>1653</v>
      </c>
      <c r="C243" s="1156"/>
      <c r="D243" s="1818"/>
      <c r="E243" s="1818"/>
      <c r="F243" s="1818"/>
      <c r="G243" s="1818"/>
      <c r="H243" s="1818"/>
      <c r="I243" s="1818"/>
      <c r="J243" s="1818"/>
      <c r="K243" s="2182">
        <v>12635417</v>
      </c>
      <c r="L243" s="1818">
        <v>0</v>
      </c>
      <c r="M243" s="1818">
        <v>0</v>
      </c>
      <c r="N243" s="1818">
        <v>0</v>
      </c>
      <c r="P243" s="1162"/>
    </row>
    <row r="244" spans="1:16" ht="13" customHeight="1">
      <c r="A244" s="985" t="s">
        <v>1463</v>
      </c>
      <c r="B244" s="2021" t="s">
        <v>1654</v>
      </c>
      <c r="C244" s="1156"/>
      <c r="D244" s="1818"/>
      <c r="E244" s="1818"/>
      <c r="F244" s="1818"/>
      <c r="G244" s="1818"/>
      <c r="H244" s="1818"/>
      <c r="I244" s="1818"/>
      <c r="J244" s="1818"/>
      <c r="K244" s="1818"/>
      <c r="L244" s="1818">
        <v>0</v>
      </c>
      <c r="M244" s="1818">
        <v>0</v>
      </c>
      <c r="N244" s="1818">
        <v>0</v>
      </c>
      <c r="P244" s="1162"/>
    </row>
    <row r="245" spans="1:16" ht="13" customHeight="1">
      <c r="A245" s="2422" t="s">
        <v>1463</v>
      </c>
      <c r="B245" s="1144" t="s">
        <v>1878</v>
      </c>
      <c r="C245" s="1156"/>
      <c r="D245" s="1160"/>
      <c r="E245" s="1160"/>
      <c r="F245" s="1160"/>
      <c r="G245" s="1160"/>
      <c r="H245" s="1160"/>
      <c r="I245" s="1160"/>
      <c r="J245" s="1160"/>
      <c r="K245" s="1160"/>
      <c r="L245" s="1160"/>
      <c r="M245" s="1818">
        <v>3026694</v>
      </c>
      <c r="N245" s="1818">
        <v>0</v>
      </c>
      <c r="P245" s="1162"/>
    </row>
    <row r="246" spans="1:16" ht="13" customHeight="1">
      <c r="A246" s="2422" t="s">
        <v>1463</v>
      </c>
      <c r="B246" s="1144" t="s">
        <v>1879</v>
      </c>
      <c r="C246" s="1156"/>
      <c r="D246" s="1160"/>
      <c r="E246" s="1160"/>
      <c r="F246" s="1160"/>
      <c r="G246" s="1160"/>
      <c r="H246" s="1160"/>
      <c r="I246" s="1160"/>
      <c r="J246" s="1160"/>
      <c r="K246" s="1160"/>
      <c r="L246" s="1160"/>
      <c r="M246" s="1818">
        <v>2139114</v>
      </c>
      <c r="N246" s="1818">
        <v>0</v>
      </c>
      <c r="P246" s="1162"/>
    </row>
    <row r="247" spans="1:16" ht="13" customHeight="1">
      <c r="A247" s="985" t="s">
        <v>1463</v>
      </c>
      <c r="B247" s="2021" t="s">
        <v>1767</v>
      </c>
      <c r="C247" s="1156"/>
      <c r="D247" s="1818"/>
      <c r="E247" s="1818"/>
      <c r="F247" s="1818"/>
      <c r="G247" s="1818"/>
      <c r="H247" s="1818"/>
      <c r="I247" s="1818"/>
      <c r="J247" s="1818"/>
      <c r="K247" s="2182">
        <v>1615575</v>
      </c>
      <c r="L247" s="1818">
        <v>0</v>
      </c>
      <c r="M247" s="1818">
        <v>4456459</v>
      </c>
      <c r="N247" s="1818">
        <v>0</v>
      </c>
      <c r="P247" s="1162"/>
    </row>
    <row r="248" spans="1:16" ht="13" customHeight="1">
      <c r="A248" s="985" t="s">
        <v>1462</v>
      </c>
      <c r="B248" s="1144" t="s">
        <v>1243</v>
      </c>
      <c r="C248" s="1156"/>
      <c r="D248" s="1160"/>
      <c r="E248" s="1160"/>
      <c r="F248" s="1160">
        <v>4673327</v>
      </c>
      <c r="G248" s="1160">
        <v>4690070</v>
      </c>
      <c r="H248" s="1160">
        <v>4699330</v>
      </c>
      <c r="I248" s="1160">
        <v>4699330</v>
      </c>
      <c r="J248" s="1161">
        <f>3764789-8390</f>
        <v>3756399</v>
      </c>
      <c r="K248" s="2172">
        <v>2599538</v>
      </c>
      <c r="L248" s="1160">
        <v>2030300</v>
      </c>
      <c r="M248" s="1160"/>
      <c r="N248" s="1160"/>
    </row>
    <row r="249" spans="1:16" ht="13" customHeight="1">
      <c r="A249" s="985" t="s">
        <v>1463</v>
      </c>
      <c r="B249" s="1533" t="s">
        <v>1298</v>
      </c>
      <c r="C249" s="1156"/>
      <c r="D249" s="1160"/>
      <c r="E249" s="1160"/>
      <c r="F249" s="1160"/>
      <c r="G249" s="1160">
        <v>4218886</v>
      </c>
      <c r="H249" s="1160"/>
      <c r="I249" s="1160"/>
      <c r="J249" s="1160"/>
      <c r="K249" s="1160"/>
      <c r="L249" s="1160">
        <v>0</v>
      </c>
      <c r="M249" s="1160">
        <v>0</v>
      </c>
      <c r="N249" s="1160">
        <v>0</v>
      </c>
    </row>
    <row r="250" spans="1:16" ht="13" customHeight="1">
      <c r="A250" s="985" t="s">
        <v>1463</v>
      </c>
      <c r="B250" s="1144" t="s">
        <v>1330</v>
      </c>
      <c r="C250" s="1156"/>
      <c r="D250" s="1160"/>
      <c r="E250" s="1160"/>
      <c r="F250" s="1160"/>
      <c r="G250" s="1585">
        <v>11375237</v>
      </c>
      <c r="H250" s="1160"/>
      <c r="I250" s="1160"/>
      <c r="J250" s="1160"/>
      <c r="K250" s="1160"/>
      <c r="L250" s="1160">
        <v>0</v>
      </c>
      <c r="M250" s="1160">
        <v>0</v>
      </c>
      <c r="N250" s="1160" t="s">
        <v>1928</v>
      </c>
    </row>
    <row r="251" spans="1:16" ht="13" customHeight="1">
      <c r="A251" s="985" t="s">
        <v>1463</v>
      </c>
      <c r="B251" s="1811" t="s">
        <v>1439</v>
      </c>
      <c r="C251" s="1156"/>
      <c r="D251" s="1818"/>
      <c r="E251" s="1818"/>
      <c r="F251" s="1818"/>
      <c r="G251" s="1818"/>
      <c r="H251" s="1818">
        <v>20000000</v>
      </c>
      <c r="I251" s="1818"/>
      <c r="J251" s="1819"/>
      <c r="K251" s="1819"/>
      <c r="L251" s="1819">
        <v>0</v>
      </c>
      <c r="M251" s="1819">
        <v>0</v>
      </c>
      <c r="N251" s="1819">
        <v>0</v>
      </c>
    </row>
    <row r="252" spans="1:16" ht="13" customHeight="1">
      <c r="A252" s="985" t="s">
        <v>1463</v>
      </c>
      <c r="B252" s="2021" t="s">
        <v>1651</v>
      </c>
      <c r="C252" s="1156"/>
      <c r="D252" s="1818"/>
      <c r="E252" s="1818"/>
      <c r="F252" s="1818"/>
      <c r="G252" s="1818"/>
      <c r="H252" s="1818"/>
      <c r="I252" s="1818"/>
      <c r="J252" s="1819">
        <v>7699740</v>
      </c>
      <c r="K252" s="1819"/>
      <c r="L252" s="1819">
        <v>2142926</v>
      </c>
      <c r="M252" s="1819">
        <v>0</v>
      </c>
      <c r="N252" s="1819">
        <v>0</v>
      </c>
    </row>
    <row r="253" spans="1:16" ht="13" customHeight="1">
      <c r="A253" s="985" t="s">
        <v>1463</v>
      </c>
      <c r="B253" s="2021" t="s">
        <v>1652</v>
      </c>
      <c r="C253" s="1156"/>
      <c r="D253" s="1818"/>
      <c r="E253" s="1818"/>
      <c r="F253" s="1818"/>
      <c r="G253" s="1818"/>
      <c r="H253" s="1818"/>
      <c r="I253" s="1818"/>
      <c r="J253" s="1819">
        <v>6167799</v>
      </c>
      <c r="K253" s="2182">
        <f>6974111+7034940</f>
        <v>14009051</v>
      </c>
      <c r="L253" s="1818">
        <v>8584009</v>
      </c>
      <c r="M253" s="1818">
        <v>6751381</v>
      </c>
      <c r="N253" s="1818">
        <v>6647946</v>
      </c>
    </row>
    <row r="254" spans="1:16" ht="13" customHeight="1">
      <c r="A254" s="985" t="s">
        <v>1463</v>
      </c>
      <c r="B254" s="1144" t="s">
        <v>1906</v>
      </c>
      <c r="C254" s="1156"/>
      <c r="D254" s="1160"/>
      <c r="E254" s="1160"/>
      <c r="F254" s="1160"/>
      <c r="G254" s="1160"/>
      <c r="H254" s="1160"/>
      <c r="I254" s="1160"/>
      <c r="J254" s="1161"/>
      <c r="K254" s="2172"/>
      <c r="L254" s="1160"/>
      <c r="M254" s="1160"/>
      <c r="N254" s="1818">
        <v>17718624</v>
      </c>
    </row>
    <row r="255" spans="1:16" ht="13" customHeight="1">
      <c r="A255" s="985" t="s">
        <v>1463</v>
      </c>
      <c r="B255" s="1144" t="s">
        <v>1907</v>
      </c>
      <c r="C255" s="1156"/>
      <c r="D255" s="1160"/>
      <c r="E255" s="1160"/>
      <c r="F255" s="1160"/>
      <c r="G255" s="1160"/>
      <c r="H255" s="1160"/>
      <c r="I255" s="1160"/>
      <c r="J255" s="1161"/>
      <c r="K255" s="2172"/>
      <c r="L255" s="1160"/>
      <c r="M255" s="1160"/>
      <c r="N255" s="1818">
        <v>3372435</v>
      </c>
    </row>
    <row r="256" spans="1:16" ht="12.75" customHeight="1">
      <c r="A256" s="985" t="s">
        <v>1463</v>
      </c>
      <c r="B256" s="1533" t="s">
        <v>1437</v>
      </c>
      <c r="C256" s="1156"/>
      <c r="D256" s="1160"/>
      <c r="E256" s="1160"/>
      <c r="F256" s="1160"/>
      <c r="G256" s="1160"/>
      <c r="H256" s="1160">
        <v>7047447</v>
      </c>
      <c r="I256" s="1160">
        <v>11238891</v>
      </c>
      <c r="J256" s="1161">
        <v>13522233</v>
      </c>
      <c r="K256" s="1161"/>
      <c r="L256" s="1161">
        <v>0</v>
      </c>
      <c r="M256" s="1161">
        <v>0</v>
      </c>
      <c r="N256" s="1161">
        <v>4400357</v>
      </c>
    </row>
    <row r="257" spans="1:16" ht="13" customHeight="1">
      <c r="A257" s="2330" t="s">
        <v>1822</v>
      </c>
      <c r="B257" s="1811" t="s">
        <v>1511</v>
      </c>
      <c r="C257" s="1156"/>
      <c r="D257" s="1160"/>
      <c r="E257" s="1160"/>
      <c r="F257" s="1160"/>
      <c r="G257" s="1160"/>
      <c r="H257" s="1160"/>
      <c r="I257" s="2041">
        <v>35036922</v>
      </c>
      <c r="J257" s="1161"/>
      <c r="K257" s="1161"/>
      <c r="L257" s="2364">
        <v>36075183</v>
      </c>
      <c r="M257" s="2364">
        <v>0</v>
      </c>
      <c r="N257" s="2364">
        <v>0</v>
      </c>
      <c r="P257" s="1162"/>
    </row>
    <row r="258" spans="1:16" ht="13" customHeight="1">
      <c r="A258" s="2358" t="s">
        <v>1817</v>
      </c>
      <c r="B258" s="1144" t="s">
        <v>1880</v>
      </c>
      <c r="C258" s="1156"/>
      <c r="D258" s="1160"/>
      <c r="E258" s="1160"/>
      <c r="F258" s="1160"/>
      <c r="G258" s="1160"/>
      <c r="H258" s="1160"/>
      <c r="I258" s="2357"/>
      <c r="J258" s="1161"/>
      <c r="K258" s="1161"/>
      <c r="L258" s="2364"/>
      <c r="M258" s="2364">
        <v>8686843</v>
      </c>
      <c r="N258" s="2364">
        <v>0</v>
      </c>
      <c r="P258" s="1162"/>
    </row>
    <row r="259" spans="1:16" ht="13" customHeight="1">
      <c r="A259" s="2330" t="s">
        <v>1465</v>
      </c>
      <c r="B259" s="2355" t="s">
        <v>1829</v>
      </c>
      <c r="C259" s="1156"/>
      <c r="D259" s="1160"/>
      <c r="E259" s="1160"/>
      <c r="F259" s="1160"/>
      <c r="G259" s="1160"/>
      <c r="H259" s="1160"/>
      <c r="I259" s="2357"/>
      <c r="J259" s="1161"/>
      <c r="K259" s="1161"/>
      <c r="L259" s="2364">
        <v>13558163</v>
      </c>
      <c r="M259" s="2364">
        <v>0</v>
      </c>
      <c r="N259" s="2364">
        <v>0</v>
      </c>
      <c r="P259" s="1162"/>
    </row>
    <row r="260" spans="1:16" ht="13" customHeight="1">
      <c r="A260" s="2358" t="s">
        <v>1462</v>
      </c>
      <c r="B260" s="1144" t="s">
        <v>1881</v>
      </c>
      <c r="C260" s="1156"/>
      <c r="D260" s="1160"/>
      <c r="E260" s="1160"/>
      <c r="F260" s="1160"/>
      <c r="G260" s="1160"/>
      <c r="H260" s="1160"/>
      <c r="I260" s="2357"/>
      <c r="J260" s="1161"/>
      <c r="K260" s="1161"/>
      <c r="L260" s="2364"/>
      <c r="M260" s="2364">
        <v>173000</v>
      </c>
      <c r="N260" s="2364">
        <v>0</v>
      </c>
      <c r="P260" s="1162"/>
    </row>
    <row r="261" spans="1:16" ht="13" customHeight="1">
      <c r="A261" s="985" t="s">
        <v>1463</v>
      </c>
      <c r="B261" s="1145" t="s">
        <v>1034</v>
      </c>
      <c r="C261" s="1160">
        <v>1188844</v>
      </c>
      <c r="D261" s="1160">
        <v>-976308</v>
      </c>
      <c r="E261" s="1160">
        <v>1127818</v>
      </c>
      <c r="F261" s="1160"/>
      <c r="G261" s="1160"/>
      <c r="H261" s="1160"/>
      <c r="I261" s="1160"/>
      <c r="J261" s="1161"/>
      <c r="K261" s="1161"/>
      <c r="L261" s="1161">
        <v>0</v>
      </c>
      <c r="M261" s="1161">
        <v>0</v>
      </c>
      <c r="N261" s="1161">
        <v>0</v>
      </c>
    </row>
    <row r="262" spans="1:16" ht="13" customHeight="1">
      <c r="A262" s="985" t="s">
        <v>1463</v>
      </c>
      <c r="B262" s="1132" t="s">
        <v>79</v>
      </c>
      <c r="C262" s="1160">
        <f>5587207+40128</f>
        <v>5627335</v>
      </c>
      <c r="D262" s="1160">
        <v>18865833</v>
      </c>
      <c r="E262" s="1160">
        <v>5803770</v>
      </c>
      <c r="F262" s="1160">
        <v>6540146</v>
      </c>
      <c r="G262" s="1160">
        <v>3315042</v>
      </c>
      <c r="H262" s="1160">
        <v>3594222</v>
      </c>
      <c r="I262" s="1160">
        <v>7411104</v>
      </c>
      <c r="J262" s="1161">
        <v>2503360</v>
      </c>
      <c r="K262" s="1161">
        <v>2963708</v>
      </c>
      <c r="L262" s="1161">
        <v>7508705</v>
      </c>
      <c r="M262" s="1161">
        <v>2786445</v>
      </c>
      <c r="N262" s="1161">
        <v>5240243</v>
      </c>
    </row>
    <row r="263" spans="1:16" ht="13" customHeight="1" thickBot="1">
      <c r="A263" s="985" t="s">
        <v>1463</v>
      </c>
      <c r="B263" s="1132" t="s">
        <v>67</v>
      </c>
      <c r="C263" s="1156"/>
      <c r="D263" s="1160"/>
      <c r="E263" s="1160"/>
      <c r="F263" s="1160"/>
      <c r="G263" s="1160"/>
      <c r="H263" s="1160"/>
      <c r="I263" s="1160"/>
      <c r="J263" s="1160"/>
      <c r="K263" s="2172">
        <f>1400000+200000</f>
        <v>1600000</v>
      </c>
      <c r="L263" s="1160">
        <v>0</v>
      </c>
      <c r="M263" s="1160">
        <v>0</v>
      </c>
      <c r="N263" s="1160"/>
    </row>
    <row r="264" spans="1:16" ht="13" customHeight="1" thickBot="1">
      <c r="B264" s="1165" t="s">
        <v>31</v>
      </c>
      <c r="C264" s="1166">
        <f t="shared" ref="C264:J264" si="85">SUM(C223:C263)</f>
        <v>29998995</v>
      </c>
      <c r="D264" s="1166">
        <f t="shared" si="85"/>
        <v>94910098</v>
      </c>
      <c r="E264" s="1166">
        <f t="shared" si="85"/>
        <v>49566859</v>
      </c>
      <c r="F264" s="1166">
        <f t="shared" si="85"/>
        <v>19754509</v>
      </c>
      <c r="G264" s="1166">
        <f t="shared" si="85"/>
        <v>33763540</v>
      </c>
      <c r="H264" s="1166">
        <f t="shared" si="85"/>
        <v>57102658</v>
      </c>
      <c r="I264" s="1166">
        <f t="shared" si="85"/>
        <v>62386247</v>
      </c>
      <c r="J264" s="1166">
        <f t="shared" si="85"/>
        <v>45649984</v>
      </c>
      <c r="K264" s="1166">
        <f>SUM(K223:K263)</f>
        <v>59318425</v>
      </c>
      <c r="L264" s="1166">
        <f>SUM(L223:L263)</f>
        <v>118293357</v>
      </c>
      <c r="M264" s="1166">
        <f>SUM(M223:M263)</f>
        <v>55591805</v>
      </c>
      <c r="N264" s="1166">
        <f>SUM(N223:N263)</f>
        <v>55745106</v>
      </c>
    </row>
    <row r="265" spans="1:16" ht="13" customHeight="1" thickBot="1">
      <c r="B265" s="1044"/>
      <c r="C265" s="1044"/>
      <c r="D265" s="1044"/>
      <c r="E265" s="1044"/>
      <c r="F265" s="1044"/>
      <c r="G265" s="1044"/>
      <c r="H265" s="1044"/>
      <c r="I265" s="1044"/>
      <c r="J265" s="1044"/>
      <c r="K265" s="1044"/>
      <c r="L265" s="1044"/>
      <c r="M265" s="1044"/>
      <c r="N265" s="1044"/>
    </row>
    <row r="266" spans="1:16" ht="13" customHeight="1" thickBot="1">
      <c r="B266" s="1167" t="s">
        <v>80</v>
      </c>
      <c r="C266" s="1044"/>
      <c r="D266" s="1044"/>
      <c r="E266" s="1044"/>
      <c r="F266" s="1044"/>
      <c r="G266" s="1044"/>
      <c r="H266" s="1044"/>
      <c r="I266" s="1044"/>
      <c r="J266" s="1044"/>
      <c r="K266" s="1044"/>
      <c r="L266" s="1044"/>
      <c r="M266" s="1044"/>
      <c r="N266" s="1044"/>
    </row>
    <row r="267" spans="1:16" ht="13" customHeight="1" thickBot="1">
      <c r="B267" s="1125" t="s">
        <v>81</v>
      </c>
      <c r="C267" s="993">
        <v>45658</v>
      </c>
      <c r="D267" s="993">
        <v>45689</v>
      </c>
      <c r="E267" s="993">
        <v>45717</v>
      </c>
      <c r="F267" s="993">
        <v>45748</v>
      </c>
      <c r="G267" s="993">
        <v>45778</v>
      </c>
      <c r="H267" s="993">
        <v>45809</v>
      </c>
      <c r="I267" s="993">
        <v>45863</v>
      </c>
      <c r="J267" s="993">
        <v>45894</v>
      </c>
      <c r="K267" s="993">
        <v>45925</v>
      </c>
      <c r="L267" s="993">
        <v>45955</v>
      </c>
      <c r="M267" s="993">
        <v>45986</v>
      </c>
      <c r="N267" s="993">
        <v>46016</v>
      </c>
    </row>
    <row r="268" spans="1:16" ht="13" customHeight="1" thickBot="1">
      <c r="B268" s="1126" t="s">
        <v>38</v>
      </c>
      <c r="C268" s="1127" t="s">
        <v>23</v>
      </c>
      <c r="D268" s="1127" t="s">
        <v>23</v>
      </c>
      <c r="E268" s="1127" t="s">
        <v>23</v>
      </c>
      <c r="F268" s="1127" t="s">
        <v>23</v>
      </c>
      <c r="G268" s="1127" t="s">
        <v>23</v>
      </c>
      <c r="H268" s="1127" t="s">
        <v>23</v>
      </c>
      <c r="I268" s="1127" t="s">
        <v>23</v>
      </c>
      <c r="J268" s="1127" t="s">
        <v>23</v>
      </c>
      <c r="K268" s="1127" t="s">
        <v>23</v>
      </c>
      <c r="L268" s="1127" t="s">
        <v>23</v>
      </c>
      <c r="M268" s="1127" t="s">
        <v>23</v>
      </c>
      <c r="N268" s="1127" t="s">
        <v>23</v>
      </c>
    </row>
    <row r="269" spans="1:16" ht="13" customHeight="1">
      <c r="A269" s="985" t="s">
        <v>1465</v>
      </c>
      <c r="B269" s="1168" t="s">
        <v>434</v>
      </c>
      <c r="C269" s="1160">
        <f>3000000+4000000+6187861+3503256</f>
        <v>16691117</v>
      </c>
      <c r="D269" s="1160">
        <f>1192310+1505592+2000000+1000000</f>
        <v>5697902</v>
      </c>
      <c r="E269" s="1160">
        <f>1640206+6350398+2500000</f>
        <v>10490604</v>
      </c>
      <c r="F269" s="1160">
        <f>1240420+4395017</f>
        <v>5635437</v>
      </c>
      <c r="G269" s="1160">
        <f>3178371+2222245</f>
        <v>5400616</v>
      </c>
      <c r="H269" s="1160">
        <f>3458126+3150060</f>
        <v>6608186</v>
      </c>
      <c r="I269" s="1160">
        <v>3801303</v>
      </c>
      <c r="J269" s="1161">
        <f>2000000+3000000+4151740+7500000+2000000+800000+1500000+10000000+296000+700000+600000+600000</f>
        <v>33147740</v>
      </c>
      <c r="K269" s="2172">
        <f>2000000+5681178+9000000</f>
        <v>16681178</v>
      </c>
      <c r="L269" s="1160">
        <v>14586846</v>
      </c>
      <c r="M269" s="1160">
        <v>8083916</v>
      </c>
      <c r="N269" s="1160">
        <v>7724320</v>
      </c>
    </row>
    <row r="270" spans="1:16" ht="13" customHeight="1">
      <c r="A270" s="985" t="s">
        <v>1465</v>
      </c>
      <c r="B270" s="2031" t="s">
        <v>1648</v>
      </c>
      <c r="C270" s="1818"/>
      <c r="D270" s="1818"/>
      <c r="E270" s="1818"/>
      <c r="F270" s="1818"/>
      <c r="G270" s="1818"/>
      <c r="H270" s="1818"/>
      <c r="I270" s="1818"/>
      <c r="J270" s="1819">
        <v>10601710</v>
      </c>
      <c r="K270" s="1819"/>
      <c r="L270" s="1819">
        <v>17216892</v>
      </c>
      <c r="M270" s="1819">
        <v>0</v>
      </c>
      <c r="N270" s="1819">
        <v>0</v>
      </c>
    </row>
    <row r="271" spans="1:16" ht="13" customHeight="1">
      <c r="A271" s="985" t="s">
        <v>1465</v>
      </c>
      <c r="B271" s="1132" t="s">
        <v>307</v>
      </c>
      <c r="C271" s="1160">
        <v>3081791</v>
      </c>
      <c r="D271" s="1160">
        <f>3240817+302450</f>
        <v>3543267</v>
      </c>
      <c r="E271" s="1160"/>
      <c r="F271" s="1160">
        <v>1754603</v>
      </c>
      <c r="G271" s="1173">
        <v>127014</v>
      </c>
      <c r="H271" s="1173">
        <v>1734396</v>
      </c>
      <c r="I271" s="1173"/>
      <c r="J271" s="1172">
        <f>6011600+116489</f>
        <v>6128089</v>
      </c>
      <c r="K271" s="1172"/>
      <c r="L271" s="1172">
        <v>0</v>
      </c>
      <c r="M271" s="1172">
        <v>0</v>
      </c>
      <c r="N271" s="1172">
        <v>6129699</v>
      </c>
    </row>
    <row r="272" spans="1:16" ht="13" customHeight="1">
      <c r="A272" s="985" t="s">
        <v>1465</v>
      </c>
      <c r="B272" s="1159" t="s">
        <v>110</v>
      </c>
      <c r="C272" s="1585"/>
      <c r="D272" s="1585">
        <v>4604589</v>
      </c>
      <c r="E272" s="1585">
        <v>2477970</v>
      </c>
      <c r="F272" s="1585"/>
      <c r="G272" s="1585">
        <v>2535628</v>
      </c>
      <c r="H272" s="1585">
        <v>2555025</v>
      </c>
      <c r="I272" s="1160"/>
      <c r="J272" s="1161">
        <f>3116178+123733</f>
        <v>3239911</v>
      </c>
      <c r="K272" s="2181">
        <v>3327378</v>
      </c>
      <c r="L272" s="1161">
        <v>3321837</v>
      </c>
      <c r="M272" s="1161">
        <v>3340450</v>
      </c>
      <c r="N272" s="1161">
        <v>3415824</v>
      </c>
    </row>
    <row r="273" spans="1:14" ht="13" customHeight="1">
      <c r="A273" s="985" t="s">
        <v>1465</v>
      </c>
      <c r="B273" s="2164" t="s">
        <v>1782</v>
      </c>
      <c r="C273" s="1585"/>
      <c r="D273" s="1585"/>
      <c r="E273" s="1585"/>
      <c r="F273" s="1585"/>
      <c r="G273" s="1585"/>
      <c r="H273" s="1585"/>
      <c r="I273" s="1160"/>
      <c r="J273" s="1161"/>
      <c r="K273" s="2161">
        <v>9035124</v>
      </c>
      <c r="L273" s="1161">
        <v>0</v>
      </c>
      <c r="M273" s="1161">
        <v>0</v>
      </c>
      <c r="N273" s="1161">
        <v>0</v>
      </c>
    </row>
    <row r="274" spans="1:14" ht="13" customHeight="1">
      <c r="A274" s="2330" t="s">
        <v>1822</v>
      </c>
      <c r="B274" s="1168" t="s">
        <v>111</v>
      </c>
      <c r="C274" s="1160"/>
      <c r="D274" s="1160"/>
      <c r="E274" s="1160">
        <v>62891526</v>
      </c>
      <c r="F274" s="1160"/>
      <c r="G274" s="1160"/>
      <c r="H274" s="1160"/>
      <c r="I274" s="1160"/>
      <c r="J274" s="1160"/>
      <c r="K274" s="1160"/>
      <c r="L274" s="1160">
        <v>0</v>
      </c>
      <c r="M274" s="1160">
        <v>0</v>
      </c>
      <c r="N274" s="1160">
        <v>0</v>
      </c>
    </row>
    <row r="275" spans="1:14" ht="13" customHeight="1">
      <c r="A275" s="2330" t="s">
        <v>1817</v>
      </c>
      <c r="B275" s="1168" t="s">
        <v>298</v>
      </c>
      <c r="C275" s="1160">
        <v>13168715</v>
      </c>
      <c r="D275" s="1160">
        <v>13152555</v>
      </c>
      <c r="E275" s="1160">
        <v>8288099</v>
      </c>
      <c r="F275" s="1160"/>
      <c r="G275" s="1160"/>
      <c r="H275" s="1160"/>
      <c r="I275" s="1160"/>
      <c r="J275" s="1160"/>
      <c r="K275" s="2172">
        <v>17850000</v>
      </c>
      <c r="L275" s="1160">
        <v>0</v>
      </c>
      <c r="M275" s="1160">
        <v>0</v>
      </c>
      <c r="N275" s="1160">
        <v>0</v>
      </c>
    </row>
    <row r="276" spans="1:14" ht="13" customHeight="1">
      <c r="A276" s="985" t="s">
        <v>1465</v>
      </c>
      <c r="B276" s="1168" t="s">
        <v>863</v>
      </c>
      <c r="C276" s="1173">
        <f>58260+71610+3384785+185072+300198+94157+657830+43753+106157+230762-592000</f>
        <v>4540584</v>
      </c>
      <c r="D276" s="1173">
        <v>563960</v>
      </c>
      <c r="E276" s="1173">
        <f>1477794+134847</f>
        <v>1612641</v>
      </c>
      <c r="F276" s="1173">
        <f>186913+2002599</f>
        <v>2189512</v>
      </c>
      <c r="G276" s="1173">
        <f>124552+76636+195111+146658+174326</f>
        <v>717283</v>
      </c>
      <c r="H276" s="1173">
        <f>322357+204836</f>
        <v>527193</v>
      </c>
      <c r="I276" s="1173">
        <f>3696159+304840</f>
        <v>4000999</v>
      </c>
      <c r="J276" s="1172">
        <f>105920+140359+73571+110000+238320+95192</f>
        <v>763362</v>
      </c>
      <c r="K276" s="2187">
        <f>258417+39479+163791+598669+302473+54154+59500+365290-1</f>
        <v>1841772</v>
      </c>
      <c r="L276" s="1173">
        <v>2076129</v>
      </c>
      <c r="M276" s="1173">
        <v>11736571</v>
      </c>
      <c r="N276" s="1173">
        <v>20621626</v>
      </c>
    </row>
    <row r="277" spans="1:14" ht="13" customHeight="1">
      <c r="A277" s="985" t="s">
        <v>1465</v>
      </c>
      <c r="B277" s="1168" t="s">
        <v>514</v>
      </c>
      <c r="C277" s="1173">
        <v>2887578</v>
      </c>
      <c r="D277" s="1174"/>
      <c r="E277" s="1174"/>
      <c r="F277" s="1174"/>
      <c r="G277" s="1174"/>
      <c r="H277" s="1174"/>
      <c r="I277" s="1174"/>
      <c r="J277" s="1174"/>
      <c r="K277" s="1174"/>
      <c r="L277" s="1174">
        <v>0</v>
      </c>
      <c r="M277" s="1174">
        <v>0</v>
      </c>
      <c r="N277" s="1174">
        <v>0</v>
      </c>
    </row>
    <row r="278" spans="1:14" ht="13" customHeight="1">
      <c r="A278" s="985" t="s">
        <v>1465</v>
      </c>
      <c r="B278" s="1168" t="s">
        <v>1299</v>
      </c>
      <c r="C278" s="1160"/>
      <c r="D278" s="1160">
        <f>833000+873979</f>
        <v>1706979</v>
      </c>
      <c r="E278" s="1160">
        <f>873979+833000</f>
        <v>1706979</v>
      </c>
      <c r="F278" s="1160"/>
      <c r="G278" s="1160">
        <v>71400</v>
      </c>
      <c r="H278" s="1160"/>
      <c r="I278" s="1160"/>
      <c r="J278" s="1160"/>
      <c r="K278" s="1160"/>
      <c r="L278" s="1160">
        <v>0</v>
      </c>
      <c r="M278" s="1160">
        <v>0</v>
      </c>
      <c r="N278" s="1160">
        <v>1877003</v>
      </c>
    </row>
    <row r="279" spans="1:14" ht="13" customHeight="1">
      <c r="A279" s="985" t="s">
        <v>1465</v>
      </c>
      <c r="B279" s="1132" t="s">
        <v>454</v>
      </c>
      <c r="C279" s="1169">
        <v>2156250</v>
      </c>
      <c r="D279" s="1169"/>
      <c r="E279" s="1169"/>
      <c r="F279" s="1169"/>
      <c r="G279" s="1169"/>
      <c r="H279" s="1169"/>
      <c r="I279" s="1169"/>
      <c r="J279" s="1169"/>
      <c r="K279" s="1169"/>
      <c r="L279" s="1169">
        <v>0</v>
      </c>
      <c r="M279" s="1169">
        <v>0</v>
      </c>
      <c r="N279" s="1169">
        <v>0</v>
      </c>
    </row>
    <row r="280" spans="1:14" ht="13" customHeight="1">
      <c r="A280" s="985" t="s">
        <v>1465</v>
      </c>
      <c r="B280" s="1132" t="s">
        <v>457</v>
      </c>
      <c r="C280" s="1169">
        <f>672422+384241</f>
        <v>1056663</v>
      </c>
      <c r="D280" s="1169"/>
      <c r="E280" s="1169"/>
      <c r="F280" s="1169"/>
      <c r="G280" s="1169"/>
      <c r="H280" s="1169">
        <v>466874</v>
      </c>
      <c r="I280" s="1169"/>
      <c r="J280" s="1171"/>
      <c r="K280" s="1169"/>
      <c r="L280" s="1169">
        <v>100000</v>
      </c>
      <c r="M280" s="1169">
        <v>0</v>
      </c>
      <c r="N280" s="1169">
        <v>0</v>
      </c>
    </row>
    <row r="281" spans="1:14" ht="13" customHeight="1">
      <c r="A281" s="985" t="s">
        <v>1465</v>
      </c>
      <c r="B281" s="1132" t="s">
        <v>567</v>
      </c>
      <c r="C281" s="1169"/>
      <c r="D281" s="1169">
        <v>71400</v>
      </c>
      <c r="E281" s="1169"/>
      <c r="F281" s="1169"/>
      <c r="G281" s="1169"/>
      <c r="H281" s="1169">
        <v>190400</v>
      </c>
      <c r="I281" s="1169"/>
      <c r="J281" s="1171"/>
      <c r="K281" s="1169"/>
      <c r="L281" s="1169">
        <v>0</v>
      </c>
      <c r="M281" s="1169">
        <v>0</v>
      </c>
      <c r="N281" s="1169">
        <v>79868</v>
      </c>
    </row>
    <row r="282" spans="1:14" ht="13" customHeight="1">
      <c r="A282" s="985" t="s">
        <v>1465</v>
      </c>
      <c r="B282" s="2355" t="s">
        <v>1830</v>
      </c>
      <c r="C282" s="1169"/>
      <c r="D282" s="1169"/>
      <c r="E282" s="1169"/>
      <c r="F282" s="1169"/>
      <c r="G282" s="1169"/>
      <c r="H282" s="1169"/>
      <c r="I282" s="1169"/>
      <c r="J282" s="1171"/>
      <c r="K282" s="1169"/>
      <c r="L282" s="1169">
        <v>592620</v>
      </c>
      <c r="M282" s="1169">
        <v>1611939</v>
      </c>
      <c r="N282" s="1169">
        <v>1019318</v>
      </c>
    </row>
    <row r="283" spans="1:14" ht="13" customHeight="1">
      <c r="A283" s="985" t="s">
        <v>1465</v>
      </c>
      <c r="B283" s="1132" t="s">
        <v>573</v>
      </c>
      <c r="C283" s="1169"/>
      <c r="D283" s="1169">
        <v>1868183</v>
      </c>
      <c r="E283" s="1169"/>
      <c r="F283" s="1169"/>
      <c r="G283" s="1169"/>
      <c r="H283" s="1169"/>
      <c r="I283" s="1169"/>
      <c r="J283" s="1169"/>
      <c r="K283" s="1169"/>
      <c r="L283" s="1169">
        <v>0</v>
      </c>
      <c r="M283" s="1169">
        <v>0</v>
      </c>
      <c r="N283" s="1169">
        <v>0</v>
      </c>
    </row>
    <row r="284" spans="1:14" ht="13" customHeight="1">
      <c r="A284" s="985" t="s">
        <v>1465</v>
      </c>
      <c r="B284" s="2140" t="s">
        <v>1765</v>
      </c>
      <c r="C284" s="1812"/>
      <c r="D284" s="1812"/>
      <c r="E284" s="1812"/>
      <c r="F284" s="1812"/>
      <c r="G284" s="1812"/>
      <c r="H284" s="1812"/>
      <c r="I284" s="1812"/>
      <c r="J284" s="1812"/>
      <c r="K284" s="2175">
        <v>1245466</v>
      </c>
      <c r="L284" s="1812">
        <v>1232840</v>
      </c>
      <c r="M284" s="1812">
        <v>1012406</v>
      </c>
      <c r="N284" s="1812">
        <v>0</v>
      </c>
    </row>
    <row r="285" spans="1:14" ht="13" customHeight="1">
      <c r="A285" s="985" t="s">
        <v>1465</v>
      </c>
      <c r="B285" s="1132" t="s">
        <v>574</v>
      </c>
      <c r="C285" s="1169"/>
      <c r="D285" s="1169">
        <v>137174</v>
      </c>
      <c r="E285" s="1169"/>
      <c r="F285" s="1169"/>
      <c r="G285" s="1169"/>
      <c r="H285" s="1169"/>
      <c r="I285" s="1169">
        <v>140193</v>
      </c>
      <c r="J285" s="1169"/>
      <c r="K285" s="1169"/>
      <c r="L285" s="1169">
        <v>0</v>
      </c>
      <c r="M285" s="1169">
        <v>0</v>
      </c>
      <c r="N285" s="1169">
        <v>0</v>
      </c>
    </row>
    <row r="286" spans="1:14" ht="13" customHeight="1">
      <c r="A286" s="985" t="s">
        <v>1465</v>
      </c>
      <c r="B286" s="1175" t="s">
        <v>874</v>
      </c>
      <c r="C286" s="1823"/>
      <c r="D286" s="1823"/>
      <c r="E286" s="1823">
        <v>1728839</v>
      </c>
      <c r="F286" s="1823"/>
      <c r="G286" s="1823"/>
      <c r="H286" s="1823"/>
      <c r="I286" s="1169"/>
      <c r="J286" s="1169"/>
      <c r="K286" s="1169"/>
      <c r="L286" s="1169">
        <v>0</v>
      </c>
      <c r="M286" s="1169">
        <v>0</v>
      </c>
      <c r="N286" s="1169">
        <v>0</v>
      </c>
    </row>
    <row r="287" spans="1:14" ht="13" customHeight="1">
      <c r="A287" s="985" t="s">
        <v>1465</v>
      </c>
      <c r="B287" s="1132" t="s">
        <v>587</v>
      </c>
      <c r="C287" s="1169"/>
      <c r="D287" s="1169">
        <v>760968</v>
      </c>
      <c r="E287" s="1169"/>
      <c r="F287" s="1169"/>
      <c r="G287" s="1169"/>
      <c r="H287" s="1169"/>
      <c r="I287" s="1169"/>
      <c r="J287" s="1169"/>
      <c r="K287" s="1169"/>
      <c r="L287" s="1169">
        <v>0</v>
      </c>
      <c r="M287" s="1169">
        <v>0</v>
      </c>
      <c r="N287" s="1169">
        <v>0</v>
      </c>
    </row>
    <row r="288" spans="1:14" ht="13" customHeight="1">
      <c r="A288" s="985" t="s">
        <v>1465</v>
      </c>
      <c r="B288" s="1132" t="s">
        <v>866</v>
      </c>
      <c r="C288" s="1169"/>
      <c r="D288" s="1169"/>
      <c r="E288" s="1169">
        <v>459755</v>
      </c>
      <c r="F288" s="1169"/>
      <c r="G288" s="1169"/>
      <c r="H288" s="1169"/>
      <c r="I288" s="1169"/>
      <c r="J288" s="1169"/>
      <c r="K288" s="1169"/>
      <c r="L288" s="1169">
        <v>0</v>
      </c>
      <c r="M288" s="1169">
        <v>0</v>
      </c>
      <c r="N288" s="1169">
        <v>0</v>
      </c>
    </row>
    <row r="289" spans="1:14" ht="13" customHeight="1">
      <c r="A289" s="985" t="s">
        <v>1465</v>
      </c>
      <c r="B289" s="1144" t="s">
        <v>869</v>
      </c>
      <c r="C289" s="1169"/>
      <c r="D289" s="1169"/>
      <c r="E289" s="1169">
        <v>654500</v>
      </c>
      <c r="F289" s="1169"/>
      <c r="G289" s="1169"/>
      <c r="H289" s="1169"/>
      <c r="I289" s="1169"/>
      <c r="J289" s="1169"/>
      <c r="K289" s="1169"/>
      <c r="L289" s="1169">
        <v>0</v>
      </c>
      <c r="M289" s="1169">
        <v>0</v>
      </c>
      <c r="N289" s="1169">
        <v>0</v>
      </c>
    </row>
    <row r="290" spans="1:14" ht="13" customHeight="1">
      <c r="A290" s="985" t="s">
        <v>1465</v>
      </c>
      <c r="B290" s="1132" t="s">
        <v>868</v>
      </c>
      <c r="C290" s="1169"/>
      <c r="D290" s="1169"/>
      <c r="E290" s="1169">
        <v>399017</v>
      </c>
      <c r="F290" s="1169"/>
      <c r="G290" s="1169"/>
      <c r="H290" s="1169">
        <v>1786216</v>
      </c>
      <c r="I290" s="1169"/>
      <c r="J290" s="1171"/>
      <c r="K290" s="2193">
        <v>1733474</v>
      </c>
      <c r="L290" s="1171">
        <v>0</v>
      </c>
      <c r="M290" s="1171">
        <v>0</v>
      </c>
      <c r="N290" s="1171">
        <v>847548</v>
      </c>
    </row>
    <row r="291" spans="1:14" ht="13" customHeight="1">
      <c r="A291" s="985" t="s">
        <v>1465</v>
      </c>
      <c r="B291" s="1132" t="s">
        <v>867</v>
      </c>
      <c r="C291" s="1169"/>
      <c r="D291" s="1169"/>
      <c r="E291" s="1169"/>
      <c r="F291" s="1169">
        <v>49308</v>
      </c>
      <c r="G291" s="1169"/>
      <c r="H291" s="1169"/>
      <c r="I291" s="1169"/>
      <c r="J291" s="1169"/>
      <c r="K291" s="1169"/>
      <c r="L291" s="1169">
        <v>0</v>
      </c>
      <c r="M291" s="1169">
        <v>0</v>
      </c>
      <c r="N291" s="1169">
        <v>0</v>
      </c>
    </row>
    <row r="292" spans="1:14" ht="13" customHeight="1">
      <c r="A292" s="985" t="s">
        <v>1465</v>
      </c>
      <c r="B292" s="1132" t="s">
        <v>1241</v>
      </c>
      <c r="C292" s="1169"/>
      <c r="D292" s="1169"/>
      <c r="E292" s="1169"/>
      <c r="F292" s="1169">
        <v>485957</v>
      </c>
      <c r="G292" s="1169">
        <v>95200</v>
      </c>
      <c r="H292" s="1169"/>
      <c r="I292" s="1169">
        <f>263310+84075</f>
        <v>347385</v>
      </c>
      <c r="J292" s="1169"/>
      <c r="K292" s="1169"/>
      <c r="L292" s="1169">
        <v>0</v>
      </c>
      <c r="M292" s="1169">
        <v>0</v>
      </c>
      <c r="N292" s="1169">
        <v>0</v>
      </c>
    </row>
    <row r="293" spans="1:14" ht="13" customHeight="1">
      <c r="A293" s="985" t="s">
        <v>1465</v>
      </c>
      <c r="B293" s="1811" t="s">
        <v>1513</v>
      </c>
      <c r="C293" s="1169"/>
      <c r="D293" s="1169"/>
      <c r="E293" s="1169"/>
      <c r="F293" s="1169"/>
      <c r="G293" s="1169"/>
      <c r="H293" s="1169"/>
      <c r="I293" s="1169">
        <v>2061424</v>
      </c>
      <c r="J293" s="1169"/>
      <c r="K293" s="1169"/>
      <c r="L293" s="1169">
        <v>0</v>
      </c>
      <c r="M293" s="1169">
        <v>0</v>
      </c>
      <c r="N293" s="1169">
        <v>0</v>
      </c>
    </row>
    <row r="294" spans="1:14" ht="13" customHeight="1">
      <c r="A294" s="985" t="s">
        <v>1465</v>
      </c>
      <c r="B294" s="1811" t="s">
        <v>1446</v>
      </c>
      <c r="C294" s="1812"/>
      <c r="D294" s="1812"/>
      <c r="E294" s="1812"/>
      <c r="F294" s="1812"/>
      <c r="G294" s="1812"/>
      <c r="H294" s="1812">
        <v>466445</v>
      </c>
      <c r="I294" s="1812"/>
      <c r="J294" s="1694"/>
      <c r="K294" s="1812"/>
      <c r="L294" s="1812">
        <v>0</v>
      </c>
      <c r="M294" s="1812">
        <v>0</v>
      </c>
      <c r="N294" s="1812">
        <v>0</v>
      </c>
    </row>
    <row r="295" spans="1:14" ht="13" customHeight="1">
      <c r="A295" s="985" t="s">
        <v>1465</v>
      </c>
      <c r="B295" s="2140" t="s">
        <v>1781</v>
      </c>
      <c r="C295" s="1169"/>
      <c r="D295" s="1169"/>
      <c r="E295" s="1169"/>
      <c r="F295" s="1169"/>
      <c r="G295" s="1169"/>
      <c r="H295" s="1169"/>
      <c r="I295" s="1169"/>
      <c r="J295" s="1171"/>
      <c r="K295" s="2193">
        <v>849660</v>
      </c>
      <c r="L295" s="1171">
        <v>0</v>
      </c>
      <c r="M295" s="1171">
        <v>0</v>
      </c>
      <c r="N295" s="1171">
        <v>0</v>
      </c>
    </row>
    <row r="296" spans="1:14" ht="13" customHeight="1">
      <c r="A296" s="985" t="s">
        <v>1465</v>
      </c>
      <c r="B296" s="1132" t="s">
        <v>1244</v>
      </c>
      <c r="C296" s="1169"/>
      <c r="D296" s="1169"/>
      <c r="E296" s="1169"/>
      <c r="F296" s="1169">
        <f>3558464+1451352</f>
        <v>5009816</v>
      </c>
      <c r="G296" s="1169"/>
      <c r="H296" s="1169"/>
      <c r="I296" s="1169"/>
      <c r="J296" s="1171">
        <f>165000+1849925</f>
        <v>2014925</v>
      </c>
      <c r="K296" s="1169"/>
      <c r="L296" s="1169">
        <v>0</v>
      </c>
      <c r="M296" s="1169">
        <v>0</v>
      </c>
      <c r="N296" s="1169">
        <v>0</v>
      </c>
    </row>
    <row r="297" spans="1:14" ht="13" customHeight="1">
      <c r="A297" s="985" t="s">
        <v>1465</v>
      </c>
      <c r="B297" s="1132" t="s">
        <v>1447</v>
      </c>
      <c r="C297" s="1171"/>
      <c r="D297" s="1169"/>
      <c r="E297" s="1169"/>
      <c r="F297" s="1169">
        <f>7378000+2905610</f>
        <v>10283610</v>
      </c>
      <c r="G297" s="1169">
        <v>2743500</v>
      </c>
      <c r="H297" s="1169">
        <f>1570514+386750+297500</f>
        <v>2254764</v>
      </c>
      <c r="I297" s="1169">
        <v>297500</v>
      </c>
      <c r="J297" s="1171"/>
      <c r="K297" s="1169"/>
      <c r="L297" s="1169">
        <v>0</v>
      </c>
      <c r="M297" s="1169">
        <v>0</v>
      </c>
      <c r="N297" s="1169">
        <v>0</v>
      </c>
    </row>
    <row r="298" spans="1:14" ht="13" customHeight="1">
      <c r="A298" s="985" t="s">
        <v>1465</v>
      </c>
      <c r="B298" s="1132" t="s">
        <v>1245</v>
      </c>
      <c r="C298" s="1171"/>
      <c r="D298" s="1169"/>
      <c r="E298" s="1169"/>
      <c r="F298" s="1169">
        <f>1368210+880480+271450+129040</f>
        <v>2649180</v>
      </c>
      <c r="G298" s="1169"/>
      <c r="H298" s="1169"/>
      <c r="I298" s="1169"/>
      <c r="J298" s="1169"/>
      <c r="K298" s="1169"/>
      <c r="L298" s="1169">
        <v>0</v>
      </c>
      <c r="M298" s="1169">
        <v>0</v>
      </c>
      <c r="N298" s="1169">
        <v>0</v>
      </c>
    </row>
    <row r="299" spans="1:14" ht="13" customHeight="1">
      <c r="A299" s="985" t="s">
        <v>1465</v>
      </c>
      <c r="B299" s="1811" t="s">
        <v>1512</v>
      </c>
      <c r="C299" s="1171"/>
      <c r="D299" s="1169"/>
      <c r="E299" s="1169"/>
      <c r="F299" s="1169"/>
      <c r="G299" s="1169"/>
      <c r="H299" s="1169"/>
      <c r="I299" s="1169">
        <v>10248400</v>
      </c>
      <c r="J299" s="1169"/>
      <c r="K299" s="1169"/>
      <c r="L299" s="1169">
        <v>0</v>
      </c>
      <c r="M299" s="1169">
        <v>0</v>
      </c>
      <c r="N299" s="1169">
        <v>0</v>
      </c>
    </row>
    <row r="300" spans="1:14" ht="13" customHeight="1">
      <c r="A300" s="985" t="s">
        <v>1465</v>
      </c>
      <c r="B300" s="2140" t="s">
        <v>1780</v>
      </c>
      <c r="C300" s="1171"/>
      <c r="D300" s="1169"/>
      <c r="E300" s="1169"/>
      <c r="F300" s="1169"/>
      <c r="G300" s="1169"/>
      <c r="H300" s="1169"/>
      <c r="I300" s="1169"/>
      <c r="J300" s="1169"/>
      <c r="K300" s="2174">
        <v>200000</v>
      </c>
      <c r="L300" s="1169">
        <v>0</v>
      </c>
      <c r="M300" s="1169">
        <v>0</v>
      </c>
      <c r="N300" s="1169">
        <v>0</v>
      </c>
    </row>
    <row r="301" spans="1:14" ht="13" customHeight="1">
      <c r="A301" s="985" t="s">
        <v>1465</v>
      </c>
      <c r="B301" s="1811" t="s">
        <v>1528</v>
      </c>
      <c r="C301" s="1694"/>
      <c r="D301" s="1812"/>
      <c r="E301" s="1812"/>
      <c r="F301" s="1812"/>
      <c r="G301" s="1812"/>
      <c r="H301" s="1812"/>
      <c r="I301" s="1812">
        <v>680000</v>
      </c>
      <c r="J301" s="1812"/>
      <c r="K301" s="1812"/>
      <c r="L301" s="1812">
        <v>0</v>
      </c>
      <c r="M301" s="1812">
        <v>0</v>
      </c>
      <c r="N301" s="1812">
        <v>0</v>
      </c>
    </row>
    <row r="302" spans="1:14" ht="13" customHeight="1">
      <c r="A302" s="985" t="s">
        <v>1465</v>
      </c>
      <c r="B302" s="2021" t="s">
        <v>1649</v>
      </c>
      <c r="C302" s="1694"/>
      <c r="D302" s="1812"/>
      <c r="E302" s="1812"/>
      <c r="F302" s="1812"/>
      <c r="G302" s="1812"/>
      <c r="H302" s="1812"/>
      <c r="I302" s="1812"/>
      <c r="J302" s="1694">
        <v>535500</v>
      </c>
      <c r="K302" s="1812"/>
      <c r="L302" s="1812">
        <v>0</v>
      </c>
      <c r="M302" s="1812">
        <v>0</v>
      </c>
      <c r="N302" s="1812">
        <v>0</v>
      </c>
    </row>
    <row r="303" spans="1:14" ht="13" customHeight="1">
      <c r="A303" s="985" t="s">
        <v>1465</v>
      </c>
      <c r="B303" s="2021" t="s">
        <v>1766</v>
      </c>
      <c r="C303" s="1694"/>
      <c r="D303" s="1812"/>
      <c r="E303" s="1812"/>
      <c r="F303" s="1812"/>
      <c r="G303" s="1812"/>
      <c r="H303" s="1812"/>
      <c r="I303" s="1812"/>
      <c r="J303" s="1812"/>
      <c r="K303" s="2175">
        <f>2203880+1547000+979965</f>
        <v>4730845</v>
      </c>
      <c r="L303" s="1812">
        <v>0</v>
      </c>
      <c r="M303" s="1812">
        <v>0</v>
      </c>
      <c r="N303" s="1812">
        <v>0</v>
      </c>
    </row>
    <row r="304" spans="1:14" ht="13" customHeight="1">
      <c r="A304" s="985" t="s">
        <v>1465</v>
      </c>
      <c r="B304" s="2021" t="s">
        <v>1650</v>
      </c>
      <c r="C304" s="1694"/>
      <c r="D304" s="1812"/>
      <c r="E304" s="1812"/>
      <c r="F304" s="1812"/>
      <c r="G304" s="1812"/>
      <c r="H304" s="1812"/>
      <c r="I304" s="1812"/>
      <c r="J304" s="1694">
        <v>476000</v>
      </c>
      <c r="K304" s="1812"/>
      <c r="L304" s="1812">
        <v>0</v>
      </c>
      <c r="M304" s="1812">
        <v>0</v>
      </c>
      <c r="N304" s="1812">
        <v>0</v>
      </c>
    </row>
    <row r="305" spans="1:16" ht="13" customHeight="1">
      <c r="A305" s="985" t="s">
        <v>1465</v>
      </c>
      <c r="B305" s="1811" t="s">
        <v>1436</v>
      </c>
      <c r="C305" s="1694"/>
      <c r="D305" s="1812"/>
      <c r="E305" s="1812"/>
      <c r="F305" s="1812"/>
      <c r="G305" s="1812"/>
      <c r="H305" s="1812">
        <v>1815113</v>
      </c>
      <c r="I305" s="1812"/>
      <c r="J305" s="1694"/>
      <c r="K305" s="1812"/>
      <c r="L305" s="1812">
        <v>0</v>
      </c>
      <c r="M305" s="1812">
        <v>0</v>
      </c>
      <c r="N305" s="1812">
        <v>830824</v>
      </c>
    </row>
    <row r="306" spans="1:16" ht="13" customHeight="1">
      <c r="A306" s="985" t="s">
        <v>1465</v>
      </c>
      <c r="B306" s="2355" t="s">
        <v>1831</v>
      </c>
      <c r="C306" s="1171"/>
      <c r="D306" s="1169"/>
      <c r="E306" s="1169"/>
      <c r="F306" s="1169"/>
      <c r="G306" s="1169"/>
      <c r="H306" s="1169"/>
      <c r="I306" s="1169"/>
      <c r="J306" s="1171"/>
      <c r="K306" s="1169"/>
      <c r="L306" s="1812">
        <v>500942</v>
      </c>
      <c r="M306" s="1812">
        <v>0</v>
      </c>
      <c r="N306" s="1812">
        <v>0</v>
      </c>
    </row>
    <row r="307" spans="1:16" ht="13" customHeight="1">
      <c r="A307" s="985" t="s">
        <v>1465</v>
      </c>
      <c r="B307" s="2355" t="s">
        <v>1832</v>
      </c>
      <c r="C307" s="1171"/>
      <c r="D307" s="1169"/>
      <c r="E307" s="1169"/>
      <c r="F307" s="1169"/>
      <c r="G307" s="1169"/>
      <c r="H307" s="1169"/>
      <c r="I307" s="1169"/>
      <c r="J307" s="1171"/>
      <c r="K307" s="1169"/>
      <c r="L307" s="1812">
        <v>980000</v>
      </c>
      <c r="M307" s="1812">
        <v>135000</v>
      </c>
      <c r="N307" s="1812">
        <v>3449880</v>
      </c>
    </row>
    <row r="308" spans="1:16" ht="13" customHeight="1">
      <c r="A308" s="2330" t="s">
        <v>1465</v>
      </c>
      <c r="B308" s="2355" t="s">
        <v>1833</v>
      </c>
      <c r="C308" s="1171"/>
      <c r="D308" s="1169"/>
      <c r="E308" s="1169"/>
      <c r="F308" s="1169"/>
      <c r="G308" s="1169"/>
      <c r="H308" s="1169"/>
      <c r="I308" s="1169"/>
      <c r="J308" s="1171"/>
      <c r="K308" s="1169"/>
      <c r="L308" s="2365">
        <v>9761488</v>
      </c>
      <c r="M308" s="2365">
        <v>-807646</v>
      </c>
      <c r="N308" s="2365">
        <v>0</v>
      </c>
    </row>
    <row r="309" spans="1:16" ht="13" customHeight="1">
      <c r="A309" s="2330" t="s">
        <v>1465</v>
      </c>
      <c r="B309" s="2355" t="s">
        <v>1834</v>
      </c>
      <c r="C309" s="1171"/>
      <c r="D309" s="1169"/>
      <c r="E309" s="1169"/>
      <c r="F309" s="1169"/>
      <c r="G309" s="1169"/>
      <c r="H309" s="1169"/>
      <c r="I309" s="1169"/>
      <c r="J309" s="1171"/>
      <c r="K309" s="1169"/>
      <c r="L309" s="2365">
        <v>2087110</v>
      </c>
      <c r="M309" s="2365">
        <v>0</v>
      </c>
      <c r="N309" s="2365">
        <v>0</v>
      </c>
    </row>
    <row r="310" spans="1:16" ht="13" customHeight="1">
      <c r="A310" s="2358" t="s">
        <v>1465</v>
      </c>
      <c r="B310" s="2355" t="s">
        <v>1835</v>
      </c>
      <c r="C310" s="1171"/>
      <c r="D310" s="1169"/>
      <c r="E310" s="1169"/>
      <c r="F310" s="1169"/>
      <c r="G310" s="1169"/>
      <c r="H310" s="1169"/>
      <c r="I310" s="1169"/>
      <c r="J310" s="1171"/>
      <c r="K310" s="1169"/>
      <c r="L310" s="2365">
        <v>165755</v>
      </c>
      <c r="M310" s="2365">
        <v>-161145</v>
      </c>
      <c r="N310" s="2365">
        <v>0</v>
      </c>
    </row>
    <row r="311" spans="1:16" ht="13" customHeight="1">
      <c r="A311" s="2330" t="s">
        <v>1465</v>
      </c>
      <c r="B311" s="2355" t="s">
        <v>1836</v>
      </c>
      <c r="C311" s="1171"/>
      <c r="D311" s="1169"/>
      <c r="E311" s="1169"/>
      <c r="F311" s="1169"/>
      <c r="G311" s="1169"/>
      <c r="H311" s="1169"/>
      <c r="I311" s="1169"/>
      <c r="J311" s="1171"/>
      <c r="K311" s="1169"/>
      <c r="L311" s="1812">
        <v>257087</v>
      </c>
      <c r="M311" s="1812">
        <v>0</v>
      </c>
      <c r="N311" s="1812">
        <v>0</v>
      </c>
    </row>
    <row r="312" spans="1:16" ht="13" customHeight="1" thickBot="1">
      <c r="A312" s="985" t="s">
        <v>1465</v>
      </c>
      <c r="B312" s="1132" t="s">
        <v>1246</v>
      </c>
      <c r="C312" s="1171"/>
      <c r="D312" s="1169"/>
      <c r="E312" s="1169"/>
      <c r="F312" s="1169">
        <v>267750</v>
      </c>
      <c r="G312" s="1169">
        <v>267750</v>
      </c>
      <c r="H312" s="1169"/>
      <c r="I312" s="1169"/>
      <c r="J312" s="1169"/>
      <c r="K312" s="1169"/>
      <c r="L312" s="1169">
        <v>0</v>
      </c>
      <c r="M312" s="1169">
        <v>0</v>
      </c>
      <c r="N312" s="1169">
        <v>0</v>
      </c>
    </row>
    <row r="313" spans="1:16" ht="13" customHeight="1" thickBot="1">
      <c r="A313" s="1044"/>
      <c r="B313" s="1176" t="s">
        <v>31</v>
      </c>
      <c r="C313" s="1177">
        <f>SUM(C269:C312)</f>
        <v>43582698</v>
      </c>
      <c r="D313" s="1177">
        <f t="shared" ref="D313:H313" si="86">SUM(D269:D312)</f>
        <v>32106977</v>
      </c>
      <c r="E313" s="1177">
        <f t="shared" si="86"/>
        <v>90709930</v>
      </c>
      <c r="F313" s="1177">
        <f t="shared" si="86"/>
        <v>28325173</v>
      </c>
      <c r="G313" s="1177">
        <f t="shared" si="86"/>
        <v>11958391</v>
      </c>
      <c r="H313" s="1177">
        <f t="shared" si="86"/>
        <v>18404612</v>
      </c>
      <c r="I313" s="1177">
        <f t="shared" ref="I313:N313" si="87">SUM(I269:I312)</f>
        <v>21577204</v>
      </c>
      <c r="J313" s="1177">
        <f t="shared" si="87"/>
        <v>56907237</v>
      </c>
      <c r="K313" s="1177">
        <f t="shared" si="87"/>
        <v>57494897</v>
      </c>
      <c r="L313" s="1177">
        <f t="shared" si="87"/>
        <v>52879546</v>
      </c>
      <c r="M313" s="1177">
        <f>SUM(M269:M312)</f>
        <v>24951491</v>
      </c>
      <c r="N313" s="1177">
        <f t="shared" si="87"/>
        <v>45995910</v>
      </c>
    </row>
    <row r="314" spans="1:16" ht="13" customHeight="1" thickBot="1">
      <c r="B314" s="1044"/>
      <c r="C314" s="1044"/>
      <c r="D314" s="1044"/>
      <c r="E314" s="1044"/>
      <c r="F314" s="1044"/>
      <c r="G314" s="1044"/>
      <c r="H314" s="1044"/>
      <c r="I314" s="1044"/>
      <c r="J314" s="1044"/>
      <c r="K314" s="1044"/>
      <c r="L314" s="1044"/>
      <c r="M314" s="1044"/>
      <c r="N314" s="1044"/>
    </row>
    <row r="315" spans="1:16" ht="13" customHeight="1" thickBot="1">
      <c r="A315" s="1044"/>
      <c r="B315" s="1125" t="s">
        <v>121</v>
      </c>
      <c r="C315" s="993">
        <v>45658</v>
      </c>
      <c r="D315" s="993">
        <v>45689</v>
      </c>
      <c r="E315" s="993">
        <v>45717</v>
      </c>
      <c r="F315" s="993">
        <v>45748</v>
      </c>
      <c r="G315" s="993">
        <v>45778</v>
      </c>
      <c r="H315" s="993">
        <v>45809</v>
      </c>
      <c r="I315" s="993">
        <v>45863</v>
      </c>
      <c r="J315" s="993">
        <v>45894</v>
      </c>
      <c r="K315" s="993">
        <v>45925</v>
      </c>
      <c r="L315" s="993">
        <v>45955</v>
      </c>
      <c r="M315" s="993">
        <v>45986</v>
      </c>
      <c r="N315" s="993">
        <v>46016</v>
      </c>
    </row>
    <row r="316" spans="1:16" ht="13" customHeight="1" thickBot="1">
      <c r="B316" s="1126" t="s">
        <v>38</v>
      </c>
      <c r="C316" s="1127" t="s">
        <v>23</v>
      </c>
      <c r="D316" s="1127" t="s">
        <v>23</v>
      </c>
      <c r="E316" s="1127" t="s">
        <v>23</v>
      </c>
      <c r="F316" s="1127" t="s">
        <v>23</v>
      </c>
      <c r="G316" s="1127" t="s">
        <v>23</v>
      </c>
      <c r="H316" s="1127" t="s">
        <v>23</v>
      </c>
      <c r="I316" s="1127" t="s">
        <v>23</v>
      </c>
      <c r="J316" s="1127" t="s">
        <v>23</v>
      </c>
      <c r="K316" s="1127" t="s">
        <v>23</v>
      </c>
      <c r="L316" s="1127" t="s">
        <v>23</v>
      </c>
      <c r="M316" s="1127" t="s">
        <v>23</v>
      </c>
      <c r="N316" s="1127" t="s">
        <v>23</v>
      </c>
    </row>
    <row r="317" spans="1:16" ht="13" customHeight="1" thickBot="1">
      <c r="A317" s="985" t="s">
        <v>1817</v>
      </c>
      <c r="B317" s="1178" t="s">
        <v>605</v>
      </c>
      <c r="C317" s="1179">
        <f>1583890+1700000</f>
        <v>3283890</v>
      </c>
      <c r="D317" s="1146">
        <v>0</v>
      </c>
      <c r="E317" s="1146">
        <v>0</v>
      </c>
      <c r="F317" s="1146">
        <v>0</v>
      </c>
      <c r="G317" s="1532">
        <v>8965201</v>
      </c>
      <c r="H317" s="1532"/>
      <c r="I317" s="1532"/>
      <c r="J317" s="1532">
        <f>5699973+2604970</f>
        <v>8304943</v>
      </c>
      <c r="K317" s="1532"/>
      <c r="L317" s="1532"/>
      <c r="M317" s="1532"/>
      <c r="N317" s="1532"/>
    </row>
    <row r="318" spans="1:16" ht="13" customHeight="1" thickBot="1">
      <c r="B318" s="1153" t="s">
        <v>31</v>
      </c>
      <c r="C318" s="1180">
        <f t="shared" ref="C318:H318" si="88">SUM(C317:C317)</f>
        <v>3283890</v>
      </c>
      <c r="D318" s="1180">
        <f t="shared" si="88"/>
        <v>0</v>
      </c>
      <c r="E318" s="1180">
        <f t="shared" si="88"/>
        <v>0</v>
      </c>
      <c r="F318" s="1180">
        <f t="shared" si="88"/>
        <v>0</v>
      </c>
      <c r="G318" s="1180">
        <f t="shared" si="88"/>
        <v>8965201</v>
      </c>
      <c r="H318" s="1180">
        <f t="shared" si="88"/>
        <v>0</v>
      </c>
      <c r="I318" s="1180">
        <f t="shared" ref="I318" si="89">SUM(I317:I317)</f>
        <v>0</v>
      </c>
      <c r="J318" s="1180">
        <f>SUM(J317:J317)</f>
        <v>8304943</v>
      </c>
      <c r="K318" s="1180">
        <f>SUM(K317:K317)</f>
        <v>0</v>
      </c>
      <c r="L318" s="1180">
        <f>SUM(L317:L317)</f>
        <v>0</v>
      </c>
      <c r="M318" s="1180">
        <f>SUM(M317:M317)</f>
        <v>0</v>
      </c>
      <c r="N318" s="1180">
        <f>SUM(N317:N317)</f>
        <v>0</v>
      </c>
    </row>
    <row r="319" spans="1:16" ht="13" customHeight="1" thickBot="1">
      <c r="B319" s="1116"/>
      <c r="F319" s="985"/>
      <c r="G319" s="985"/>
      <c r="H319" s="985"/>
      <c r="I319" s="985"/>
      <c r="L319" s="985"/>
      <c r="M319" s="985"/>
      <c r="P319" s="1579"/>
    </row>
    <row r="320" spans="1:16" ht="13" customHeight="1" thickBot="1">
      <c r="B320" s="1155" t="s">
        <v>122</v>
      </c>
      <c r="C320" s="993">
        <v>45658</v>
      </c>
      <c r="D320" s="993">
        <v>45689</v>
      </c>
      <c r="E320" s="993">
        <v>45717</v>
      </c>
      <c r="F320" s="993">
        <v>45748</v>
      </c>
      <c r="G320" s="993">
        <v>45778</v>
      </c>
      <c r="H320" s="993">
        <v>45809</v>
      </c>
      <c r="I320" s="993">
        <v>45863</v>
      </c>
      <c r="J320" s="993">
        <v>45894</v>
      </c>
      <c r="K320" s="993">
        <v>45925</v>
      </c>
      <c r="L320" s="993">
        <v>45955</v>
      </c>
      <c r="M320" s="993">
        <v>45986</v>
      </c>
      <c r="N320" s="993">
        <v>46016</v>
      </c>
      <c r="P320" s="1579"/>
    </row>
    <row r="321" spans="1:16" ht="13" customHeight="1" thickBot="1">
      <c r="B321" s="1126" t="s">
        <v>38</v>
      </c>
      <c r="C321" s="1127" t="s">
        <v>23</v>
      </c>
      <c r="D321" s="1127" t="s">
        <v>23</v>
      </c>
      <c r="E321" s="1127" t="s">
        <v>23</v>
      </c>
      <c r="F321" s="1127" t="s">
        <v>23</v>
      </c>
      <c r="G321" s="1127" t="s">
        <v>23</v>
      </c>
      <c r="H321" s="1127" t="s">
        <v>23</v>
      </c>
      <c r="I321" s="1127" t="s">
        <v>23</v>
      </c>
      <c r="J321" s="1127" t="s">
        <v>23</v>
      </c>
      <c r="K321" s="1127" t="s">
        <v>23</v>
      </c>
      <c r="L321" s="1127" t="s">
        <v>23</v>
      </c>
      <c r="M321" s="1127" t="s">
        <v>23</v>
      </c>
      <c r="N321" s="1127" t="s">
        <v>23</v>
      </c>
      <c r="P321" s="1579"/>
    </row>
    <row r="322" spans="1:16" ht="13" customHeight="1">
      <c r="A322" s="985" t="s">
        <v>1462</v>
      </c>
      <c r="B322" s="1132" t="s">
        <v>123</v>
      </c>
      <c r="C322" s="1129">
        <v>725904</v>
      </c>
      <c r="D322" s="1137">
        <v>747736</v>
      </c>
      <c r="E322" s="1137">
        <v>747736</v>
      </c>
      <c r="F322" s="1130">
        <v>797736</v>
      </c>
      <c r="G322" s="1130">
        <f>797736</f>
        <v>797736</v>
      </c>
      <c r="H322" s="1130">
        <v>797736</v>
      </c>
      <c r="I322" s="1130">
        <v>797736</v>
      </c>
      <c r="J322" s="1131">
        <v>797736</v>
      </c>
      <c r="K322" s="2180">
        <v>803118</v>
      </c>
      <c r="L322" s="2134">
        <v>803118</v>
      </c>
      <c r="M322" s="2134">
        <v>803118</v>
      </c>
      <c r="N322" s="2134">
        <v>803118</v>
      </c>
      <c r="P322" s="1579"/>
    </row>
    <row r="323" spans="1:16" ht="13" customHeight="1">
      <c r="A323" s="985" t="s">
        <v>1462</v>
      </c>
      <c r="B323" s="1132" t="s">
        <v>1271</v>
      </c>
      <c r="C323" s="1134">
        <v>2600071</v>
      </c>
      <c r="D323" s="1135">
        <v>2602978</v>
      </c>
      <c r="E323" s="1130">
        <v>2604266</v>
      </c>
      <c r="F323" s="1130">
        <v>2604739</v>
      </c>
      <c r="G323" s="1130">
        <v>2605334</v>
      </c>
      <c r="H323" s="1130">
        <v>2605573</v>
      </c>
      <c r="I323" s="1130">
        <v>2646934</v>
      </c>
      <c r="J323" s="2028">
        <v>2610758</v>
      </c>
      <c r="K323" s="2180">
        <v>2618237</v>
      </c>
      <c r="L323" s="2134">
        <v>2617625</v>
      </c>
      <c r="M323" s="2134">
        <v>2617855</v>
      </c>
      <c r="N323" s="2134">
        <v>5329393</v>
      </c>
      <c r="P323" s="1579"/>
    </row>
    <row r="324" spans="1:16" ht="13" customHeight="1">
      <c r="A324" s="985" t="s">
        <v>1462</v>
      </c>
      <c r="B324" s="1811" t="s">
        <v>1527</v>
      </c>
      <c r="C324" s="1820"/>
      <c r="D324" s="1820"/>
      <c r="E324" s="1935"/>
      <c r="F324" s="1936"/>
      <c r="G324" s="1936"/>
      <c r="H324" s="1820"/>
      <c r="I324" s="1821">
        <v>1395640</v>
      </c>
      <c r="J324" s="1821">
        <v>1829851</v>
      </c>
      <c r="K324" s="2180">
        <f>1430401+400000</f>
        <v>1830401</v>
      </c>
      <c r="L324" s="2134">
        <v>2430401</v>
      </c>
      <c r="M324" s="2134">
        <v>1230550</v>
      </c>
      <c r="N324" s="2134">
        <v>4587931</v>
      </c>
      <c r="P324" s="1579"/>
    </row>
    <row r="325" spans="1:16" ht="13" customHeight="1">
      <c r="A325" s="985" t="s">
        <v>1487</v>
      </c>
      <c r="B325" s="1132" t="s">
        <v>388</v>
      </c>
      <c r="C325" s="1137">
        <f>1968538+1600000+700000</f>
        <v>4268538</v>
      </c>
      <c r="D325" s="1137">
        <v>2600000</v>
      </c>
      <c r="E325" s="1137">
        <v>1600000</v>
      </c>
      <c r="F325" s="1137">
        <v>1600000</v>
      </c>
      <c r="G325" s="1137"/>
      <c r="H325" s="1137"/>
      <c r="I325" s="1137"/>
      <c r="J325" s="2149">
        <v>2500000</v>
      </c>
      <c r="K325" s="2178">
        <v>2500000</v>
      </c>
      <c r="L325" s="1137">
        <v>0</v>
      </c>
      <c r="M325" s="1137">
        <v>0</v>
      </c>
      <c r="N325" s="1137">
        <v>0</v>
      </c>
      <c r="P325" s="1579"/>
    </row>
    <row r="326" spans="1:16" ht="13" customHeight="1">
      <c r="A326" s="985" t="s">
        <v>1462</v>
      </c>
      <c r="B326" s="1132" t="s">
        <v>439</v>
      </c>
      <c r="C326" s="1137">
        <v>2500000</v>
      </c>
      <c r="D326" s="1137">
        <v>2500000</v>
      </c>
      <c r="E326" s="1137">
        <v>2500000</v>
      </c>
      <c r="F326" s="1137">
        <v>2500000</v>
      </c>
      <c r="G326" s="1137">
        <v>565000</v>
      </c>
      <c r="H326" s="1137"/>
      <c r="I326" s="1137"/>
      <c r="J326" s="1534"/>
      <c r="K326" s="1534"/>
      <c r="L326" s="1534">
        <v>0</v>
      </c>
      <c r="M326" s="1534">
        <v>0</v>
      </c>
      <c r="N326" s="1534">
        <v>0</v>
      </c>
      <c r="P326" s="1579"/>
    </row>
    <row r="327" spans="1:16" ht="13" customHeight="1">
      <c r="A327" s="985" t="s">
        <v>1462</v>
      </c>
      <c r="B327" s="1533" t="s">
        <v>1333</v>
      </c>
      <c r="C327" s="1550"/>
      <c r="D327" s="1550"/>
      <c r="E327" s="1550"/>
      <c r="F327" s="1550"/>
      <c r="G327" s="1550">
        <v>1500000</v>
      </c>
      <c r="H327" s="1550">
        <v>1500000</v>
      </c>
      <c r="I327" s="1550">
        <v>1500000</v>
      </c>
      <c r="J327" s="1578">
        <v>1500000</v>
      </c>
      <c r="K327" s="2188">
        <v>1500000</v>
      </c>
      <c r="L327" s="1550">
        <v>1500000</v>
      </c>
      <c r="M327" s="1550">
        <v>1500000</v>
      </c>
      <c r="N327" s="1550">
        <v>3056100</v>
      </c>
      <c r="P327" s="1579"/>
    </row>
    <row r="328" spans="1:16" ht="13" customHeight="1">
      <c r="A328" s="985" t="s">
        <v>1462</v>
      </c>
      <c r="B328" s="1144" t="s">
        <v>1908</v>
      </c>
      <c r="C328" s="2480"/>
      <c r="D328" s="1409"/>
      <c r="E328" s="1409"/>
      <c r="F328" s="1409"/>
      <c r="G328" s="1409"/>
      <c r="H328" s="1409"/>
      <c r="I328" s="1409"/>
      <c r="J328" s="2481"/>
      <c r="K328" s="2482"/>
      <c r="L328" s="1409"/>
      <c r="M328" s="1409"/>
      <c r="N328" s="1550">
        <v>10834200</v>
      </c>
      <c r="P328" s="1579"/>
    </row>
    <row r="329" spans="1:16" ht="13" customHeight="1">
      <c r="A329" s="985" t="s">
        <v>1817</v>
      </c>
      <c r="B329" s="1144" t="s">
        <v>1909</v>
      </c>
      <c r="C329" s="2480"/>
      <c r="D329" s="1409"/>
      <c r="E329" s="1409"/>
      <c r="F329" s="1409"/>
      <c r="G329" s="1409"/>
      <c r="H329" s="1409"/>
      <c r="I329" s="1409"/>
      <c r="J329" s="2481"/>
      <c r="K329" s="2482"/>
      <c r="L329" s="1409"/>
      <c r="M329" s="1409"/>
      <c r="N329" s="1550">
        <v>4250001</v>
      </c>
      <c r="P329" s="1579"/>
    </row>
    <row r="330" spans="1:16" ht="13" customHeight="1">
      <c r="A330" s="985" t="s">
        <v>1462</v>
      </c>
      <c r="B330" s="1132" t="s">
        <v>124</v>
      </c>
      <c r="D330" s="1120">
        <v>342004</v>
      </c>
      <c r="E330" s="1120">
        <v>0</v>
      </c>
      <c r="F330" s="1120">
        <v>0</v>
      </c>
      <c r="G330" s="1120">
        <v>0</v>
      </c>
      <c r="H330" s="1120">
        <v>0</v>
      </c>
      <c r="I330" s="1120"/>
      <c r="J330" s="1120"/>
      <c r="K330" s="1120"/>
      <c r="L330" s="1120">
        <v>0</v>
      </c>
      <c r="M330" s="1120">
        <v>0</v>
      </c>
      <c r="N330" s="1120">
        <v>0</v>
      </c>
      <c r="P330" s="1579"/>
    </row>
    <row r="331" spans="1:16" ht="13" customHeight="1">
      <c r="A331" s="985" t="s">
        <v>1462</v>
      </c>
      <c r="B331" s="1132" t="s">
        <v>362</v>
      </c>
      <c r="C331" s="1120">
        <v>427500</v>
      </c>
      <c r="D331" s="1120">
        <v>427500</v>
      </c>
      <c r="E331" s="1120">
        <v>300000</v>
      </c>
      <c r="F331" s="1120"/>
      <c r="G331" s="1120"/>
      <c r="H331" s="1120"/>
      <c r="I331" s="1120"/>
      <c r="J331" s="1120"/>
      <c r="K331" s="1120"/>
      <c r="L331" s="1120">
        <v>0</v>
      </c>
      <c r="M331" s="1120">
        <v>0</v>
      </c>
      <c r="N331" s="1120">
        <v>0</v>
      </c>
      <c r="P331" s="1579"/>
    </row>
    <row r="332" spans="1:16" ht="13" customHeight="1">
      <c r="A332" s="985" t="s">
        <v>1462</v>
      </c>
      <c r="B332" s="1168" t="s">
        <v>515</v>
      </c>
      <c r="C332" s="1120">
        <v>1710000</v>
      </c>
      <c r="D332" s="1120">
        <v>1710000</v>
      </c>
      <c r="E332" s="1120">
        <v>1710000</v>
      </c>
      <c r="F332" s="1120">
        <f>1197000+587078</f>
        <v>1784078</v>
      </c>
      <c r="G332" s="1120"/>
      <c r="H332" s="1120"/>
      <c r="I332" s="1120"/>
      <c r="J332" s="1120"/>
      <c r="K332" s="1120"/>
      <c r="L332" s="1120">
        <v>0</v>
      </c>
      <c r="M332" s="1120">
        <v>0</v>
      </c>
      <c r="N332" s="1120">
        <v>0</v>
      </c>
      <c r="P332" s="1579"/>
    </row>
    <row r="333" spans="1:16" ht="13" customHeight="1">
      <c r="A333" s="985" t="s">
        <v>1462</v>
      </c>
      <c r="B333" s="1168" t="s">
        <v>528</v>
      </c>
      <c r="C333" s="1169"/>
      <c r="D333" s="1169">
        <f>168000+158667+280000+290000</f>
        <v>896667</v>
      </c>
      <c r="E333" s="1169">
        <f>140000+140000</f>
        <v>280000</v>
      </c>
      <c r="F333" s="1169"/>
      <c r="G333" s="1169"/>
      <c r="H333" s="1169"/>
      <c r="I333" s="1169"/>
      <c r="J333" s="1169"/>
      <c r="K333" s="1169"/>
      <c r="L333" s="1169">
        <v>0</v>
      </c>
      <c r="M333" s="1169">
        <v>0</v>
      </c>
      <c r="N333" s="1169">
        <v>0</v>
      </c>
      <c r="P333" s="1579"/>
    </row>
    <row r="334" spans="1:16" ht="13" customHeight="1">
      <c r="A334" s="985" t="s">
        <v>229</v>
      </c>
      <c r="B334" s="1132" t="s">
        <v>615</v>
      </c>
      <c r="C334" s="1120"/>
      <c r="D334" s="1120">
        <v>13000000</v>
      </c>
      <c r="E334" s="1120">
        <v>13000000</v>
      </c>
      <c r="F334" s="1120">
        <v>13000000</v>
      </c>
      <c r="G334" s="1120">
        <v>13000000</v>
      </c>
      <c r="H334" s="1120">
        <v>13000000</v>
      </c>
      <c r="I334" s="1120">
        <v>13000000</v>
      </c>
      <c r="J334" s="1179">
        <v>13000000</v>
      </c>
      <c r="K334" s="2191">
        <v>13000000</v>
      </c>
      <c r="L334" s="1179">
        <v>0</v>
      </c>
      <c r="M334" s="1179">
        <v>0</v>
      </c>
      <c r="N334" s="1179">
        <v>0</v>
      </c>
      <c r="P334" s="1579"/>
    </row>
    <row r="335" spans="1:16" ht="13" customHeight="1">
      <c r="A335" s="985" t="s">
        <v>1462</v>
      </c>
      <c r="B335" s="1811" t="s">
        <v>1486</v>
      </c>
      <c r="C335" s="1815"/>
      <c r="D335" s="1815">
        <v>14000000</v>
      </c>
      <c r="E335" s="1815">
        <v>14000000</v>
      </c>
      <c r="F335" s="1815">
        <v>14000000</v>
      </c>
      <c r="G335" s="1815">
        <v>14000000</v>
      </c>
      <c r="H335" s="1815">
        <v>14000000</v>
      </c>
      <c r="I335" s="1815">
        <v>14000000</v>
      </c>
      <c r="J335" s="2085">
        <v>14000000</v>
      </c>
      <c r="K335" s="2192">
        <v>14000000</v>
      </c>
      <c r="L335" s="2085">
        <v>0</v>
      </c>
      <c r="M335" s="2085">
        <v>0</v>
      </c>
      <c r="N335" s="2085">
        <v>0</v>
      </c>
      <c r="P335" s="1579"/>
    </row>
    <row r="336" spans="1:16" ht="13" customHeight="1" thickBot="1">
      <c r="A336" s="985" t="s">
        <v>1462</v>
      </c>
      <c r="B336" s="1132" t="s">
        <v>125</v>
      </c>
      <c r="C336" s="1120"/>
      <c r="D336" s="1120"/>
      <c r="E336" s="1120"/>
      <c r="F336" s="1120"/>
      <c r="G336" s="1120"/>
      <c r="H336" s="1120"/>
      <c r="I336" s="1120"/>
      <c r="J336" s="1120"/>
      <c r="K336" s="1120">
        <v>650000</v>
      </c>
      <c r="L336" s="1120">
        <v>0</v>
      </c>
      <c r="M336" s="1120">
        <v>0</v>
      </c>
      <c r="N336" s="1120">
        <v>1385000</v>
      </c>
      <c r="P336" s="1579"/>
    </row>
    <row r="337" spans="1:20" ht="13" customHeight="1" thickBot="1">
      <c r="B337" s="1153" t="s">
        <v>31</v>
      </c>
      <c r="C337" s="1180">
        <f t="shared" ref="C337:H337" si="90">SUM(C322:C336)</f>
        <v>12232013</v>
      </c>
      <c r="D337" s="1180">
        <f t="shared" si="90"/>
        <v>38826885</v>
      </c>
      <c r="E337" s="1180">
        <f t="shared" si="90"/>
        <v>36742002</v>
      </c>
      <c r="F337" s="1180">
        <f t="shared" si="90"/>
        <v>36286553</v>
      </c>
      <c r="G337" s="1180">
        <f t="shared" si="90"/>
        <v>32468070</v>
      </c>
      <c r="H337" s="1180">
        <f t="shared" si="90"/>
        <v>31903309</v>
      </c>
      <c r="I337" s="1180">
        <f t="shared" ref="I337:N337" si="91">SUM(I322:I336)</f>
        <v>33340310</v>
      </c>
      <c r="J337" s="1180">
        <f t="shared" si="91"/>
        <v>36238345</v>
      </c>
      <c r="K337" s="1180">
        <f t="shared" si="91"/>
        <v>36901756</v>
      </c>
      <c r="L337" s="1180">
        <f t="shared" si="91"/>
        <v>7351144</v>
      </c>
      <c r="M337" s="1180">
        <f>SUM(M322:M336)</f>
        <v>6151523</v>
      </c>
      <c r="N337" s="1180">
        <f t="shared" si="91"/>
        <v>30245743</v>
      </c>
      <c r="P337" s="1579"/>
    </row>
    <row r="338" spans="1:20" ht="13" customHeight="1" thickBot="1">
      <c r="B338" s="1116"/>
      <c r="F338" s="985"/>
      <c r="G338" s="985"/>
      <c r="H338" s="985"/>
      <c r="I338" s="985"/>
      <c r="L338" s="985"/>
      <c r="M338" s="985"/>
    </row>
    <row r="339" spans="1:20" ht="13" customHeight="1" thickBot="1">
      <c r="B339" s="1155" t="s">
        <v>126</v>
      </c>
      <c r="C339" s="993">
        <v>45658</v>
      </c>
      <c r="D339" s="993">
        <v>45689</v>
      </c>
      <c r="E339" s="993">
        <v>45717</v>
      </c>
      <c r="F339" s="993">
        <v>45748</v>
      </c>
      <c r="G339" s="993">
        <v>45778</v>
      </c>
      <c r="H339" s="993">
        <v>45809</v>
      </c>
      <c r="I339" s="993">
        <v>45863</v>
      </c>
      <c r="J339" s="993">
        <v>45894</v>
      </c>
      <c r="K339" s="993">
        <v>45925</v>
      </c>
      <c r="L339" s="993">
        <v>45955</v>
      </c>
      <c r="M339" s="993">
        <v>45986</v>
      </c>
      <c r="N339" s="993">
        <v>46016</v>
      </c>
    </row>
    <row r="340" spans="1:20" ht="13" customHeight="1">
      <c r="A340" s="985" t="s">
        <v>1487</v>
      </c>
      <c r="B340" s="1132" t="s">
        <v>127</v>
      </c>
      <c r="C340" s="1181">
        <f>356943+1736+225+7870+50154+176377</f>
        <v>593305</v>
      </c>
      <c r="D340" s="1181">
        <f>7866+58865+50937+47178+66829+115840</f>
        <v>347515</v>
      </c>
      <c r="E340" s="1181">
        <f>32237+34442+97428+88135+7946+50960+54297+54553+339358</f>
        <v>759356</v>
      </c>
      <c r="F340" s="1181">
        <f>321243+51791+57669+18702+7981</f>
        <v>457386</v>
      </c>
      <c r="G340" s="1181">
        <f>51791+8016+114780+105504</f>
        <v>280091</v>
      </c>
      <c r="H340" s="1181">
        <f>51455+8032+54496+79551</f>
        <v>193534</v>
      </c>
      <c r="I340" s="1181">
        <f>161302+54257+53922</f>
        <v>269481</v>
      </c>
      <c r="J340" s="1530">
        <f>8026+344509</f>
        <v>352535</v>
      </c>
      <c r="K340" s="2171">
        <f>8087+98533+53986+53761</f>
        <v>214367</v>
      </c>
      <c r="L340" s="1181">
        <v>1108482</v>
      </c>
      <c r="M340" s="1181">
        <v>401341</v>
      </c>
      <c r="N340" s="1181">
        <v>332423</v>
      </c>
    </row>
    <row r="341" spans="1:20" ht="13" customHeight="1">
      <c r="A341" s="985" t="s">
        <v>1487</v>
      </c>
      <c r="B341" s="1132" t="s">
        <v>860</v>
      </c>
      <c r="C341" s="1160"/>
      <c r="D341" s="1160">
        <f>1899053+1792231</f>
        <v>3691284</v>
      </c>
      <c r="E341" s="1160">
        <v>1794831</v>
      </c>
      <c r="F341" s="1160">
        <v>1748377</v>
      </c>
      <c r="G341" s="1160">
        <v>1727526</v>
      </c>
      <c r="H341" s="1160">
        <v>1646890</v>
      </c>
      <c r="I341" s="1160">
        <v>1658496</v>
      </c>
      <c r="J341" s="1161">
        <v>1699381</v>
      </c>
      <c r="K341" s="2181">
        <v>1704661</v>
      </c>
      <c r="L341" s="1161">
        <v>1692278</v>
      </c>
      <c r="M341" s="1161">
        <v>1701256</v>
      </c>
      <c r="N341" s="1161">
        <v>1728008</v>
      </c>
    </row>
    <row r="342" spans="1:20" ht="13" customHeight="1">
      <c r="A342" s="985" t="s">
        <v>1487</v>
      </c>
      <c r="B342" s="1132" t="s">
        <v>332</v>
      </c>
      <c r="C342" s="1137">
        <v>100000</v>
      </c>
      <c r="D342" s="1160">
        <f>115706+135620</f>
        <v>251326</v>
      </c>
      <c r="E342" s="1160">
        <f>153594+154055</f>
        <v>307649</v>
      </c>
      <c r="F342" s="1160">
        <f>196893+198958</f>
        <v>395851</v>
      </c>
      <c r="G342" s="1160">
        <v>142020</v>
      </c>
      <c r="H342" s="1160">
        <f>178428+160240</f>
        <v>338668</v>
      </c>
      <c r="I342" s="1160">
        <v>306982</v>
      </c>
      <c r="J342" s="1161">
        <v>152238</v>
      </c>
      <c r="K342" s="2172">
        <v>150240</v>
      </c>
      <c r="L342" s="1160">
        <v>391810</v>
      </c>
      <c r="M342" s="1160">
        <v>265690</v>
      </c>
      <c r="N342" s="1160">
        <v>223640</v>
      </c>
      <c r="O342" s="1044"/>
      <c r="R342" s="1044"/>
      <c r="S342" s="1044"/>
    </row>
    <row r="343" spans="1:20" ht="13" customHeight="1">
      <c r="A343" s="985" t="s">
        <v>1487</v>
      </c>
      <c r="B343" s="1132" t="s">
        <v>864</v>
      </c>
      <c r="C343" s="1160"/>
      <c r="D343" s="1160">
        <f>257708+196679</f>
        <v>454387</v>
      </c>
      <c r="E343" s="1160">
        <f>285000+196759</f>
        <v>481759</v>
      </c>
      <c r="F343" s="1160">
        <f>283292+184251+191496+280299</f>
        <v>939338</v>
      </c>
      <c r="G343" s="1160"/>
      <c r="H343" s="1160"/>
      <c r="I343" s="1160">
        <f>555280+205030+374485</f>
        <v>1134795</v>
      </c>
      <c r="J343" s="1161">
        <f>359794+216007</f>
        <v>575801</v>
      </c>
      <c r="K343" s="2141"/>
      <c r="L343" s="1160">
        <v>1090580</v>
      </c>
      <c r="M343" s="1160">
        <v>0</v>
      </c>
      <c r="N343" s="1160">
        <v>532867</v>
      </c>
      <c r="T343" s="1044"/>
    </row>
    <row r="344" spans="1:20" s="1044" customFormat="1" ht="13" customHeight="1">
      <c r="A344" s="985" t="s">
        <v>1487</v>
      </c>
      <c r="B344" s="1132" t="s">
        <v>865</v>
      </c>
      <c r="C344" s="1160"/>
      <c r="D344" s="1160">
        <v>113961</v>
      </c>
      <c r="E344" s="1160">
        <v>114411</v>
      </c>
      <c r="F344" s="1160">
        <f>113961+113961</f>
        <v>227922</v>
      </c>
      <c r="G344" s="1160">
        <v>113961</v>
      </c>
      <c r="H344" s="1160"/>
      <c r="I344" s="1160">
        <f>114411+113961</f>
        <v>228372</v>
      </c>
      <c r="J344" s="1161">
        <v>113961</v>
      </c>
      <c r="K344" s="2141"/>
      <c r="L344" s="1160">
        <v>267843</v>
      </c>
      <c r="M344" s="1160">
        <v>113961</v>
      </c>
      <c r="N344" s="1160">
        <v>0</v>
      </c>
      <c r="O344" s="985"/>
      <c r="R344" s="985"/>
      <c r="S344" s="985"/>
      <c r="T344" s="985"/>
    </row>
    <row r="345" spans="1:20" ht="13" customHeight="1">
      <c r="A345" s="985" t="s">
        <v>1487</v>
      </c>
      <c r="B345" s="1132" t="s">
        <v>128</v>
      </c>
      <c r="C345" s="1160"/>
      <c r="D345" s="1160">
        <v>184274</v>
      </c>
      <c r="E345" s="1160">
        <v>173629</v>
      </c>
      <c r="F345" s="1160">
        <f>174826+175908</f>
        <v>350734</v>
      </c>
      <c r="G345" s="1160">
        <v>202297</v>
      </c>
      <c r="H345" s="1160"/>
      <c r="I345" s="1160">
        <f>300481+53751</f>
        <v>354232</v>
      </c>
      <c r="J345" s="1161">
        <v>306332</v>
      </c>
      <c r="K345" s="2141"/>
      <c r="L345" s="1160">
        <v>178141</v>
      </c>
      <c r="M345" s="1160">
        <v>178731</v>
      </c>
      <c r="N345" s="1160">
        <v>679</v>
      </c>
    </row>
    <row r="346" spans="1:20" ht="13" customHeight="1">
      <c r="A346" s="985" t="s">
        <v>1487</v>
      </c>
      <c r="B346" s="1132" t="s">
        <v>129</v>
      </c>
      <c r="C346" s="1160"/>
      <c r="D346" s="1160">
        <f>455836+201581</f>
        <v>657417</v>
      </c>
      <c r="E346" s="1160">
        <v>108475</v>
      </c>
      <c r="F346" s="1160"/>
      <c r="G346" s="1160"/>
      <c r="H346" s="1160"/>
      <c r="I346" s="1160">
        <v>142863</v>
      </c>
      <c r="J346" s="1160"/>
      <c r="K346" s="2141"/>
      <c r="L346" s="1160">
        <v>102117</v>
      </c>
      <c r="M346" s="1160">
        <v>0</v>
      </c>
      <c r="N346" s="1160">
        <v>0</v>
      </c>
    </row>
    <row r="347" spans="1:20" ht="13" customHeight="1">
      <c r="A347" s="985" t="s">
        <v>1487</v>
      </c>
      <c r="B347" s="1182" t="s">
        <v>130</v>
      </c>
      <c r="C347" s="1160"/>
      <c r="D347" s="1160">
        <f>768383+759453</f>
        <v>1527836</v>
      </c>
      <c r="E347" s="1160">
        <v>773261</v>
      </c>
      <c r="F347" s="1160">
        <v>777982</v>
      </c>
      <c r="G347" s="1160">
        <f>781638+8186</f>
        <v>789824</v>
      </c>
      <c r="H347" s="1160">
        <v>783839</v>
      </c>
      <c r="I347" s="1160">
        <v>785394</v>
      </c>
      <c r="J347" s="1161">
        <v>783479</v>
      </c>
      <c r="K347" s="2181">
        <v>787889</v>
      </c>
      <c r="L347" s="1161">
        <v>789713</v>
      </c>
      <c r="M347" s="1161">
        <v>792055</v>
      </c>
      <c r="N347" s="1161">
        <v>792872</v>
      </c>
    </row>
    <row r="348" spans="1:20" ht="13" customHeight="1">
      <c r="A348" s="985" t="s">
        <v>1487</v>
      </c>
      <c r="B348" s="1822" t="s">
        <v>1448</v>
      </c>
      <c r="C348" s="1818"/>
      <c r="D348" s="1818"/>
      <c r="E348" s="1818"/>
      <c r="F348" s="1818"/>
      <c r="G348" s="1818"/>
      <c r="H348" s="1818">
        <v>391768</v>
      </c>
      <c r="I348" s="1818"/>
      <c r="J348" s="1819">
        <v>392467</v>
      </c>
      <c r="K348" s="2142"/>
      <c r="L348" s="1818">
        <v>217573</v>
      </c>
      <c r="M348" s="1818">
        <v>0</v>
      </c>
      <c r="N348" s="1818">
        <v>0</v>
      </c>
    </row>
    <row r="349" spans="1:20" ht="13" customHeight="1">
      <c r="A349" s="985" t="s">
        <v>1487</v>
      </c>
      <c r="B349" s="1182" t="s">
        <v>1297</v>
      </c>
      <c r="C349" s="1181">
        <v>1417610</v>
      </c>
      <c r="D349" s="1181">
        <v>1324200</v>
      </c>
      <c r="E349" s="1181">
        <v>1338767</v>
      </c>
      <c r="F349" s="1181">
        <v>1344123</v>
      </c>
      <c r="G349" s="1181">
        <v>1852327</v>
      </c>
      <c r="H349" s="1181">
        <v>2026791</v>
      </c>
      <c r="I349" s="1181">
        <v>2030812</v>
      </c>
      <c r="J349" s="1530">
        <v>1906093</v>
      </c>
      <c r="K349" s="2171">
        <v>2029728</v>
      </c>
      <c r="L349" s="1181">
        <v>2447788</v>
      </c>
      <c r="M349" s="1181">
        <v>2373696</v>
      </c>
      <c r="N349" s="1181">
        <v>2376600</v>
      </c>
    </row>
    <row r="350" spans="1:20" ht="13" customHeight="1">
      <c r="A350" s="985" t="s">
        <v>1487</v>
      </c>
      <c r="B350" s="1182" t="s">
        <v>303</v>
      </c>
      <c r="C350" s="1164"/>
      <c r="D350" s="1164">
        <f>184800+184800</f>
        <v>369600</v>
      </c>
      <c r="E350" s="1164">
        <v>184800</v>
      </c>
      <c r="F350" s="1164">
        <v>184800</v>
      </c>
      <c r="G350" s="1164">
        <v>184800</v>
      </c>
      <c r="H350" s="1164">
        <v>184800</v>
      </c>
      <c r="I350" s="1164">
        <v>184800</v>
      </c>
      <c r="J350" s="1114">
        <v>184800</v>
      </c>
      <c r="K350" s="2190">
        <v>184800</v>
      </c>
      <c r="L350" s="1114">
        <v>184800</v>
      </c>
      <c r="M350" s="1114">
        <v>184800</v>
      </c>
      <c r="N350" s="1114">
        <v>184800</v>
      </c>
    </row>
    <row r="351" spans="1:20" ht="13" customHeight="1">
      <c r="A351" s="985" t="s">
        <v>1487</v>
      </c>
      <c r="B351" s="1132" t="s">
        <v>336</v>
      </c>
      <c r="C351" s="1181"/>
      <c r="D351" s="1181">
        <f>325603+232845+361113+7721+403450</f>
        <v>1330732</v>
      </c>
      <c r="E351" s="1181">
        <f>76795+143583</f>
        <v>220378</v>
      </c>
      <c r="F351" s="1181">
        <v>182858</v>
      </c>
      <c r="G351" s="1181">
        <v>223797</v>
      </c>
      <c r="H351" s="1181">
        <v>211964</v>
      </c>
      <c r="I351" s="1181">
        <v>270167</v>
      </c>
      <c r="J351" s="1530">
        <v>304437</v>
      </c>
      <c r="K351" s="2189">
        <v>216982</v>
      </c>
      <c r="L351" s="1530">
        <v>242692</v>
      </c>
      <c r="M351" s="1530">
        <v>279403</v>
      </c>
      <c r="N351" s="1530">
        <v>456367</v>
      </c>
    </row>
    <row r="352" spans="1:20" ht="13" customHeight="1">
      <c r="A352" s="985" t="s">
        <v>1487</v>
      </c>
      <c r="B352" s="1132" t="s">
        <v>527</v>
      </c>
      <c r="C352" s="1181">
        <v>275310</v>
      </c>
      <c r="D352" s="1181">
        <v>275310</v>
      </c>
      <c r="E352" s="1181">
        <f>179550+275310</f>
        <v>454860</v>
      </c>
      <c r="F352" s="1181">
        <v>275310</v>
      </c>
      <c r="G352" s="1181">
        <v>275310</v>
      </c>
      <c r="H352" s="1181">
        <v>275310</v>
      </c>
      <c r="I352" s="1181">
        <v>275310</v>
      </c>
      <c r="J352" s="2189">
        <v>275310</v>
      </c>
      <c r="K352" s="2189">
        <v>275310</v>
      </c>
      <c r="L352" s="1530">
        <v>275310</v>
      </c>
      <c r="M352" s="1530">
        <v>0</v>
      </c>
      <c r="N352" s="1530">
        <v>0</v>
      </c>
    </row>
    <row r="353" spans="1:16" ht="13" customHeight="1">
      <c r="A353" s="985" t="s">
        <v>1487</v>
      </c>
      <c r="B353" s="1132" t="s">
        <v>390</v>
      </c>
      <c r="C353" s="1181"/>
      <c r="D353" s="1181">
        <f>768433+767490</f>
        <v>1535923</v>
      </c>
      <c r="E353" s="1181">
        <v>580399</v>
      </c>
      <c r="F353" s="1181">
        <f>583561+28400</f>
        <v>611961</v>
      </c>
      <c r="G353" s="1181">
        <v>586618</v>
      </c>
      <c r="H353" s="1181">
        <v>587917</v>
      </c>
      <c r="I353" s="1181">
        <v>589045</v>
      </c>
      <c r="J353" s="1530">
        <v>587609</v>
      </c>
      <c r="K353" s="2189">
        <v>590916</v>
      </c>
      <c r="L353" s="1530">
        <v>592284</v>
      </c>
      <c r="M353" s="1530">
        <v>593965</v>
      </c>
      <c r="N353" s="1530">
        <v>594653</v>
      </c>
    </row>
    <row r="354" spans="1:16" ht="13" customHeight="1">
      <c r="A354" s="985" t="s">
        <v>1487</v>
      </c>
      <c r="B354" s="1132" t="s">
        <v>132</v>
      </c>
      <c r="C354" s="1181">
        <v>466999</v>
      </c>
      <c r="D354" s="1181">
        <v>466646</v>
      </c>
      <c r="E354" s="1181">
        <v>471348</v>
      </c>
      <c r="F354" s="1181">
        <f>472986+221302</f>
        <v>694288</v>
      </c>
      <c r="G354" s="1181">
        <v>621494</v>
      </c>
      <c r="H354" s="1181">
        <v>569714</v>
      </c>
      <c r="I354" s="1181">
        <v>535734</v>
      </c>
      <c r="J354" s="1530">
        <v>611344</v>
      </c>
      <c r="K354" s="2171">
        <v>597218</v>
      </c>
      <c r="L354" s="1181">
        <v>574019</v>
      </c>
      <c r="M354" s="1181">
        <v>575942</v>
      </c>
      <c r="N354" s="1181">
        <v>576018</v>
      </c>
    </row>
    <row r="355" spans="1:16" ht="13" customHeight="1">
      <c r="A355" s="985" t="s">
        <v>1487</v>
      </c>
      <c r="B355" s="1132" t="s">
        <v>133</v>
      </c>
      <c r="C355" s="1181"/>
      <c r="D355" s="1181">
        <f>269238+279651</f>
        <v>548889</v>
      </c>
      <c r="E355" s="1181">
        <v>279651</v>
      </c>
      <c r="F355" s="1181">
        <v>279650</v>
      </c>
      <c r="G355" s="1181">
        <v>279651</v>
      </c>
      <c r="H355" s="1181">
        <v>279651</v>
      </c>
      <c r="I355" s="1181">
        <v>279651</v>
      </c>
      <c r="J355" s="1530">
        <v>279651</v>
      </c>
      <c r="K355" s="2189">
        <v>279651</v>
      </c>
      <c r="L355" s="1530">
        <v>279651</v>
      </c>
      <c r="M355" s="1530">
        <v>279650</v>
      </c>
      <c r="N355" s="1530">
        <v>279650</v>
      </c>
    </row>
    <row r="356" spans="1:16" ht="13" customHeight="1">
      <c r="A356" s="985" t="s">
        <v>1487</v>
      </c>
      <c r="B356" s="1132" t="s">
        <v>531</v>
      </c>
      <c r="C356" s="1169"/>
      <c r="D356" s="1169">
        <v>0</v>
      </c>
      <c r="E356" s="1169">
        <v>140420</v>
      </c>
      <c r="F356" s="1169">
        <v>140420</v>
      </c>
      <c r="G356" s="1169">
        <v>133280</v>
      </c>
      <c r="H356" s="1169"/>
      <c r="I356" s="1169"/>
      <c r="J356" s="1171">
        <v>140420</v>
      </c>
      <c r="K356" s="2144"/>
      <c r="L356" s="1169">
        <v>0</v>
      </c>
      <c r="M356" s="1169">
        <v>0</v>
      </c>
      <c r="N356" s="1169">
        <v>0</v>
      </c>
    </row>
    <row r="357" spans="1:16" ht="13" customHeight="1">
      <c r="A357" s="985" t="s">
        <v>1487</v>
      </c>
      <c r="B357" s="1132" t="s">
        <v>423</v>
      </c>
      <c r="C357" s="1173">
        <v>393321</v>
      </c>
      <c r="D357" s="1173"/>
      <c r="E357" s="1173">
        <v>0</v>
      </c>
      <c r="F357" s="1173">
        <v>0</v>
      </c>
      <c r="G357" s="1173">
        <v>0</v>
      </c>
      <c r="H357" s="1173">
        <v>0</v>
      </c>
      <c r="I357" s="1173"/>
      <c r="J357" s="1173"/>
      <c r="K357" s="2145"/>
      <c r="L357" s="1173">
        <v>0</v>
      </c>
      <c r="M357" s="1173">
        <v>0</v>
      </c>
      <c r="N357" s="1173">
        <v>0</v>
      </c>
    </row>
    <row r="358" spans="1:16" ht="13" customHeight="1">
      <c r="A358" s="985" t="s">
        <v>1487</v>
      </c>
      <c r="B358" s="1132" t="s">
        <v>529</v>
      </c>
      <c r="C358" s="1173"/>
      <c r="D358" s="1173">
        <v>230824</v>
      </c>
      <c r="E358" s="1173"/>
      <c r="F358" s="1173"/>
      <c r="G358" s="1173"/>
      <c r="H358" s="1173"/>
      <c r="I358" s="1173"/>
      <c r="J358" s="1173"/>
      <c r="K358" s="2145"/>
      <c r="L358" s="1173">
        <v>0</v>
      </c>
      <c r="M358" s="1173">
        <v>0</v>
      </c>
      <c r="N358" s="1173">
        <v>0</v>
      </c>
    </row>
    <row r="359" spans="1:16" ht="13" customHeight="1">
      <c r="A359" s="985" t="s">
        <v>1487</v>
      </c>
      <c r="B359" s="1132" t="s">
        <v>232</v>
      </c>
      <c r="C359" s="1160">
        <v>426172</v>
      </c>
      <c r="D359" s="1160"/>
      <c r="E359" s="1160"/>
      <c r="F359" s="1160"/>
      <c r="G359" s="1160"/>
      <c r="H359" s="1160"/>
      <c r="I359" s="1160">
        <v>537797</v>
      </c>
      <c r="J359" s="1160"/>
      <c r="K359" s="2141"/>
      <c r="L359" s="1160">
        <v>0</v>
      </c>
      <c r="M359" s="1160">
        <v>0</v>
      </c>
      <c r="N359" s="1160">
        <v>0</v>
      </c>
    </row>
    <row r="360" spans="1:16" ht="13" customHeight="1">
      <c r="A360" s="985" t="s">
        <v>1487</v>
      </c>
      <c r="B360" s="1132" t="s">
        <v>296</v>
      </c>
      <c r="C360" s="1169"/>
      <c r="D360" s="1169"/>
      <c r="E360" s="1169"/>
      <c r="F360" s="1169">
        <v>2216643</v>
      </c>
      <c r="G360" s="1169"/>
      <c r="H360" s="1169">
        <v>2216643</v>
      </c>
      <c r="I360" s="1169"/>
      <c r="J360" s="1171"/>
      <c r="K360" s="2174">
        <v>2258761</v>
      </c>
      <c r="L360" s="1169">
        <v>92356</v>
      </c>
      <c r="M360" s="1169">
        <v>2258761</v>
      </c>
      <c r="N360" s="1169">
        <v>0</v>
      </c>
    </row>
    <row r="361" spans="1:16" ht="13" customHeight="1">
      <c r="A361" s="985" t="s">
        <v>1487</v>
      </c>
      <c r="B361" s="1132" t="s">
        <v>566</v>
      </c>
      <c r="C361" s="1169"/>
      <c r="D361" s="1169">
        <v>1256938</v>
      </c>
      <c r="E361" s="1181">
        <v>1256938</v>
      </c>
      <c r="F361" s="1181">
        <v>0</v>
      </c>
      <c r="G361" s="1181">
        <v>0</v>
      </c>
      <c r="H361" s="1181">
        <v>0</v>
      </c>
      <c r="I361" s="1181"/>
      <c r="J361" s="1530">
        <f>1643688+1643688</f>
        <v>3287376</v>
      </c>
      <c r="K361" s="2146"/>
      <c r="L361" s="1530">
        <v>0</v>
      </c>
      <c r="M361" s="1530">
        <v>0</v>
      </c>
      <c r="N361" s="1530">
        <v>0</v>
      </c>
      <c r="P361" s="1579"/>
    </row>
    <row r="362" spans="1:16" ht="13" customHeight="1">
      <c r="A362" s="985" t="s">
        <v>1487</v>
      </c>
      <c r="B362" s="1144" t="s">
        <v>1884</v>
      </c>
      <c r="C362" s="1169"/>
      <c r="D362" s="1169"/>
      <c r="E362" s="2423"/>
      <c r="F362" s="2423"/>
      <c r="G362" s="2423"/>
      <c r="H362" s="2423"/>
      <c r="I362" s="2423"/>
      <c r="J362" s="2424"/>
      <c r="K362" s="2428"/>
      <c r="L362" s="2424"/>
      <c r="M362" s="1530">
        <v>79838</v>
      </c>
      <c r="N362" s="1530">
        <v>0</v>
      </c>
      <c r="P362" s="1579"/>
    </row>
    <row r="363" spans="1:16" ht="13" customHeight="1">
      <c r="A363" s="985" t="s">
        <v>1487</v>
      </c>
      <c r="B363" s="1132" t="s">
        <v>568</v>
      </c>
      <c r="C363" s="1169"/>
      <c r="D363" s="1169">
        <v>314819</v>
      </c>
      <c r="E363" s="1181"/>
      <c r="F363" s="1181">
        <v>0</v>
      </c>
      <c r="G363" s="1181">
        <v>0</v>
      </c>
      <c r="H363" s="1181">
        <v>0</v>
      </c>
      <c r="I363" s="1181"/>
      <c r="J363" s="1181"/>
      <c r="K363" s="2143"/>
      <c r="L363" s="1181">
        <v>0</v>
      </c>
      <c r="M363" s="1181">
        <v>0</v>
      </c>
      <c r="N363" s="1181">
        <v>550000</v>
      </c>
      <c r="P363" s="1579"/>
    </row>
    <row r="364" spans="1:16" ht="13" customHeight="1">
      <c r="A364" s="985" t="s">
        <v>1487</v>
      </c>
      <c r="B364" s="1132" t="s">
        <v>1435</v>
      </c>
      <c r="C364" s="1169"/>
      <c r="D364" s="1169">
        <f>100150+160650</f>
        <v>260800</v>
      </c>
      <c r="E364" s="1181">
        <f>120000+249900</f>
        <v>369900</v>
      </c>
      <c r="F364" s="1181">
        <v>0</v>
      </c>
      <c r="G364" s="1181">
        <f>53550+67960+142020+90000</f>
        <v>353530</v>
      </c>
      <c r="H364" s="1181">
        <f>258230+76160</f>
        <v>334390</v>
      </c>
      <c r="I364" s="1181">
        <v>488790</v>
      </c>
      <c r="J364" s="1530">
        <v>554840</v>
      </c>
      <c r="K364" s="2143"/>
      <c r="L364" s="1181">
        <v>0</v>
      </c>
      <c r="M364" s="1181">
        <v>0</v>
      </c>
      <c r="N364" s="1181">
        <v>0</v>
      </c>
      <c r="P364" s="1579"/>
    </row>
    <row r="365" spans="1:16" ht="13" customHeight="1">
      <c r="A365" s="985" t="s">
        <v>1817</v>
      </c>
      <c r="B365" s="1183" t="s">
        <v>422</v>
      </c>
      <c r="C365" s="1184"/>
      <c r="D365" s="1184">
        <f>3261832+3285075+3377+700000+677175</f>
        <v>7927459</v>
      </c>
      <c r="E365" s="1185">
        <v>3304723</v>
      </c>
      <c r="F365" s="1185">
        <v>3320857</v>
      </c>
      <c r="G365" s="1185">
        <v>3330674</v>
      </c>
      <c r="H365" s="1185">
        <v>3337701</v>
      </c>
      <c r="I365" s="1185">
        <v>3330647</v>
      </c>
      <c r="J365" s="2084">
        <f>7053+3348529</f>
        <v>3355582</v>
      </c>
      <c r="K365" s="2189">
        <v>3356280</v>
      </c>
      <c r="L365" s="1530">
        <v>3364936</v>
      </c>
      <c r="M365" s="1530">
        <v>3369705</v>
      </c>
      <c r="N365" s="1530">
        <v>3376550</v>
      </c>
      <c r="P365" s="1579"/>
    </row>
    <row r="366" spans="1:16" ht="13" customHeight="1">
      <c r="A366" s="985" t="s">
        <v>1817</v>
      </c>
      <c r="B366" s="1186" t="s">
        <v>1273</v>
      </c>
      <c r="C366" s="1187">
        <f>108887+64200</f>
        <v>173087</v>
      </c>
      <c r="D366" s="1184">
        <f>470250+427500+191385</f>
        <v>1089135</v>
      </c>
      <c r="E366" s="1185">
        <v>1870555</v>
      </c>
      <c r="F366" s="1185">
        <f>1105168+448875+122926+244984</f>
        <v>1921953</v>
      </c>
      <c r="G366" s="1185">
        <f>1044876+470250+320645+204233</f>
        <v>2040004</v>
      </c>
      <c r="H366" s="1185">
        <f>974006+427500+263680</f>
        <v>1665186</v>
      </c>
      <c r="I366" s="1185">
        <f>540251+470250+269651+990222+268882</f>
        <v>2539256</v>
      </c>
      <c r="J366" s="2084">
        <f>406125+230533+1040545</f>
        <v>1677203</v>
      </c>
      <c r="K366" s="2174">
        <f>427500+64125+1131789+127497</f>
        <v>1750911</v>
      </c>
      <c r="L366" s="1169">
        <v>2707934</v>
      </c>
      <c r="M366" s="1169">
        <v>1679685</v>
      </c>
      <c r="N366" s="1169">
        <v>1514776</v>
      </c>
      <c r="P366" s="1579"/>
    </row>
    <row r="367" spans="1:16" ht="13" customHeight="1">
      <c r="A367" s="985" t="s">
        <v>1817</v>
      </c>
      <c r="B367" s="1186" t="s">
        <v>453</v>
      </c>
      <c r="C367" s="1187">
        <v>933085</v>
      </c>
      <c r="D367" s="1188">
        <v>0</v>
      </c>
      <c r="E367" s="1188"/>
      <c r="F367" s="1188"/>
      <c r="G367" s="1188"/>
      <c r="H367" s="1188"/>
      <c r="I367" s="1188"/>
      <c r="J367" s="2084"/>
      <c r="K367" s="2144"/>
      <c r="L367" s="1169">
        <v>0</v>
      </c>
      <c r="M367" s="1169">
        <v>0</v>
      </c>
      <c r="N367" s="1169">
        <v>0</v>
      </c>
      <c r="P367" s="1579"/>
    </row>
    <row r="368" spans="1:16" ht="13" customHeight="1">
      <c r="A368" s="985" t="s">
        <v>1465</v>
      </c>
      <c r="B368" s="1132" t="s">
        <v>1764</v>
      </c>
      <c r="F368" s="985"/>
      <c r="G368" s="985"/>
      <c r="H368" s="985"/>
      <c r="I368" s="985"/>
      <c r="K368" s="2175">
        <f>256259+37842</f>
        <v>294101</v>
      </c>
      <c r="L368" s="1812">
        <v>0</v>
      </c>
      <c r="M368" s="1812">
        <v>0</v>
      </c>
      <c r="N368" s="1812">
        <v>0</v>
      </c>
      <c r="P368" s="1579"/>
    </row>
    <row r="369" spans="1:16" ht="13" customHeight="1">
      <c r="A369" s="985" t="s">
        <v>1487</v>
      </c>
      <c r="B369" s="1132" t="s">
        <v>139</v>
      </c>
      <c r="C369" s="1120">
        <v>132887</v>
      </c>
      <c r="D369" s="1189">
        <f>133305+104084</f>
        <v>237389</v>
      </c>
      <c r="E369" s="1189">
        <f>133840+35791+134116</f>
        <v>303747</v>
      </c>
      <c r="F369" s="1189">
        <f>38698+47208+117490+117636+381026+138362</f>
        <v>840420</v>
      </c>
      <c r="G369" s="1189">
        <f>361765+118184+7476+135012+250556+53194-528</f>
        <v>925659</v>
      </c>
      <c r="H369" s="1189">
        <v>135819</v>
      </c>
      <c r="I369" s="1189">
        <f>629472+1525+644435+788+216049+42400</f>
        <v>1534669</v>
      </c>
      <c r="J369" s="2033">
        <f>135028+118198+168910+123899+8000</f>
        <v>554035</v>
      </c>
      <c r="K369" s="2173">
        <f>119247+45549+136029</f>
        <v>300825</v>
      </c>
      <c r="L369" s="1189">
        <v>1080099</v>
      </c>
      <c r="M369" s="1189">
        <v>256494</v>
      </c>
      <c r="N369" s="1189">
        <v>1626624</v>
      </c>
      <c r="P369" s="1579"/>
    </row>
    <row r="370" spans="1:16" ht="13" customHeight="1">
      <c r="A370" s="985" t="s">
        <v>1487</v>
      </c>
      <c r="B370" s="1168" t="s">
        <v>140</v>
      </c>
      <c r="C370" s="1120">
        <v>39588</v>
      </c>
      <c r="D370" s="1181">
        <v>39752</v>
      </c>
      <c r="E370" s="1181">
        <v>39714</v>
      </c>
      <c r="F370" s="1181">
        <v>40005</v>
      </c>
      <c r="G370" s="1181">
        <v>40249</v>
      </c>
      <c r="H370" s="1181">
        <v>40438</v>
      </c>
      <c r="I370" s="1181">
        <v>40552</v>
      </c>
      <c r="J370" s="1530">
        <v>40632</v>
      </c>
      <c r="K370" s="2171">
        <v>40534</v>
      </c>
      <c r="L370" s="1181">
        <v>40762</v>
      </c>
      <c r="M370" s="1181">
        <v>40856</v>
      </c>
      <c r="N370" s="1181">
        <v>40977</v>
      </c>
      <c r="P370" s="1579"/>
    </row>
    <row r="371" spans="1:16" ht="13" customHeight="1">
      <c r="A371" s="985" t="s">
        <v>1487</v>
      </c>
      <c r="B371" s="1132" t="s">
        <v>572</v>
      </c>
      <c r="C371" s="1120"/>
      <c r="D371" s="1181">
        <v>265889</v>
      </c>
      <c r="E371" s="1181"/>
      <c r="F371" s="1181"/>
      <c r="G371" s="1181"/>
      <c r="H371" s="1181"/>
      <c r="I371" s="1181">
        <f>230174+235975</f>
        <v>466149</v>
      </c>
      <c r="J371" s="1530">
        <v>251863</v>
      </c>
      <c r="K371" s="2189">
        <f>256460+247308</f>
        <v>503768</v>
      </c>
      <c r="L371" s="1530">
        <v>253265</v>
      </c>
      <c r="M371" s="1530">
        <v>243492</v>
      </c>
      <c r="N371" s="1530">
        <v>238710</v>
      </c>
      <c r="P371" s="1579"/>
    </row>
    <row r="372" spans="1:16" ht="13" customHeight="1">
      <c r="A372" s="985" t="s">
        <v>1487</v>
      </c>
      <c r="B372" s="1132" t="s">
        <v>861</v>
      </c>
      <c r="C372" s="1120"/>
      <c r="D372" s="1181"/>
      <c r="E372" s="1181">
        <f>78573+116637+116637</f>
        <v>311847</v>
      </c>
      <c r="F372" s="1181">
        <v>117207</v>
      </c>
      <c r="G372" s="1181">
        <v>117553</v>
      </c>
      <c r="H372" s="1181">
        <v>117801</v>
      </c>
      <c r="I372" s="1181">
        <v>117552</v>
      </c>
      <c r="J372" s="1530">
        <v>118183</v>
      </c>
      <c r="K372" s="2189">
        <v>118457</v>
      </c>
      <c r="L372" s="1530">
        <v>118762</v>
      </c>
      <c r="M372" s="1530">
        <v>118931</v>
      </c>
      <c r="N372" s="1530">
        <v>119172</v>
      </c>
      <c r="P372" s="1579"/>
    </row>
    <row r="373" spans="1:16" ht="13" customHeight="1">
      <c r="A373" s="985" t="s">
        <v>1487</v>
      </c>
      <c r="B373" s="1144" t="s">
        <v>1911</v>
      </c>
      <c r="C373" s="1408"/>
      <c r="D373" s="2423"/>
      <c r="E373" s="2423"/>
      <c r="F373" s="2423"/>
      <c r="G373" s="2423"/>
      <c r="H373" s="2423"/>
      <c r="I373" s="2423"/>
      <c r="J373" s="2424"/>
      <c r="K373" s="2483"/>
      <c r="L373" s="2424"/>
      <c r="M373" s="2424"/>
      <c r="N373" s="1530">
        <v>179271</v>
      </c>
      <c r="P373" s="1579"/>
    </row>
    <row r="374" spans="1:16" ht="13" customHeight="1">
      <c r="A374" s="985" t="s">
        <v>1487</v>
      </c>
      <c r="B374" s="1132" t="s">
        <v>1272</v>
      </c>
      <c r="C374" s="1120"/>
      <c r="D374" s="1181"/>
      <c r="E374" s="1181">
        <v>149750</v>
      </c>
      <c r="F374" s="1181">
        <f>144480+43490+260000</f>
        <v>447970</v>
      </c>
      <c r="G374" s="1181"/>
      <c r="H374" s="1181"/>
      <c r="I374" s="1181"/>
      <c r="J374" s="1181"/>
      <c r="K374" s="2143"/>
      <c r="L374" s="1181">
        <v>0</v>
      </c>
      <c r="M374" s="1181">
        <v>0</v>
      </c>
      <c r="N374" s="1181">
        <v>0</v>
      </c>
      <c r="P374" s="1579"/>
    </row>
    <row r="375" spans="1:16" ht="13" customHeight="1">
      <c r="A375" s="985" t="s">
        <v>1817</v>
      </c>
      <c r="B375" s="1144" t="s">
        <v>1910</v>
      </c>
      <c r="C375" s="1408"/>
      <c r="D375" s="2423"/>
      <c r="E375" s="2423"/>
      <c r="F375" s="2423"/>
      <c r="G375" s="2423"/>
      <c r="H375" s="2423"/>
      <c r="I375" s="2423"/>
      <c r="J375" s="2423"/>
      <c r="K375" s="2426"/>
      <c r="L375" s="2423"/>
      <c r="M375" s="2423"/>
      <c r="N375" s="1181">
        <v>1037147</v>
      </c>
      <c r="P375" s="1579"/>
    </row>
    <row r="376" spans="1:16" ht="13" customHeight="1">
      <c r="A376" s="2358" t="s">
        <v>1817</v>
      </c>
      <c r="B376" s="2355" t="s">
        <v>1837</v>
      </c>
      <c r="C376" s="2359"/>
      <c r="D376" s="2360"/>
      <c r="E376" s="2360"/>
      <c r="F376" s="2360"/>
      <c r="G376" s="2360"/>
      <c r="H376" s="2360"/>
      <c r="I376" s="2360"/>
      <c r="J376" s="2360"/>
      <c r="K376" s="2361"/>
      <c r="L376" s="2403">
        <v>23524515</v>
      </c>
      <c r="M376" s="2403">
        <v>11221700</v>
      </c>
      <c r="N376" s="2403">
        <v>4622793</v>
      </c>
      <c r="P376" s="1579"/>
    </row>
    <row r="377" spans="1:16" ht="13" customHeight="1">
      <c r="A377" s="2358" t="s">
        <v>1817</v>
      </c>
      <c r="B377" s="1144" t="s">
        <v>1883</v>
      </c>
      <c r="C377" s="1408"/>
      <c r="D377" s="2423"/>
      <c r="E377" s="2423"/>
      <c r="F377" s="2423"/>
      <c r="G377" s="2423"/>
      <c r="H377" s="2423"/>
      <c r="I377" s="2423"/>
      <c r="J377" s="2423"/>
      <c r="K377" s="2426"/>
      <c r="L377" s="2427"/>
      <c r="M377" s="2403">
        <v>2081257</v>
      </c>
      <c r="N377" s="2403">
        <v>793400</v>
      </c>
      <c r="P377" s="1579"/>
    </row>
    <row r="378" spans="1:16" ht="13" customHeight="1">
      <c r="A378" s="2330" t="s">
        <v>1466</v>
      </c>
      <c r="B378" s="1811" t="s">
        <v>1438</v>
      </c>
      <c r="C378" s="1815"/>
      <c r="D378" s="1816"/>
      <c r="E378" s="1816"/>
      <c r="F378" s="1816"/>
      <c r="G378" s="1816"/>
      <c r="H378" s="1816"/>
      <c r="I378" s="1816"/>
      <c r="J378" s="1817"/>
      <c r="K378" s="2147"/>
      <c r="L378" s="1816">
        <v>0</v>
      </c>
      <c r="M378" s="1816">
        <v>0</v>
      </c>
      <c r="N378" s="1816">
        <v>0</v>
      </c>
      <c r="P378" s="1579"/>
    </row>
    <row r="379" spans="1:16" ht="13" customHeight="1">
      <c r="A379" s="2330" t="s">
        <v>1487</v>
      </c>
      <c r="B379" s="1811" t="s">
        <v>1768</v>
      </c>
      <c r="C379" s="1815"/>
      <c r="D379" s="1816"/>
      <c r="E379" s="1816"/>
      <c r="F379" s="1816"/>
      <c r="G379" s="1816"/>
      <c r="H379" s="1816">
        <v>5000000</v>
      </c>
      <c r="I379" s="1816">
        <v>5000000</v>
      </c>
      <c r="J379" s="1817">
        <v>3500000</v>
      </c>
      <c r="K379" s="2179">
        <f>1695000+352000</f>
        <v>2047000</v>
      </c>
      <c r="L379" s="1816">
        <v>0</v>
      </c>
      <c r="M379" s="1816">
        <v>0</v>
      </c>
      <c r="N379" s="1816">
        <v>1200000</v>
      </c>
      <c r="P379" s="1579"/>
    </row>
    <row r="380" spans="1:16" ht="13" customHeight="1">
      <c r="A380" s="2358" t="s">
        <v>1817</v>
      </c>
      <c r="B380" s="1144" t="s">
        <v>1882</v>
      </c>
      <c r="C380" s="1408"/>
      <c r="D380" s="2423"/>
      <c r="E380" s="2423"/>
      <c r="F380" s="2423"/>
      <c r="G380" s="2423"/>
      <c r="H380" s="2423"/>
      <c r="I380" s="2423"/>
      <c r="J380" s="2424"/>
      <c r="K380" s="2425"/>
      <c r="L380" s="2423"/>
      <c r="M380" s="1816">
        <v>1782501</v>
      </c>
      <c r="N380" s="1816">
        <v>416500</v>
      </c>
      <c r="P380" s="1579"/>
    </row>
    <row r="381" spans="1:16" ht="13" customHeight="1" thickBot="1">
      <c r="A381" s="985" t="s">
        <v>1487</v>
      </c>
      <c r="B381" s="1132" t="s">
        <v>1242</v>
      </c>
      <c r="C381" s="1120"/>
      <c r="D381" s="1181"/>
      <c r="E381" s="1181"/>
      <c r="F381" s="1181">
        <v>3538453</v>
      </c>
      <c r="G381" s="1181"/>
      <c r="H381" s="1181"/>
      <c r="I381" s="1181"/>
      <c r="J381" s="1181"/>
      <c r="K381" s="1181"/>
      <c r="L381" s="1181">
        <v>0</v>
      </c>
      <c r="M381" s="1181">
        <v>0</v>
      </c>
      <c r="N381" s="1181">
        <v>0</v>
      </c>
      <c r="P381" s="1579"/>
    </row>
    <row r="382" spans="1:16" ht="13" customHeight="1" thickBot="1">
      <c r="B382" s="1153" t="s">
        <v>31</v>
      </c>
      <c r="C382" s="1180">
        <f t="shared" ref="C382:H382" si="92">SUM(C340:C381)</f>
        <v>4951364</v>
      </c>
      <c r="D382" s="1180">
        <f t="shared" si="92"/>
        <v>24702305</v>
      </c>
      <c r="E382" s="1180">
        <f t="shared" si="92"/>
        <v>15791168</v>
      </c>
      <c r="F382" s="1180">
        <f t="shared" si="92"/>
        <v>21054508</v>
      </c>
      <c r="G382" s="1180">
        <f t="shared" si="92"/>
        <v>14220665</v>
      </c>
      <c r="H382" s="1180">
        <f t="shared" si="92"/>
        <v>20338824</v>
      </c>
      <c r="I382" s="1180">
        <f t="shared" ref="I382" si="93">SUM(I340:I381)</f>
        <v>23101546</v>
      </c>
      <c r="J382" s="1180">
        <f>SUM(J340:J381)</f>
        <v>22005572</v>
      </c>
      <c r="K382" s="1180">
        <f>SUM(K340:K381)</f>
        <v>17702399</v>
      </c>
      <c r="L382" s="1180">
        <f>SUM(L340:L381)</f>
        <v>41617710</v>
      </c>
      <c r="M382" s="1180">
        <f>SUM(M340:M381)</f>
        <v>30873710</v>
      </c>
      <c r="N382" s="1180">
        <f>SUM(N340:N381)</f>
        <v>23794497</v>
      </c>
      <c r="P382" s="1579"/>
    </row>
    <row r="383" spans="1:16" ht="13" customHeight="1" thickBot="1">
      <c r="B383" s="2038" t="s">
        <v>1656</v>
      </c>
      <c r="C383" s="2037">
        <f t="shared" ref="C383:K383" si="94">+C382+C337+C318+C313+C264+C219</f>
        <v>370261836</v>
      </c>
      <c r="D383" s="2037">
        <f t="shared" si="94"/>
        <v>393422026</v>
      </c>
      <c r="E383" s="2037">
        <f t="shared" si="94"/>
        <v>409986035</v>
      </c>
      <c r="F383" s="2037">
        <f t="shared" si="94"/>
        <v>318284847</v>
      </c>
      <c r="G383" s="2037">
        <f t="shared" si="94"/>
        <v>317005637</v>
      </c>
      <c r="H383" s="2037">
        <f t="shared" si="94"/>
        <v>354687669</v>
      </c>
      <c r="I383" s="2037">
        <f t="shared" si="94"/>
        <v>368817737</v>
      </c>
      <c r="J383" s="2037">
        <f t="shared" si="94"/>
        <v>396331980</v>
      </c>
      <c r="K383" s="2037">
        <f t="shared" si="94"/>
        <v>424872075</v>
      </c>
      <c r="L383" s="2037">
        <f t="shared" ref="L383" si="95">+L382+L337+L318+L313+L264+L219</f>
        <v>478289035</v>
      </c>
      <c r="M383" s="2037">
        <f>+M382+M337+M318+M313+M264+M219</f>
        <v>365547282</v>
      </c>
      <c r="N383" s="2037">
        <f t="shared" ref="N383" si="96">+N382+N337+N318+N313+N264+N219</f>
        <v>461811159</v>
      </c>
      <c r="P383" s="1579"/>
    </row>
    <row r="384" spans="1:16" ht="13" customHeight="1" thickBot="1">
      <c r="B384" s="1125" t="s">
        <v>134</v>
      </c>
      <c r="C384" s="993">
        <v>45658</v>
      </c>
      <c r="D384" s="993">
        <v>45689</v>
      </c>
      <c r="E384" s="993">
        <v>45717</v>
      </c>
      <c r="F384" s="993">
        <v>45748</v>
      </c>
      <c r="G384" s="993">
        <v>45778</v>
      </c>
      <c r="H384" s="993">
        <v>45809</v>
      </c>
      <c r="I384" s="993">
        <v>45863</v>
      </c>
      <c r="J384" s="993">
        <v>45894</v>
      </c>
      <c r="K384" s="993">
        <v>45925</v>
      </c>
      <c r="L384" s="993">
        <v>45955</v>
      </c>
      <c r="M384" s="993">
        <v>45986</v>
      </c>
      <c r="N384" s="993">
        <v>46016</v>
      </c>
      <c r="P384" s="1579"/>
    </row>
    <row r="385" spans="1:16" ht="13" customHeight="1" thickBot="1">
      <c r="B385" s="1126" t="s">
        <v>38</v>
      </c>
      <c r="C385" s="1127" t="s">
        <v>23</v>
      </c>
      <c r="D385" s="1127" t="s">
        <v>23</v>
      </c>
      <c r="E385" s="1127" t="s">
        <v>23</v>
      </c>
      <c r="F385" s="1127" t="s">
        <v>23</v>
      </c>
      <c r="G385" s="1127" t="s">
        <v>23</v>
      </c>
      <c r="H385" s="1127" t="s">
        <v>23</v>
      </c>
      <c r="I385" s="1127" t="s">
        <v>23</v>
      </c>
      <c r="J385" s="1127" t="s">
        <v>23</v>
      </c>
      <c r="K385" s="1127" t="s">
        <v>23</v>
      </c>
      <c r="L385" s="1127" t="s">
        <v>23</v>
      </c>
      <c r="M385" s="1127" t="s">
        <v>23</v>
      </c>
      <c r="N385" s="1127" t="s">
        <v>23</v>
      </c>
      <c r="P385" s="1579"/>
    </row>
    <row r="386" spans="1:16" ht="13" customHeight="1">
      <c r="B386" s="1132" t="s">
        <v>595</v>
      </c>
      <c r="C386" s="1120"/>
      <c r="D386" s="1120"/>
      <c r="E386" s="1120"/>
      <c r="F386" s="1179"/>
      <c r="G386" s="1120"/>
      <c r="H386" s="1120"/>
      <c r="I386" s="1120"/>
      <c r="J386" s="1179"/>
      <c r="K386" s="1179"/>
      <c r="L386" s="1179"/>
      <c r="M386" s="1179"/>
      <c r="N386" s="1179"/>
      <c r="P386" s="1579"/>
    </row>
    <row r="387" spans="1:16" ht="13" customHeight="1">
      <c r="A387" s="985" t="s">
        <v>1464</v>
      </c>
      <c r="B387" s="1132" t="s">
        <v>30</v>
      </c>
      <c r="C387" s="1120">
        <v>32600739</v>
      </c>
      <c r="D387" s="1120">
        <v>58964333</v>
      </c>
      <c r="E387" s="1120">
        <v>10366034</v>
      </c>
      <c r="F387" s="1120">
        <v>28992933</v>
      </c>
      <c r="G387" s="1120">
        <v>60345379</v>
      </c>
      <c r="H387" s="1120">
        <v>38648424</v>
      </c>
      <c r="I387" s="1120">
        <v>7750903</v>
      </c>
      <c r="J387" s="1179">
        <f>79337444+485455</f>
        <v>79822899</v>
      </c>
      <c r="K387" s="1179">
        <f>24427626+1001635</f>
        <v>25429261</v>
      </c>
      <c r="L387" s="1179">
        <v>44343048</v>
      </c>
      <c r="M387" s="1179">
        <v>41555362</v>
      </c>
      <c r="N387" s="1179">
        <v>22325637</v>
      </c>
      <c r="P387" s="1579"/>
    </row>
    <row r="388" spans="1:16" ht="13" customHeight="1">
      <c r="A388" s="2330" t="s">
        <v>1464</v>
      </c>
      <c r="B388" s="1132" t="s">
        <v>135</v>
      </c>
      <c r="C388" s="1120"/>
      <c r="D388" s="1120"/>
      <c r="E388" s="1120">
        <v>767962</v>
      </c>
      <c r="F388" s="1120">
        <v>520083</v>
      </c>
      <c r="G388" s="1120">
        <v>1060793</v>
      </c>
      <c r="H388" s="1120"/>
      <c r="I388" s="1120">
        <v>529067</v>
      </c>
      <c r="J388" s="1179">
        <v>690227</v>
      </c>
      <c r="K388" s="1179"/>
      <c r="L388" s="1179">
        <v>292239</v>
      </c>
      <c r="M388" s="1179">
        <v>571206</v>
      </c>
      <c r="N388" s="1179">
        <v>278742</v>
      </c>
      <c r="P388" s="1579"/>
    </row>
    <row r="389" spans="1:16" ht="13" customHeight="1" thickBot="1">
      <c r="B389" s="1132" t="s">
        <v>308</v>
      </c>
      <c r="C389" s="1120"/>
      <c r="D389" s="1120"/>
      <c r="E389" s="1120"/>
      <c r="F389" s="1120"/>
      <c r="G389" s="1120"/>
      <c r="H389" s="1120"/>
      <c r="I389" s="1120"/>
      <c r="J389" s="1120"/>
      <c r="K389" s="1120"/>
      <c r="L389" s="1120"/>
      <c r="M389" s="1120"/>
      <c r="N389" s="1120"/>
      <c r="P389" s="1579"/>
    </row>
    <row r="390" spans="1:16" ht="13" customHeight="1" thickBot="1">
      <c r="B390" s="1165"/>
      <c r="C390" s="1190">
        <f t="shared" ref="C390:H390" si="97">SUM(C386:C389)</f>
        <v>32600739</v>
      </c>
      <c r="D390" s="1190">
        <f t="shared" si="97"/>
        <v>58964333</v>
      </c>
      <c r="E390" s="1190">
        <f t="shared" si="97"/>
        <v>11133996</v>
      </c>
      <c r="F390" s="1190">
        <f t="shared" si="97"/>
        <v>29513016</v>
      </c>
      <c r="G390" s="1190">
        <f t="shared" si="97"/>
        <v>61406172</v>
      </c>
      <c r="H390" s="1190">
        <f t="shared" si="97"/>
        <v>38648424</v>
      </c>
      <c r="I390" s="1190">
        <f t="shared" ref="I390" si="98">SUM(I386:I389)</f>
        <v>8279970</v>
      </c>
      <c r="J390" s="1190">
        <f>SUM(J386:J389)</f>
        <v>80513126</v>
      </c>
      <c r="K390" s="1190">
        <f>SUM(K386:K389)</f>
        <v>25429261</v>
      </c>
      <c r="L390" s="1190">
        <f>SUM(L386:L389)</f>
        <v>44635287</v>
      </c>
      <c r="M390" s="1190">
        <f>SUM(M386:M389)</f>
        <v>42126568</v>
      </c>
      <c r="N390" s="1190">
        <f>SUM(N386:N389)</f>
        <v>22604379</v>
      </c>
      <c r="P390" s="1579"/>
    </row>
    <row r="391" spans="1:16" ht="13" customHeight="1" thickBot="1">
      <c r="B391" s="1116"/>
      <c r="F391" s="985"/>
      <c r="G391" s="985"/>
      <c r="H391" s="985"/>
      <c r="I391" s="985"/>
      <c r="L391" s="985"/>
      <c r="M391" s="985"/>
      <c r="P391" s="1579"/>
    </row>
    <row r="392" spans="1:16" ht="13" customHeight="1" thickBot="1">
      <c r="B392" s="1125" t="s">
        <v>136</v>
      </c>
      <c r="C392" s="993">
        <v>45658</v>
      </c>
      <c r="D392" s="993">
        <v>45689</v>
      </c>
      <c r="E392" s="993">
        <v>45717</v>
      </c>
      <c r="F392" s="993">
        <v>45748</v>
      </c>
      <c r="G392" s="993">
        <v>45778</v>
      </c>
      <c r="H392" s="993">
        <v>45809</v>
      </c>
      <c r="I392" s="993">
        <v>45863</v>
      </c>
      <c r="J392" s="993">
        <v>45894</v>
      </c>
      <c r="K392" s="993">
        <v>45925</v>
      </c>
      <c r="L392" s="993">
        <v>45955</v>
      </c>
      <c r="M392" s="993">
        <v>45986</v>
      </c>
      <c r="N392" s="993">
        <v>46016</v>
      </c>
      <c r="P392" s="1579"/>
    </row>
    <row r="393" spans="1:16" ht="13" customHeight="1" thickBot="1">
      <c r="B393" s="1126" t="s">
        <v>38</v>
      </c>
      <c r="C393" s="1127" t="s">
        <v>23</v>
      </c>
      <c r="D393" s="1127" t="s">
        <v>23</v>
      </c>
      <c r="E393" s="1127" t="s">
        <v>23</v>
      </c>
      <c r="F393" s="1127" t="s">
        <v>23</v>
      </c>
      <c r="G393" s="1127" t="s">
        <v>23</v>
      </c>
      <c r="H393" s="1127" t="s">
        <v>23</v>
      </c>
      <c r="I393" s="1127" t="s">
        <v>23</v>
      </c>
      <c r="J393" s="1127" t="s">
        <v>23</v>
      </c>
      <c r="K393" s="1127" t="s">
        <v>23</v>
      </c>
      <c r="L393" s="1127" t="s">
        <v>23</v>
      </c>
      <c r="M393" s="1127" t="s">
        <v>23</v>
      </c>
      <c r="N393" s="1127" t="s">
        <v>23</v>
      </c>
      <c r="P393" s="1579"/>
    </row>
    <row r="394" spans="1:16" ht="13" customHeight="1">
      <c r="A394" s="985" t="s">
        <v>219</v>
      </c>
      <c r="B394" s="1132" t="s">
        <v>137</v>
      </c>
      <c r="C394" s="1191">
        <v>6952644</v>
      </c>
      <c r="D394" s="1191">
        <v>6941510</v>
      </c>
      <c r="E394" s="1191">
        <v>7015632</v>
      </c>
      <c r="F394" s="1191">
        <v>7043562</v>
      </c>
      <c r="G394" s="1191">
        <v>7077201</v>
      </c>
      <c r="H394" s="1191">
        <v>7091428</v>
      </c>
      <c r="I394" s="1191">
        <v>7103810</v>
      </c>
      <c r="J394" s="1531">
        <v>7076826</v>
      </c>
      <c r="K394" s="2177">
        <v>7139183</v>
      </c>
      <c r="L394" s="1191">
        <v>7139693</v>
      </c>
      <c r="M394" s="1191">
        <v>7166915</v>
      </c>
      <c r="N394" s="1191">
        <v>7167195</v>
      </c>
      <c r="O394" s="2478"/>
      <c r="P394" s="1005"/>
    </row>
    <row r="395" spans="1:16" ht="13" customHeight="1">
      <c r="A395" s="985" t="s">
        <v>219</v>
      </c>
      <c r="B395" s="1132" t="s">
        <v>333</v>
      </c>
      <c r="C395" s="1120">
        <v>18770123</v>
      </c>
      <c r="D395" s="1191">
        <v>18757428</v>
      </c>
      <c r="E395" s="1191">
        <v>18745531</v>
      </c>
      <c r="F395" s="1191">
        <v>18750006</v>
      </c>
      <c r="G395" s="1191">
        <v>18732317</v>
      </c>
      <c r="H395" s="1191">
        <v>18730800</v>
      </c>
      <c r="I395" s="1191">
        <v>18724815</v>
      </c>
      <c r="J395" s="1531">
        <v>18713244</v>
      </c>
      <c r="K395" s="2177">
        <v>18708095</v>
      </c>
      <c r="L395" s="1191">
        <v>18700374</v>
      </c>
      <c r="M395" s="1191">
        <v>18692064</v>
      </c>
      <c r="N395" s="1191">
        <v>18684436</v>
      </c>
      <c r="O395" s="2478"/>
      <c r="P395" s="1005"/>
    </row>
    <row r="396" spans="1:16" ht="13" customHeight="1" thickBot="1">
      <c r="A396" s="985" t="s">
        <v>219</v>
      </c>
      <c r="B396" s="1132" t="s">
        <v>1028</v>
      </c>
      <c r="C396" s="1160"/>
      <c r="D396" s="1191">
        <f>9258153+1047263</f>
        <v>10305416</v>
      </c>
      <c r="E396" s="1191">
        <f>1791603+1047263</f>
        <v>2838866</v>
      </c>
      <c r="F396" s="1191">
        <f>1047263+1811848+1047263</f>
        <v>3906374</v>
      </c>
      <c r="G396" s="1191">
        <f>1047263+1791603+1791603</f>
        <v>4630469</v>
      </c>
      <c r="H396" s="1191"/>
      <c r="I396" s="1191">
        <f>2838866+1047263</f>
        <v>3886129</v>
      </c>
      <c r="J396" s="1531">
        <f>1047263+1791603</f>
        <v>2838866</v>
      </c>
      <c r="K396" s="2177">
        <f>1791603</f>
        <v>1791603</v>
      </c>
      <c r="L396" s="1191">
        <v>3886129</v>
      </c>
      <c r="M396" s="1191">
        <v>1791603</v>
      </c>
      <c r="N396" s="1191">
        <v>2839167</v>
      </c>
      <c r="O396" s="2478"/>
      <c r="P396" s="1005"/>
    </row>
    <row r="397" spans="1:16" ht="13" customHeight="1" thickBot="1">
      <c r="B397" s="1165" t="s">
        <v>31</v>
      </c>
      <c r="C397" s="1192">
        <f t="shared" ref="C397:H397" si="99">SUM(C394:C396)</f>
        <v>25722767</v>
      </c>
      <c r="D397" s="1192">
        <f t="shared" si="99"/>
        <v>36004354</v>
      </c>
      <c r="E397" s="1192">
        <f t="shared" si="99"/>
        <v>28600029</v>
      </c>
      <c r="F397" s="1192">
        <f t="shared" si="99"/>
        <v>29699942</v>
      </c>
      <c r="G397" s="1192">
        <f t="shared" si="99"/>
        <v>30439987</v>
      </c>
      <c r="H397" s="1192">
        <f t="shared" si="99"/>
        <v>25822228</v>
      </c>
      <c r="I397" s="1192">
        <f t="shared" ref="I397" si="100">SUM(I394:I396)</f>
        <v>29714754</v>
      </c>
      <c r="J397" s="1192">
        <f>SUM(J394:J396)</f>
        <v>28628936</v>
      </c>
      <c r="K397" s="1192">
        <f>SUM(K394:K396)</f>
        <v>27638881</v>
      </c>
      <c r="L397" s="1192">
        <f>SUM(L394:L396)</f>
        <v>29726196</v>
      </c>
      <c r="M397" s="1192">
        <f>SUM(M394:M396)</f>
        <v>27650582</v>
      </c>
      <c r="N397" s="1192">
        <f>SUM(N394:N396)</f>
        <v>28690798</v>
      </c>
      <c r="P397" s="1199"/>
    </row>
    <row r="398" spans="1:16" ht="13" customHeight="1" thickBot="1">
      <c r="B398" s="1116"/>
      <c r="F398" s="985"/>
      <c r="G398" s="985"/>
      <c r="H398" s="985"/>
      <c r="I398" s="985"/>
      <c r="L398" s="985"/>
      <c r="M398" s="985"/>
    </row>
    <row r="399" spans="1:16" ht="13" customHeight="1" thickBot="1">
      <c r="B399" s="1125" t="s">
        <v>142</v>
      </c>
      <c r="C399" s="993">
        <v>45658</v>
      </c>
      <c r="D399" s="993">
        <v>45689</v>
      </c>
      <c r="E399" s="993">
        <v>45717</v>
      </c>
      <c r="F399" s="993">
        <v>45748</v>
      </c>
      <c r="G399" s="993">
        <v>45778</v>
      </c>
      <c r="H399" s="993">
        <v>45809</v>
      </c>
      <c r="I399" s="993">
        <v>45863</v>
      </c>
      <c r="J399" s="993">
        <v>45894</v>
      </c>
      <c r="K399" s="993">
        <v>45925</v>
      </c>
      <c r="L399" s="993">
        <v>45955</v>
      </c>
      <c r="M399" s="993">
        <v>45986</v>
      </c>
      <c r="N399" s="993">
        <v>46016</v>
      </c>
    </row>
    <row r="400" spans="1:16" ht="13" customHeight="1">
      <c r="A400" s="985" t="s">
        <v>1466</v>
      </c>
      <c r="B400" s="1128" t="s">
        <v>873</v>
      </c>
      <c r="C400" s="1135">
        <v>19692051</v>
      </c>
      <c r="D400" s="1120">
        <v>0</v>
      </c>
      <c r="E400" s="1120">
        <v>13984515</v>
      </c>
      <c r="F400" s="1120">
        <f>48433773+6528357+3900522</f>
        <v>58862652</v>
      </c>
      <c r="G400" s="1120">
        <f>13091441+7020069</f>
        <v>20111510</v>
      </c>
      <c r="H400" s="1816">
        <v>18000000</v>
      </c>
      <c r="I400" s="1120">
        <v>52836774</v>
      </c>
      <c r="J400" s="1179">
        <v>7125720</v>
      </c>
      <c r="K400" s="2160"/>
      <c r="L400" s="2275"/>
      <c r="M400" s="2275"/>
      <c r="N400" s="2275">
        <v>0</v>
      </c>
      <c r="O400" s="2478"/>
    </row>
    <row r="401" spans="1:15" ht="13" customHeight="1">
      <c r="A401" s="985" t="s">
        <v>1466</v>
      </c>
      <c r="B401" s="1410" t="s">
        <v>1248</v>
      </c>
      <c r="C401" s="1411">
        <f>11900000+10710000</f>
        <v>22610000</v>
      </c>
      <c r="D401" s="1412">
        <f>43972803+61831751</f>
        <v>105804554</v>
      </c>
      <c r="E401" s="1412">
        <v>53173026</v>
      </c>
      <c r="F401" s="1412">
        <v>131379109</v>
      </c>
      <c r="G401" s="1412">
        <v>8660138</v>
      </c>
      <c r="H401" s="1412"/>
      <c r="I401" s="1412"/>
      <c r="J401" s="1412"/>
      <c r="K401" s="2178">
        <v>25363787</v>
      </c>
      <c r="L401" s="1137"/>
      <c r="M401" s="1137"/>
      <c r="N401" s="1137">
        <v>361688</v>
      </c>
      <c r="O401" s="2478"/>
    </row>
    <row r="402" spans="1:15" ht="13" customHeight="1">
      <c r="A402" s="985" t="s">
        <v>1466</v>
      </c>
      <c r="B402" s="1144" t="s">
        <v>1247</v>
      </c>
      <c r="C402" s="1408"/>
      <c r="D402" s="1409"/>
      <c r="E402" s="1409"/>
      <c r="F402" s="1409">
        <v>4530167</v>
      </c>
      <c r="G402" s="1137"/>
      <c r="H402" s="1137"/>
      <c r="I402" s="1137"/>
      <c r="J402" s="1137"/>
      <c r="K402" s="1137"/>
      <c r="L402" s="1137"/>
      <c r="M402" s="1137"/>
      <c r="N402" s="1137">
        <v>43570960</v>
      </c>
      <c r="O402" s="2478"/>
    </row>
    <row r="403" spans="1:15" ht="13" customHeight="1">
      <c r="A403" s="985" t="s">
        <v>1466</v>
      </c>
      <c r="B403" s="1144" t="s">
        <v>859</v>
      </c>
      <c r="C403" s="1137"/>
      <c r="D403" s="1137"/>
      <c r="E403" s="1120">
        <v>4956651</v>
      </c>
      <c r="F403" s="1179"/>
      <c r="G403" s="1120"/>
      <c r="H403" s="1120"/>
      <c r="I403" s="1120"/>
      <c r="J403" s="1179"/>
      <c r="K403" s="2185">
        <f>25952+1700000</f>
        <v>1725952</v>
      </c>
      <c r="L403" s="1120"/>
      <c r="M403" s="1120"/>
      <c r="N403" s="1120">
        <v>0</v>
      </c>
      <c r="O403" s="2478"/>
    </row>
    <row r="404" spans="1:15" ht="13" customHeight="1">
      <c r="A404" s="985" t="s">
        <v>1466</v>
      </c>
      <c r="B404" s="1144" t="s">
        <v>1514</v>
      </c>
      <c r="C404" s="1137"/>
      <c r="D404" s="1120">
        <v>4972493</v>
      </c>
      <c r="E404" s="1120"/>
      <c r="F404" s="1179"/>
      <c r="G404" s="1120"/>
      <c r="H404" s="1120"/>
      <c r="I404" s="1120">
        <v>118065</v>
      </c>
      <c r="J404" s="1179"/>
      <c r="L404" s="985"/>
      <c r="M404" s="985"/>
      <c r="O404" s="2478"/>
    </row>
    <row r="405" spans="1:15" ht="13" customHeight="1" thickBot="1">
      <c r="A405" s="985" t="s">
        <v>1466</v>
      </c>
      <c r="B405" s="1144" t="s">
        <v>1275</v>
      </c>
      <c r="C405" s="1137"/>
      <c r="D405" s="1120"/>
      <c r="E405" s="1120"/>
      <c r="F405" s="1120">
        <f>272800</f>
        <v>272800</v>
      </c>
      <c r="G405" s="1120">
        <v>3569635</v>
      </c>
      <c r="H405" s="1120"/>
      <c r="I405" s="1120">
        <v>8863924</v>
      </c>
      <c r="J405" s="1179"/>
      <c r="K405" s="2178">
        <v>1061033</v>
      </c>
      <c r="L405" s="1137">
        <v>2220580</v>
      </c>
      <c r="M405" s="1137">
        <v>2452928</v>
      </c>
      <c r="N405" s="1137">
        <v>1076870</v>
      </c>
      <c r="O405" s="2478"/>
    </row>
    <row r="406" spans="1:15" ht="13" customHeight="1" thickBot="1">
      <c r="B406" s="1176" t="s">
        <v>31</v>
      </c>
      <c r="C406" s="1177">
        <f t="shared" ref="C406:H406" si="101">SUM(C400:C405)</f>
        <v>42302051</v>
      </c>
      <c r="D406" s="1177">
        <f t="shared" si="101"/>
        <v>110777047</v>
      </c>
      <c r="E406" s="1177">
        <f t="shared" si="101"/>
        <v>72114192</v>
      </c>
      <c r="F406" s="1177">
        <f t="shared" si="101"/>
        <v>195044728</v>
      </c>
      <c r="G406" s="1177">
        <f t="shared" si="101"/>
        <v>32341283</v>
      </c>
      <c r="H406" s="1177">
        <f t="shared" si="101"/>
        <v>18000000</v>
      </c>
      <c r="I406" s="1177">
        <f t="shared" ref="I406:N406" si="102">SUM(I400:I405)</f>
        <v>61818763</v>
      </c>
      <c r="J406" s="2165">
        <f t="shared" si="102"/>
        <v>7125720</v>
      </c>
      <c r="K406" s="1177">
        <f t="shared" si="102"/>
        <v>28150772</v>
      </c>
      <c r="L406" s="1177">
        <f t="shared" si="102"/>
        <v>2220580</v>
      </c>
      <c r="M406" s="1177">
        <f>SUM(M400:M405)</f>
        <v>2452928</v>
      </c>
      <c r="N406" s="1177">
        <f t="shared" si="102"/>
        <v>45009518</v>
      </c>
    </row>
    <row r="407" spans="1:15" ht="13" customHeight="1" thickBot="1">
      <c r="A407" s="1193"/>
      <c r="B407" s="1193"/>
      <c r="C407" s="1193"/>
      <c r="D407" s="1193"/>
      <c r="E407" s="1193"/>
      <c r="F407" s="1193"/>
      <c r="G407" s="1193"/>
      <c r="H407" s="1193"/>
      <c r="I407" s="1193"/>
      <c r="J407" s="1193"/>
      <c r="K407" s="1193"/>
      <c r="L407" s="1193"/>
      <c r="M407" s="1193"/>
      <c r="N407" s="1193"/>
    </row>
    <row r="408" spans="1:15" ht="13" customHeight="1" thickBot="1">
      <c r="B408" s="1194" t="s">
        <v>143</v>
      </c>
      <c r="C408" s="1195">
        <f t="shared" ref="C408:H408" si="103">SUM(C219+C264+C313+C318+C337+C382+C390+C397+C406)</f>
        <v>470887393</v>
      </c>
      <c r="D408" s="1195">
        <f t="shared" si="103"/>
        <v>599167760</v>
      </c>
      <c r="E408" s="1195">
        <f t="shared" si="103"/>
        <v>521834252</v>
      </c>
      <c r="F408" s="1195">
        <f t="shared" si="103"/>
        <v>572542533</v>
      </c>
      <c r="G408" s="1472">
        <f t="shared" si="103"/>
        <v>441193079</v>
      </c>
      <c r="H408" s="1472">
        <f t="shared" si="103"/>
        <v>437158321</v>
      </c>
      <c r="I408" s="1472">
        <f>SUM(I219+I264+I313+I318+I337+I382+I390+I397+I406)+1</f>
        <v>468631225</v>
      </c>
      <c r="J408" s="1472">
        <f>SUM(J219+J264+J313+J318+J337+J382+J390+J397+J406)+1</f>
        <v>512599763</v>
      </c>
      <c r="K408" s="1472">
        <f>SUM(K219+K264+K313+K318+K337+K382+K390+K397+K406)+1</f>
        <v>506090990</v>
      </c>
      <c r="L408" s="1472">
        <f>SUM(L219+L264+L313+L318+L337+L382+L390+L397+L406)</f>
        <v>554871098</v>
      </c>
      <c r="M408" s="1472">
        <f>SUM(M219+M264+M313+M318+M337+M382+M390+M397+M406)</f>
        <v>437777360</v>
      </c>
      <c r="N408" s="1472">
        <f>SUM(N219+N264+N313+N318+N337+N382+N390+N397+N406)</f>
        <v>558115854</v>
      </c>
    </row>
    <row r="409" spans="1:15" ht="13" customHeight="1" thickBot="1">
      <c r="B409" s="1219"/>
      <c r="C409" s="1196"/>
      <c r="D409" s="1196"/>
      <c r="E409" s="1196"/>
      <c r="F409" s="1196"/>
      <c r="G409" s="1196"/>
      <c r="H409" s="1196"/>
      <c r="I409" s="1196"/>
      <c r="J409" s="1196" t="s">
        <v>1688</v>
      </c>
      <c r="K409" s="1196"/>
      <c r="L409" s="1196"/>
      <c r="M409" s="1196"/>
      <c r="N409" s="1196"/>
    </row>
    <row r="410" spans="1:15" ht="13" customHeight="1" thickBot="1">
      <c r="B410" s="1197" t="s">
        <v>625</v>
      </c>
      <c r="C410" s="1197">
        <f t="shared" ref="C410:J410" si="104">SUM(C132-C408)</f>
        <v>110344665</v>
      </c>
      <c r="D410" s="1197">
        <f t="shared" si="104"/>
        <v>124107141</v>
      </c>
      <c r="E410" s="1220">
        <f t="shared" si="104"/>
        <v>-65137874</v>
      </c>
      <c r="F410" s="1474">
        <f t="shared" si="104"/>
        <v>-105503077</v>
      </c>
      <c r="G410" s="1221">
        <f t="shared" si="104"/>
        <v>-37993500</v>
      </c>
      <c r="H410" s="1221">
        <f t="shared" si="104"/>
        <v>-44793478</v>
      </c>
      <c r="I410" s="1474">
        <f t="shared" si="104"/>
        <v>178726240</v>
      </c>
      <c r="J410" s="1474">
        <f t="shared" si="104"/>
        <v>125125195</v>
      </c>
      <c r="K410" s="1474">
        <f>SUM(K132-K408)</f>
        <v>-145882130</v>
      </c>
      <c r="L410" s="1474">
        <f>SUM(L132-L408)</f>
        <v>-135783684.98500001</v>
      </c>
      <c r="M410" s="1474">
        <f>SUM(M132-M408)</f>
        <v>-33222473</v>
      </c>
      <c r="N410" s="1474">
        <f>SUM(N132-N408)</f>
        <v>3010062</v>
      </c>
    </row>
    <row r="411" spans="1:15" ht="13" customHeight="1" thickBot="1">
      <c r="B411" s="1198" t="s">
        <v>1012</v>
      </c>
      <c r="C411" s="1198">
        <v>48703652</v>
      </c>
      <c r="D411" s="1198">
        <v>159048317</v>
      </c>
      <c r="E411" s="1198">
        <v>283155458</v>
      </c>
      <c r="F411" s="1222">
        <f t="shared" ref="F411:K411" si="105">+E412</f>
        <v>218017584</v>
      </c>
      <c r="G411" s="1222">
        <f t="shared" si="105"/>
        <v>112514507</v>
      </c>
      <c r="H411" s="1222">
        <f t="shared" si="105"/>
        <v>74521007</v>
      </c>
      <c r="I411" s="1222">
        <f t="shared" si="105"/>
        <v>29727529</v>
      </c>
      <c r="J411" s="1222">
        <f>+I412</f>
        <v>208453769</v>
      </c>
      <c r="K411" s="1222">
        <f t="shared" si="105"/>
        <v>333578964</v>
      </c>
      <c r="L411" s="1222">
        <f>+K412</f>
        <v>187696834</v>
      </c>
      <c r="M411" s="1222">
        <f>+L412</f>
        <v>51913149.014999986</v>
      </c>
      <c r="N411" s="1222">
        <f>+M412</f>
        <v>18690676.014999986</v>
      </c>
    </row>
    <row r="412" spans="1:15" ht="13" customHeight="1" thickBot="1">
      <c r="B412" s="1197" t="s">
        <v>1013</v>
      </c>
      <c r="C412" s="1197">
        <f>SUM(C410:C411)</f>
        <v>159048317</v>
      </c>
      <c r="D412" s="1197">
        <f>SUM(D410:D411)</f>
        <v>283155458</v>
      </c>
      <c r="E412" s="1198">
        <f>SUM(E410:E411)</f>
        <v>218017584</v>
      </c>
      <c r="F412" s="1222">
        <f>SUM(F410:F411)</f>
        <v>112514507</v>
      </c>
      <c r="G412" s="1222">
        <v>74521007</v>
      </c>
      <c r="H412" s="1222">
        <f>SUM(H410:H411)</f>
        <v>29727529</v>
      </c>
      <c r="I412" s="1222">
        <f>SUM(I410:I411)</f>
        <v>208453769</v>
      </c>
      <c r="J412" s="1222">
        <f>+J410+J411</f>
        <v>333578964</v>
      </c>
      <c r="K412" s="1222">
        <f>+K410+K411</f>
        <v>187696834</v>
      </c>
      <c r="L412" s="1222">
        <f>+L410+L411</f>
        <v>51913149.014999986</v>
      </c>
      <c r="M412" s="1222">
        <f>+M410+M411</f>
        <v>18690676.014999986</v>
      </c>
      <c r="N412" s="1222">
        <f>+N410+N411</f>
        <v>21700738.014999986</v>
      </c>
    </row>
    <row r="413" spans="1:15" ht="13" customHeight="1">
      <c r="B413" s="1824" t="s">
        <v>1449</v>
      </c>
      <c r="C413" s="1196"/>
      <c r="D413" s="1196"/>
      <c r="E413" s="1196"/>
      <c r="F413" s="1196">
        <f>195331033-F401</f>
        <v>63951924</v>
      </c>
      <c r="G413" s="988">
        <v>41399247</v>
      </c>
      <c r="H413" s="1519">
        <v>20884944</v>
      </c>
      <c r="I413" s="1519">
        <v>164969902</v>
      </c>
      <c r="J413" s="2082">
        <f>221063476-50737850</f>
        <v>170325626</v>
      </c>
      <c r="K413" s="1097">
        <v>37814737</v>
      </c>
      <c r="L413" s="1097"/>
      <c r="N413" s="2170"/>
    </row>
    <row r="414" spans="1:15" ht="13" customHeight="1">
      <c r="B414" s="1824" t="s">
        <v>735</v>
      </c>
      <c r="C414" s="1199"/>
      <c r="D414" s="1199"/>
      <c r="E414" s="987"/>
      <c r="F414" s="1196">
        <f>SUM(F412-F413)</f>
        <v>48562583</v>
      </c>
      <c r="G414" s="988">
        <v>33121760</v>
      </c>
      <c r="H414" s="1049">
        <v>8842585</v>
      </c>
      <c r="I414" s="1049">
        <f>SUM(I412-I413)</f>
        <v>43483867</v>
      </c>
      <c r="J414" s="1097">
        <f>SUM(J412-J413)</f>
        <v>163253338</v>
      </c>
      <c r="K414" s="1097">
        <f>+K412-K413</f>
        <v>149882097</v>
      </c>
      <c r="L414" s="1097"/>
      <c r="N414" s="2170"/>
    </row>
    <row r="415" spans="1:15" ht="13" customHeight="1">
      <c r="B415" s="1475"/>
      <c r="C415" s="1005"/>
      <c r="E415" s="987"/>
      <c r="G415" s="1005"/>
      <c r="J415" s="1097"/>
      <c r="L415" s="985"/>
      <c r="N415" s="2170"/>
    </row>
    <row r="416" spans="1:15" ht="13" customHeight="1">
      <c r="B416" s="1005"/>
      <c r="E416" s="987"/>
      <c r="G416" s="1196"/>
      <c r="I416" s="985"/>
      <c r="J416" s="2081"/>
      <c r="K416" s="2083"/>
      <c r="L416" s="2083"/>
      <c r="N416" s="2170"/>
    </row>
    <row r="417" spans="3:14" ht="13" customHeight="1">
      <c r="C417" s="1200"/>
      <c r="E417" s="987"/>
      <c r="G417" s="1584"/>
      <c r="H417" s="1048"/>
      <c r="J417" s="2032">
        <v>125838266</v>
      </c>
      <c r="K417" s="1044"/>
      <c r="L417" s="1044"/>
      <c r="N417" s="2170"/>
    </row>
    <row r="418" spans="3:14" ht="13" customHeight="1">
      <c r="E418" s="987"/>
      <c r="G418" s="1005"/>
      <c r="I418" s="985"/>
      <c r="J418" s="2081">
        <f>+J417-J410</f>
        <v>713071</v>
      </c>
      <c r="L418" s="985"/>
      <c r="N418" s="2195"/>
    </row>
    <row r="419" spans="3:14" ht="13" customHeight="1">
      <c r="C419" s="1201"/>
      <c r="E419" s="987"/>
      <c r="G419" s="1005"/>
      <c r="H419" s="987"/>
      <c r="I419" s="1045"/>
      <c r="J419" s="2081"/>
      <c r="L419" s="985"/>
      <c r="N419" s="2170"/>
    </row>
    <row r="420" spans="3:14" ht="13" customHeight="1">
      <c r="E420" s="987"/>
      <c r="J420" s="2081"/>
      <c r="L420" s="985"/>
      <c r="N420" s="2170"/>
    </row>
    <row r="421" spans="3:14" ht="13" customHeight="1">
      <c r="E421" s="987"/>
      <c r="G421" s="985"/>
      <c r="H421" s="987"/>
      <c r="J421" s="2081"/>
      <c r="K421" s="2083"/>
      <c r="L421" s="2083"/>
      <c r="N421" s="2195"/>
    </row>
    <row r="422" spans="3:14" ht="13" customHeight="1">
      <c r="E422" s="987"/>
      <c r="G422" s="985"/>
      <c r="H422" s="987"/>
      <c r="J422" s="2081"/>
      <c r="K422" s="2083"/>
      <c r="L422" s="2083"/>
      <c r="N422" s="2170"/>
    </row>
    <row r="423" spans="3:14" ht="13" customHeight="1">
      <c r="J423" s="2032"/>
      <c r="K423" s="2032"/>
      <c r="N423" s="2170"/>
    </row>
    <row r="424" spans="3:14" ht="13" customHeight="1">
      <c r="K424" s="2083"/>
      <c r="L424" s="2083"/>
      <c r="N424" s="2170"/>
    </row>
    <row r="425" spans="3:14" ht="13" customHeight="1">
      <c r="J425" s="2032"/>
      <c r="K425" s="2083"/>
      <c r="L425" s="2083"/>
      <c r="N425" s="2170"/>
    </row>
    <row r="426" spans="3:14" ht="13" customHeight="1">
      <c r="J426" s="2032"/>
      <c r="K426" s="1044"/>
      <c r="L426" s="1044"/>
      <c r="N426" s="2032"/>
    </row>
    <row r="427" spans="3:14" ht="13" customHeight="1">
      <c r="J427" s="2032"/>
      <c r="K427" s="1044"/>
      <c r="L427" s="1044"/>
      <c r="N427" s="2032"/>
    </row>
    <row r="428" spans="3:14" ht="13" customHeight="1">
      <c r="J428" s="2032"/>
      <c r="K428" s="1044"/>
      <c r="L428" s="1044"/>
      <c r="N428" s="2032"/>
    </row>
    <row r="429" spans="3:14" ht="13" customHeight="1">
      <c r="J429" s="2032"/>
      <c r="K429" s="1044"/>
      <c r="L429" s="1044"/>
      <c r="N429" s="2032"/>
    </row>
    <row r="430" spans="3:14" ht="13" customHeight="1">
      <c r="J430" s="2032"/>
      <c r="K430" s="1044"/>
      <c r="L430" s="1044"/>
      <c r="N430" s="2032"/>
    </row>
    <row r="431" spans="3:14" ht="13" customHeight="1">
      <c r="J431" s="2032"/>
      <c r="K431" s="1044"/>
      <c r="L431" s="1044"/>
      <c r="N431" s="2032"/>
    </row>
    <row r="432" spans="3:14" ht="13" customHeight="1">
      <c r="J432" s="2032"/>
      <c r="K432" s="1044"/>
      <c r="L432" s="1044"/>
      <c r="N432" s="2032"/>
    </row>
    <row r="433" spans="3:14" ht="13" customHeight="1">
      <c r="L433" s="985"/>
      <c r="N433" s="2032"/>
    </row>
    <row r="434" spans="3:14" ht="13" customHeight="1">
      <c r="I434" s="985"/>
      <c r="L434" s="985"/>
      <c r="N434" s="2032"/>
    </row>
    <row r="435" spans="3:14" ht="13" customHeight="1">
      <c r="I435" s="985"/>
      <c r="L435" s="985"/>
      <c r="N435" s="2032"/>
    </row>
    <row r="436" spans="3:14" ht="13" customHeight="1">
      <c r="L436" s="985"/>
      <c r="N436" s="2032"/>
    </row>
    <row r="437" spans="3:14" ht="13" customHeight="1">
      <c r="F437" s="985"/>
      <c r="G437" s="985"/>
      <c r="H437" s="987"/>
      <c r="L437" s="985"/>
      <c r="N437" s="2032"/>
    </row>
    <row r="438" spans="3:14" ht="13" customHeight="1">
      <c r="F438" s="985"/>
      <c r="G438" s="985"/>
      <c r="H438" s="987"/>
      <c r="L438" s="985"/>
      <c r="N438" s="2032"/>
    </row>
    <row r="440" spans="3:14" ht="13" customHeight="1">
      <c r="C440" s="1005"/>
      <c r="D440" s="1005"/>
      <c r="E440" s="1005"/>
    </row>
    <row r="444" spans="3:14" ht="13" customHeight="1">
      <c r="C444" s="1044"/>
      <c r="D444" s="1044"/>
      <c r="E444" s="1044"/>
    </row>
  </sheetData>
  <sortState xmlns:xlrd2="http://schemas.microsoft.com/office/spreadsheetml/2017/richdata2" ref="N137:P189">
    <sortCondition ref="N137:N189"/>
  </sortState>
  <mergeCells count="3">
    <mergeCell ref="L6:N6"/>
    <mergeCell ref="P6:P7"/>
    <mergeCell ref="O6:O7"/>
  </mergeCells>
  <phoneticPr fontId="12" type="noConversion"/>
  <conditionalFormatting sqref="O137:O212">
    <cfRule type="cellIs" dxfId="336" priority="1" operator="greaterThan">
      <formula>0.1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EC7D-E9C8-4DAF-8F99-2063C02771EE}">
  <sheetPr codeName="Hoja14"/>
  <dimension ref="A1:W283"/>
  <sheetViews>
    <sheetView topLeftCell="A230" zoomScale="71" zoomScaleNormal="71" workbookViewId="0">
      <selection activeCell="D276" sqref="D276"/>
    </sheetView>
  </sheetViews>
  <sheetFormatPr baseColWidth="10" defaultColWidth="7.5" defaultRowHeight="14" outlineLevelRow="1"/>
  <cols>
    <col min="1" max="1" width="13.5" style="13" customWidth="1"/>
    <col min="2" max="2" width="58.5" style="13" customWidth="1"/>
    <col min="3" max="3" width="15" style="13" customWidth="1"/>
    <col min="4" max="4" width="14.83203125" style="13" customWidth="1"/>
    <col min="5" max="5" width="15.5" style="13" customWidth="1"/>
    <col min="6" max="6" width="14.83203125" style="13" customWidth="1"/>
    <col min="7" max="7" width="15.5" style="13" customWidth="1"/>
    <col min="8" max="8" width="14.83203125" style="13" customWidth="1"/>
    <col min="9" max="9" width="15.5" style="13" customWidth="1"/>
    <col min="10" max="10" width="14.83203125" style="13" customWidth="1"/>
    <col min="11" max="11" width="15.5" style="13" customWidth="1"/>
    <col min="12" max="14" width="15.5" style="13" bestFit="1" customWidth="1"/>
    <col min="15" max="15" width="14.5" style="13" customWidth="1"/>
    <col min="16" max="16" width="18.5" style="13" customWidth="1"/>
    <col min="17" max="17" width="17.1640625" style="13" bestFit="1" customWidth="1"/>
    <col min="18" max="18" width="16.83203125" style="13" bestFit="1" customWidth="1"/>
    <col min="19" max="19" width="10.1640625" style="13" customWidth="1"/>
    <col min="20" max="20" width="7.5" style="13"/>
    <col min="21" max="21" width="9.83203125" style="13" bestFit="1" customWidth="1"/>
    <col min="22" max="22" width="16.83203125" style="13" bestFit="1" customWidth="1"/>
    <col min="23" max="23" width="8.5" style="13" bestFit="1" customWidth="1"/>
    <col min="24" max="24" width="7.5" style="13"/>
    <col min="25" max="25" width="5.5" style="13" bestFit="1" customWidth="1"/>
    <col min="26" max="16384" width="7.5" style="13"/>
  </cols>
  <sheetData>
    <row r="1" spans="2:18" ht="15">
      <c r="B1" s="561" t="s">
        <v>730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1573"/>
    </row>
    <row r="2" spans="2:18">
      <c r="C2" s="1052"/>
      <c r="D2" s="1052"/>
      <c r="E2" s="1052"/>
      <c r="F2" s="1052"/>
      <c r="G2" s="1052"/>
      <c r="H2" s="1052"/>
      <c r="I2" s="1052"/>
      <c r="J2" s="1052"/>
      <c r="K2" s="1052"/>
      <c r="L2" s="1052"/>
      <c r="M2" s="1052"/>
      <c r="N2" s="1052"/>
      <c r="O2" s="1052"/>
      <c r="P2" s="1052"/>
    </row>
    <row r="3" spans="2:18">
      <c r="B3" s="448">
        <v>2025</v>
      </c>
      <c r="C3" s="1052"/>
      <c r="D3" s="1052"/>
      <c r="E3" s="1052"/>
      <c r="F3" s="1052"/>
      <c r="G3" s="1052"/>
      <c r="H3" s="1052"/>
      <c r="I3" s="1052"/>
      <c r="J3" s="1052"/>
      <c r="K3" s="1052"/>
      <c r="L3" s="1052"/>
      <c r="M3" s="1052"/>
      <c r="N3" s="1052"/>
      <c r="O3" s="1052"/>
      <c r="P3" s="1052"/>
    </row>
    <row r="4" spans="2:18">
      <c r="B4" s="448"/>
      <c r="C4" s="1052"/>
      <c r="D4" s="1052"/>
      <c r="E4" s="1052"/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574"/>
    </row>
    <row r="5" spans="2:18" ht="15" thickBot="1">
      <c r="B5" s="450"/>
      <c r="C5" s="578"/>
      <c r="D5" s="578"/>
      <c r="E5" s="578"/>
      <c r="F5" s="578"/>
      <c r="G5" s="1575"/>
      <c r="H5" s="578"/>
      <c r="I5" s="578"/>
      <c r="J5" s="578"/>
      <c r="K5" s="578"/>
      <c r="L5" s="578"/>
      <c r="M5" s="578"/>
      <c r="N5" s="578"/>
      <c r="Q5" s="1546"/>
      <c r="R5" s="1546"/>
    </row>
    <row r="6" spans="2:18" ht="15" thickBot="1">
      <c r="B6" s="452" t="s">
        <v>619</v>
      </c>
      <c r="C6" s="1576" t="s">
        <v>505</v>
      </c>
      <c r="D6" s="1576" t="s">
        <v>505</v>
      </c>
      <c r="E6" s="1576" t="s">
        <v>505</v>
      </c>
      <c r="F6" s="1576" t="s">
        <v>505</v>
      </c>
      <c r="G6" s="1576" t="s">
        <v>505</v>
      </c>
      <c r="H6" s="1576" t="s">
        <v>505</v>
      </c>
      <c r="I6" s="1576" t="s">
        <v>505</v>
      </c>
      <c r="J6" s="1576" t="s">
        <v>505</v>
      </c>
      <c r="K6" s="1576" t="s">
        <v>505</v>
      </c>
      <c r="L6" s="1576" t="s">
        <v>505</v>
      </c>
      <c r="M6" s="1576" t="s">
        <v>505</v>
      </c>
      <c r="N6" s="578"/>
      <c r="O6" s="578"/>
      <c r="P6" s="599"/>
    </row>
    <row r="7" spans="2:18" ht="14.25" customHeight="1" thickBot="1">
      <c r="B7" s="448"/>
      <c r="C7" s="446"/>
      <c r="D7" s="446"/>
      <c r="E7" s="446"/>
      <c r="F7" s="446"/>
      <c r="H7" s="578"/>
      <c r="I7" s="578"/>
      <c r="J7" s="578"/>
      <c r="P7" s="1547">
        <f>SUM(P6-O14)</f>
        <v>0</v>
      </c>
    </row>
    <row r="8" spans="2:18" ht="30.75" customHeight="1" thickBot="1">
      <c r="B8" s="454" t="s">
        <v>1</v>
      </c>
      <c r="C8" s="455">
        <v>45658</v>
      </c>
      <c r="D8" s="455">
        <v>45689</v>
      </c>
      <c r="E8" s="455">
        <v>45717</v>
      </c>
      <c r="F8" s="455">
        <v>45748</v>
      </c>
      <c r="G8" s="455">
        <v>45778</v>
      </c>
      <c r="H8" s="455">
        <v>45809</v>
      </c>
      <c r="I8" s="455">
        <v>45839</v>
      </c>
      <c r="J8" s="455">
        <v>45870</v>
      </c>
      <c r="K8" s="455">
        <v>45901</v>
      </c>
      <c r="L8" s="455">
        <v>45931</v>
      </c>
      <c r="M8" s="455">
        <v>45962</v>
      </c>
      <c r="N8" s="1443">
        <v>45992</v>
      </c>
      <c r="O8" s="1444" t="s">
        <v>1785</v>
      </c>
      <c r="P8" s="2205" t="s">
        <v>1784</v>
      </c>
    </row>
    <row r="9" spans="2:18" ht="15" thickBot="1">
      <c r="B9" s="456" t="s">
        <v>606</v>
      </c>
      <c r="C9" s="457">
        <f>+C70</f>
        <v>136767.69351264619</v>
      </c>
      <c r="D9" s="457">
        <f>+C58</f>
        <v>140565.84351264618</v>
      </c>
      <c r="E9" s="457">
        <f>+D58</f>
        <v>137922.84351264618</v>
      </c>
      <c r="F9" s="457">
        <f>+E58</f>
        <v>203057.84351264618</v>
      </c>
      <c r="G9" s="457">
        <f>+F58</f>
        <v>201993.54351264617</v>
      </c>
      <c r="H9" s="457">
        <f>+G58</f>
        <v>196994.54351264617</v>
      </c>
      <c r="I9" s="1419">
        <f t="shared" ref="I9:N9" si="0">+H58</f>
        <v>239089.54351264617</v>
      </c>
      <c r="J9" s="1419">
        <f t="shared" si="0"/>
        <v>287968.54351264617</v>
      </c>
      <c r="K9" s="1419">
        <f t="shared" si="0"/>
        <v>255462.54351264617</v>
      </c>
      <c r="L9" s="1419">
        <f t="shared" si="0"/>
        <v>216759.54351264617</v>
      </c>
      <c r="M9" s="1419">
        <f t="shared" si="0"/>
        <v>230112.54351264617</v>
      </c>
      <c r="N9" s="1419">
        <f t="shared" si="0"/>
        <v>106114.90351264617</v>
      </c>
      <c r="O9" s="1046">
        <f>+C9</f>
        <v>136767.69351264619</v>
      </c>
      <c r="P9" s="1046">
        <f>+C9</f>
        <v>136767.69351264619</v>
      </c>
    </row>
    <row r="10" spans="2:18" ht="15" thickBot="1">
      <c r="B10" s="460"/>
      <c r="C10" s="461"/>
      <c r="D10" s="461"/>
      <c r="E10" s="461"/>
      <c r="F10" s="461"/>
      <c r="G10" s="461"/>
      <c r="H10" s="1048"/>
      <c r="I10" s="1048"/>
      <c r="J10" s="1048"/>
      <c r="K10" s="1048"/>
      <c r="L10" s="1048"/>
      <c r="M10" s="1048"/>
      <c r="N10" s="1048"/>
      <c r="O10" s="1048"/>
      <c r="P10" s="1048"/>
    </row>
    <row r="11" spans="2:18" ht="15" thickBot="1">
      <c r="B11" s="462" t="s">
        <v>627</v>
      </c>
      <c r="C11" s="463">
        <f>+C88-C74</f>
        <v>110536</v>
      </c>
      <c r="D11" s="463">
        <f>+D79</f>
        <v>21582</v>
      </c>
      <c r="E11" s="463">
        <v>0</v>
      </c>
      <c r="F11" s="463">
        <v>0</v>
      </c>
      <c r="G11" s="463">
        <v>0</v>
      </c>
      <c r="H11" s="463">
        <v>0</v>
      </c>
      <c r="I11" s="463">
        <v>0</v>
      </c>
      <c r="J11" s="463">
        <v>0</v>
      </c>
      <c r="K11" s="463">
        <v>1</v>
      </c>
      <c r="L11" s="1414"/>
      <c r="M11" s="1414"/>
      <c r="N11" s="1414"/>
      <c r="O11" s="1002">
        <f>SUM(C11:N11)</f>
        <v>132119</v>
      </c>
      <c r="P11" s="1002">
        <f>SUM(C11:K11)</f>
        <v>132119</v>
      </c>
    </row>
    <row r="12" spans="2:18" ht="15" thickBot="1">
      <c r="B12" s="462" t="s">
        <v>626</v>
      </c>
      <c r="C12" s="463">
        <f>+C74</f>
        <v>13312</v>
      </c>
      <c r="D12" s="463">
        <f>+D75</f>
        <v>40872</v>
      </c>
      <c r="E12" s="463">
        <f>+E88-E80</f>
        <v>105377</v>
      </c>
      <c r="F12" s="463">
        <f>+F88</f>
        <v>110077</v>
      </c>
      <c r="G12" s="463">
        <f>+G88-G80</f>
        <v>142610</v>
      </c>
      <c r="H12" s="463">
        <f>+H88-H80</f>
        <v>229588</v>
      </c>
      <c r="I12" s="463">
        <f t="shared" ref="I12:N12" si="1">+I88</f>
        <v>251702</v>
      </c>
      <c r="J12" s="463">
        <f t="shared" si="1"/>
        <v>641573</v>
      </c>
      <c r="K12" s="463">
        <f t="shared" si="1"/>
        <v>119132</v>
      </c>
      <c r="L12" s="463">
        <f t="shared" si="1"/>
        <v>265449</v>
      </c>
      <c r="M12" s="463">
        <f t="shared" si="1"/>
        <v>96110</v>
      </c>
      <c r="N12" s="463">
        <f t="shared" si="1"/>
        <v>269432</v>
      </c>
      <c r="O12" s="1002">
        <f>SUM(C12:N12)</f>
        <v>2285234</v>
      </c>
      <c r="P12" s="1002">
        <f>SUM(C12:K12)</f>
        <v>1654243</v>
      </c>
    </row>
    <row r="13" spans="2:18" ht="15" thickBot="1">
      <c r="B13" s="462" t="s">
        <v>885</v>
      </c>
      <c r="C13" s="463">
        <f>SUM(C11:C12)</f>
        <v>123848</v>
      </c>
      <c r="D13" s="463">
        <f>SUM(D11:D12)</f>
        <v>62454</v>
      </c>
      <c r="E13" s="463">
        <f>SUM(E11:E12)</f>
        <v>105377</v>
      </c>
      <c r="F13" s="463">
        <f>SUM(F11:F12)</f>
        <v>110077</v>
      </c>
      <c r="G13" s="463">
        <f>SUM(G11:G12)</f>
        <v>142610</v>
      </c>
      <c r="H13" s="463">
        <f t="shared" ref="H13:M13" si="2">SUM(H11:H12)</f>
        <v>229588</v>
      </c>
      <c r="I13" s="463">
        <f t="shared" si="2"/>
        <v>251702</v>
      </c>
      <c r="J13" s="463">
        <f t="shared" si="2"/>
        <v>641573</v>
      </c>
      <c r="K13" s="463">
        <f t="shared" si="2"/>
        <v>119133</v>
      </c>
      <c r="L13" s="463">
        <f t="shared" si="2"/>
        <v>265449</v>
      </c>
      <c r="M13" s="463">
        <f t="shared" si="2"/>
        <v>96110</v>
      </c>
      <c r="N13" s="463">
        <f>SUM(N11:N12)</f>
        <v>269432</v>
      </c>
      <c r="O13" s="1002">
        <f>SUM(O11:O12)</f>
        <v>2417353</v>
      </c>
      <c r="P13" s="1002">
        <f>SUM(P11:P12)</f>
        <v>1786362</v>
      </c>
    </row>
    <row r="14" spans="2:18" ht="15" thickBot="1">
      <c r="B14" s="464"/>
      <c r="C14" s="450"/>
      <c r="D14" s="450"/>
      <c r="E14" s="450"/>
      <c r="F14" s="450"/>
      <c r="G14" s="450"/>
      <c r="H14" s="1049"/>
      <c r="I14" s="1049"/>
      <c r="J14" s="1049"/>
      <c r="K14" s="1049"/>
      <c r="L14" s="1049"/>
      <c r="M14" s="1049"/>
      <c r="N14" s="1049"/>
      <c r="O14" s="1049"/>
      <c r="P14" s="1049"/>
    </row>
    <row r="15" spans="2:18" ht="15" thickBot="1">
      <c r="B15" s="465" t="s">
        <v>600</v>
      </c>
      <c r="C15" s="455">
        <v>45658</v>
      </c>
      <c r="D15" s="455">
        <v>45689</v>
      </c>
      <c r="E15" s="455">
        <v>45717</v>
      </c>
      <c r="F15" s="455">
        <v>45748</v>
      </c>
      <c r="G15" s="455">
        <v>45778</v>
      </c>
      <c r="H15" s="455">
        <v>45809</v>
      </c>
      <c r="I15" s="455">
        <v>45839</v>
      </c>
      <c r="J15" s="455">
        <v>45870</v>
      </c>
      <c r="K15" s="455">
        <v>45901</v>
      </c>
      <c r="L15" s="455">
        <v>45931</v>
      </c>
      <c r="M15" s="455">
        <v>45962</v>
      </c>
      <c r="N15" s="1443">
        <v>45992</v>
      </c>
      <c r="O15" s="1444">
        <v>2025</v>
      </c>
      <c r="P15" s="1444" t="s">
        <v>761</v>
      </c>
    </row>
    <row r="16" spans="2:18">
      <c r="B16" s="466" t="s">
        <v>7</v>
      </c>
      <c r="C16" s="2324">
        <f>+C142+C246</f>
        <v>52457</v>
      </c>
      <c r="D16" s="2324">
        <f>+D142+D246</f>
        <v>66972</v>
      </c>
      <c r="E16" s="2324">
        <f>+E142+E246</f>
        <v>58024</v>
      </c>
      <c r="F16" s="2324">
        <f>+F142+F246</f>
        <v>68560</v>
      </c>
      <c r="G16" s="2324">
        <f>+G142+G246</f>
        <v>76486</v>
      </c>
      <c r="H16" s="2325">
        <f t="shared" ref="H16:K16" si="3">+H142+H246</f>
        <v>80010</v>
      </c>
      <c r="I16" s="2325">
        <f t="shared" si="3"/>
        <v>105334</v>
      </c>
      <c r="J16" s="2325">
        <f t="shared" si="3"/>
        <v>96619</v>
      </c>
      <c r="K16" s="2325">
        <f t="shared" si="3"/>
        <v>58989</v>
      </c>
      <c r="L16" s="2325">
        <f t="shared" ref="L16:M16" si="4">+L142+L246</f>
        <v>47832</v>
      </c>
      <c r="M16" s="2325">
        <f t="shared" si="4"/>
        <v>102016</v>
      </c>
      <c r="N16" s="2325">
        <f t="shared" ref="N16" si="5">+N142+N246</f>
        <v>169943</v>
      </c>
      <c r="O16" s="1051">
        <f>SUM(C16:N16)</f>
        <v>983242</v>
      </c>
      <c r="P16" s="1051">
        <f>+SUM(C16:K16)</f>
        <v>663451</v>
      </c>
    </row>
    <row r="17" spans="2:16">
      <c r="B17" s="468" t="s">
        <v>8</v>
      </c>
      <c r="C17" s="469">
        <f t="shared" ref="C17:H17" si="6">+C182</f>
        <v>6366</v>
      </c>
      <c r="D17" s="469">
        <f t="shared" si="6"/>
        <v>2679</v>
      </c>
      <c r="E17" s="469">
        <f t="shared" si="6"/>
        <v>7822</v>
      </c>
      <c r="F17" s="469">
        <f t="shared" si="6"/>
        <v>33321.300000000003</v>
      </c>
      <c r="G17" s="469">
        <f t="shared" si="6"/>
        <v>25106</v>
      </c>
      <c r="H17" s="469">
        <f t="shared" si="6"/>
        <v>58015</v>
      </c>
      <c r="I17" s="469">
        <f t="shared" ref="I17:J17" si="7">+I182</f>
        <v>70365</v>
      </c>
      <c r="J17" s="469">
        <f t="shared" si="7"/>
        <v>79631</v>
      </c>
      <c r="K17" s="469">
        <f t="shared" ref="K17:L17" si="8">+K182</f>
        <v>29992</v>
      </c>
      <c r="L17" s="469">
        <f t="shared" si="8"/>
        <v>18251</v>
      </c>
      <c r="M17" s="469">
        <f t="shared" ref="M17:N17" si="9">+M182</f>
        <v>8314.64</v>
      </c>
      <c r="N17" s="469">
        <f t="shared" si="9"/>
        <v>21319</v>
      </c>
      <c r="O17" s="1053">
        <f>SUM(C17:N17)</f>
        <v>361181.94</v>
      </c>
      <c r="P17" s="1053">
        <f>+SUM(C17:K17)</f>
        <v>313297.3</v>
      </c>
    </row>
    <row r="18" spans="2:16" ht="15" thickBot="1">
      <c r="B18" s="468" t="s">
        <v>9</v>
      </c>
      <c r="C18" s="469">
        <f t="shared" ref="C18:H18" si="10">+C223</f>
        <v>4852.8500000000004</v>
      </c>
      <c r="D18" s="469">
        <f t="shared" si="10"/>
        <v>-153</v>
      </c>
      <c r="E18" s="469">
        <f t="shared" si="10"/>
        <v>4112</v>
      </c>
      <c r="F18" s="469">
        <f t="shared" si="10"/>
        <v>5313</v>
      </c>
      <c r="G18" s="469">
        <f t="shared" si="10"/>
        <v>2038</v>
      </c>
      <c r="H18" s="469">
        <f t="shared" si="10"/>
        <v>459</v>
      </c>
      <c r="I18" s="469">
        <f t="shared" ref="I18:J18" si="11">+I223</f>
        <v>2551</v>
      </c>
      <c r="J18" s="469">
        <f t="shared" si="11"/>
        <v>21976</v>
      </c>
      <c r="K18" s="469">
        <f t="shared" ref="K18:L18" si="12">+K223</f>
        <v>7735</v>
      </c>
      <c r="L18" s="469">
        <f t="shared" si="12"/>
        <v>2422</v>
      </c>
      <c r="M18" s="469">
        <f t="shared" ref="M18:N18" si="13">+M223</f>
        <v>2242</v>
      </c>
      <c r="N18" s="469">
        <f t="shared" si="13"/>
        <v>0</v>
      </c>
      <c r="O18" s="1054">
        <f>SUM(C18:N18)</f>
        <v>53547.85</v>
      </c>
      <c r="P18" s="1054">
        <f>+SUM(C18:K18)</f>
        <v>48883.85</v>
      </c>
    </row>
    <row r="19" spans="2:16" ht="15" thickBot="1">
      <c r="B19" s="462" t="s">
        <v>11</v>
      </c>
      <c r="C19" s="463">
        <f t="shared" ref="C19:H19" si="14">SUM(C16:C18)</f>
        <v>63675.85</v>
      </c>
      <c r="D19" s="463">
        <f t="shared" si="14"/>
        <v>69498</v>
      </c>
      <c r="E19" s="463">
        <f t="shared" si="14"/>
        <v>69958</v>
      </c>
      <c r="F19" s="463">
        <f t="shared" si="14"/>
        <v>107194.3</v>
      </c>
      <c r="G19" s="463">
        <f t="shared" si="14"/>
        <v>103630</v>
      </c>
      <c r="H19" s="463">
        <f t="shared" si="14"/>
        <v>138484</v>
      </c>
      <c r="I19" s="463">
        <f>SUM(I16:I18)</f>
        <v>178250</v>
      </c>
      <c r="J19" s="463">
        <f>SUM(J16:J18)</f>
        <v>198226</v>
      </c>
      <c r="K19" s="463">
        <f t="shared" ref="K19:M19" si="15">SUM(K16:K18)</f>
        <v>96716</v>
      </c>
      <c r="L19" s="463">
        <f t="shared" si="15"/>
        <v>68505</v>
      </c>
      <c r="M19" s="463">
        <f t="shared" si="15"/>
        <v>112572.64</v>
      </c>
      <c r="N19" s="1414">
        <f t="shared" ref="N19" si="16">SUM(N16:N18)</f>
        <v>191262</v>
      </c>
      <c r="O19" s="1002">
        <f>SUM(O16:O18)</f>
        <v>1397971.79</v>
      </c>
      <c r="P19" s="1002">
        <f>SUM(P16:P18)</f>
        <v>1025632.15</v>
      </c>
    </row>
    <row r="20" spans="2:16" ht="15" thickBot="1">
      <c r="B20" s="445"/>
      <c r="C20" s="470"/>
      <c r="D20" s="470"/>
      <c r="E20" s="470"/>
      <c r="F20" s="470"/>
      <c r="G20" s="470"/>
      <c r="H20" s="1049"/>
      <c r="I20" s="1049"/>
      <c r="J20" s="1049"/>
      <c r="K20" s="1049"/>
      <c r="L20" s="1049"/>
      <c r="M20" s="1049"/>
      <c r="N20" s="1049"/>
      <c r="O20" s="1049"/>
      <c r="P20" s="1049"/>
    </row>
    <row r="21" spans="2:16" ht="15" thickBot="1">
      <c r="B21" s="462" t="s">
        <v>1020</v>
      </c>
      <c r="C21" s="1447">
        <f t="shared" ref="C21:H21" si="17">SUM(C13-C19)</f>
        <v>60172.15</v>
      </c>
      <c r="D21" s="1446">
        <f t="shared" si="17"/>
        <v>-7044</v>
      </c>
      <c r="E21" s="1447">
        <f t="shared" si="17"/>
        <v>35419</v>
      </c>
      <c r="F21" s="1446">
        <f t="shared" si="17"/>
        <v>2882.6999999999971</v>
      </c>
      <c r="G21" s="1447">
        <f t="shared" si="17"/>
        <v>38980</v>
      </c>
      <c r="H21" s="1447">
        <f t="shared" si="17"/>
        <v>91104</v>
      </c>
      <c r="I21" s="1447">
        <f t="shared" ref="I21:N21" si="18">SUM(I13-I19)</f>
        <v>73452</v>
      </c>
      <c r="J21" s="1447">
        <f t="shared" si="18"/>
        <v>443347</v>
      </c>
      <c r="K21" s="1447">
        <f t="shared" si="18"/>
        <v>22417</v>
      </c>
      <c r="L21" s="1447">
        <f t="shared" si="18"/>
        <v>196944</v>
      </c>
      <c r="M21" s="1447">
        <f t="shared" si="18"/>
        <v>-16462.64</v>
      </c>
      <c r="N21" s="1447">
        <f t="shared" si="18"/>
        <v>78170</v>
      </c>
      <c r="O21" s="1447">
        <f>SUM(O13-O19)</f>
        <v>1019381.21</v>
      </c>
      <c r="P21" s="1447">
        <f>SUM(P13-P19)</f>
        <v>760729.85</v>
      </c>
    </row>
    <row r="22" spans="2:16" ht="15" thickBot="1">
      <c r="H22" s="1049"/>
      <c r="I22" s="1049"/>
      <c r="J22" s="1049"/>
      <c r="K22" s="1049"/>
      <c r="L22" s="1049"/>
      <c r="M22" s="1049"/>
      <c r="N22" s="1049"/>
      <c r="O22" s="1049"/>
      <c r="P22" s="1049"/>
    </row>
    <row r="23" spans="2:16" ht="15" thickBot="1">
      <c r="B23" s="474" t="s">
        <v>601</v>
      </c>
      <c r="C23" s="470"/>
      <c r="D23" s="470"/>
      <c r="E23" s="470"/>
      <c r="F23" s="470"/>
      <c r="G23" s="470"/>
      <c r="H23" s="1049"/>
      <c r="I23" s="1049"/>
      <c r="J23" s="1049"/>
      <c r="K23" s="1049"/>
      <c r="L23" s="1049"/>
      <c r="M23" s="1049"/>
      <c r="N23" s="1049"/>
      <c r="O23" s="1049"/>
      <c r="P23" s="1049"/>
    </row>
    <row r="24" spans="2:16">
      <c r="B24" s="439" t="s">
        <v>614</v>
      </c>
      <c r="C24" s="467">
        <f t="shared" ref="C24:H24" si="19">SUM(C301)</f>
        <v>0</v>
      </c>
      <c r="D24" s="467">
        <f t="shared" si="19"/>
        <v>0</v>
      </c>
      <c r="E24" s="467">
        <f t="shared" si="19"/>
        <v>0</v>
      </c>
      <c r="F24" s="467">
        <f t="shared" si="19"/>
        <v>0</v>
      </c>
      <c r="G24" s="467">
        <f t="shared" si="19"/>
        <v>0</v>
      </c>
      <c r="H24" s="467">
        <f t="shared" si="19"/>
        <v>0</v>
      </c>
      <c r="I24" s="467">
        <f t="shared" ref="I24:J24" si="20">SUM(I301)</f>
        <v>0</v>
      </c>
      <c r="J24" s="467">
        <f t="shared" si="20"/>
        <v>0</v>
      </c>
      <c r="K24" s="467">
        <f t="shared" ref="K24:L24" si="21">SUM(K301)</f>
        <v>0</v>
      </c>
      <c r="L24" s="467">
        <f t="shared" si="21"/>
        <v>0</v>
      </c>
      <c r="M24" s="467">
        <f t="shared" ref="M24:N24" si="22">SUM(M301)</f>
        <v>0</v>
      </c>
      <c r="N24" s="467">
        <f t="shared" si="22"/>
        <v>0</v>
      </c>
      <c r="O24" s="1020">
        <f>SUM(C24:N24)</f>
        <v>0</v>
      </c>
      <c r="P24" s="1020">
        <f>+SUM(C24:K24)</f>
        <v>0</v>
      </c>
    </row>
    <row r="25" spans="2:16" ht="15" thickBot="1">
      <c r="B25" s="440" t="s">
        <v>126</v>
      </c>
      <c r="C25" s="473">
        <f t="shared" ref="C25:H25" si="23">+C233</f>
        <v>10833</v>
      </c>
      <c r="D25" s="473">
        <f t="shared" si="23"/>
        <v>9388</v>
      </c>
      <c r="E25" s="473">
        <f t="shared" si="23"/>
        <v>13122</v>
      </c>
      <c r="F25" s="1466">
        <f t="shared" si="23"/>
        <v>13095</v>
      </c>
      <c r="G25" s="1468">
        <f t="shared" si="23"/>
        <v>14238</v>
      </c>
      <c r="H25" s="1468">
        <f t="shared" si="23"/>
        <v>21058</v>
      </c>
      <c r="I25" s="1468">
        <f t="shared" ref="I25:J25" si="24">+I233</f>
        <v>13297</v>
      </c>
      <c r="J25" s="1468">
        <f t="shared" si="24"/>
        <v>20882</v>
      </c>
      <c r="K25" s="1468">
        <f t="shared" ref="K25:L25" si="25">+K233</f>
        <v>15045</v>
      </c>
      <c r="L25" s="1468">
        <f t="shared" si="25"/>
        <v>16352</v>
      </c>
      <c r="M25" s="1468">
        <f t="shared" ref="M25:N25" si="26">+M233</f>
        <v>13240</v>
      </c>
      <c r="N25" s="1468">
        <f t="shared" si="26"/>
        <v>21232</v>
      </c>
      <c r="O25" s="1013">
        <f>SUM(C25:N25)</f>
        <v>181782</v>
      </c>
      <c r="P25" s="1013">
        <f>+SUM(C25:K25)</f>
        <v>130958</v>
      </c>
    </row>
    <row r="26" spans="2:16" ht="15" thickBot="1">
      <c r="B26" s="462" t="s">
        <v>613</v>
      </c>
      <c r="C26" s="463">
        <f t="shared" ref="C26:M26" si="27">SUM(C24:C25)</f>
        <v>10833</v>
      </c>
      <c r="D26" s="463">
        <f t="shared" si="27"/>
        <v>9388</v>
      </c>
      <c r="E26" s="463">
        <f t="shared" si="27"/>
        <v>13122</v>
      </c>
      <c r="F26" s="1467">
        <f t="shared" si="27"/>
        <v>13095</v>
      </c>
      <c r="G26" s="1469">
        <f t="shared" si="27"/>
        <v>14238</v>
      </c>
      <c r="H26" s="1469">
        <f t="shared" si="27"/>
        <v>21058</v>
      </c>
      <c r="I26" s="1469">
        <f t="shared" si="27"/>
        <v>13297</v>
      </c>
      <c r="J26" s="1469">
        <f t="shared" si="27"/>
        <v>20882</v>
      </c>
      <c r="K26" s="1469">
        <f t="shared" si="27"/>
        <v>15045</v>
      </c>
      <c r="L26" s="1469">
        <f t="shared" si="27"/>
        <v>16352</v>
      </c>
      <c r="M26" s="1469">
        <f t="shared" si="27"/>
        <v>13240</v>
      </c>
      <c r="N26" s="1414">
        <f t="shared" ref="N26" si="28">SUM(N24:N25)</f>
        <v>21232</v>
      </c>
      <c r="O26" s="1002">
        <f>SUM(O24:O25)</f>
        <v>181782</v>
      </c>
      <c r="P26" s="1002">
        <f>SUM(P24:P25)</f>
        <v>130958</v>
      </c>
    </row>
    <row r="27" spans="2:16" ht="15" thickBot="1">
      <c r="B27" s="445"/>
      <c r="C27" s="470"/>
      <c r="D27" s="470"/>
      <c r="E27" s="470"/>
      <c r="F27" s="470"/>
      <c r="G27" s="470"/>
      <c r="H27" s="1049"/>
      <c r="I27" s="1049"/>
      <c r="J27" s="1049"/>
      <c r="K27" s="1049"/>
      <c r="L27" s="1049"/>
      <c r="M27" s="1049"/>
      <c r="N27" s="1049"/>
      <c r="O27" s="1049"/>
      <c r="P27" s="1049"/>
    </row>
    <row r="28" spans="2:16" ht="15" thickBot="1">
      <c r="B28" s="475" t="s">
        <v>732</v>
      </c>
      <c r="C28" s="1731">
        <f t="shared" ref="C28:N28" si="29">+C239</f>
        <v>14954</v>
      </c>
      <c r="D28" s="1731">
        <f t="shared" si="29"/>
        <v>2711</v>
      </c>
      <c r="E28" s="1731">
        <f t="shared" si="29"/>
        <v>9675</v>
      </c>
      <c r="F28" s="1731">
        <f t="shared" si="29"/>
        <v>17383</v>
      </c>
      <c r="G28" s="1731">
        <f t="shared" si="29"/>
        <v>11056</v>
      </c>
      <c r="H28" s="477">
        <f t="shared" si="29"/>
        <v>8453</v>
      </c>
      <c r="I28" s="477">
        <f t="shared" si="29"/>
        <v>7808</v>
      </c>
      <c r="J28" s="477">
        <f t="shared" si="29"/>
        <v>6464</v>
      </c>
      <c r="K28" s="477">
        <f t="shared" si="29"/>
        <v>15336</v>
      </c>
      <c r="L28" s="477">
        <f t="shared" si="29"/>
        <v>23317</v>
      </c>
      <c r="M28" s="477">
        <f t="shared" si="29"/>
        <v>13325</v>
      </c>
      <c r="N28" s="477">
        <f t="shared" si="29"/>
        <v>21627</v>
      </c>
      <c r="O28" s="1056">
        <f>SUM(C28:N28)</f>
        <v>152109</v>
      </c>
      <c r="P28" s="1056">
        <f>+SUM(C28:K28)</f>
        <v>93840</v>
      </c>
    </row>
    <row r="29" spans="2:16" ht="15" thickBot="1">
      <c r="B29" s="445"/>
      <c r="C29" s="470"/>
      <c r="D29" s="470"/>
      <c r="E29" s="470"/>
      <c r="F29" s="470"/>
      <c r="G29" s="470"/>
      <c r="H29" s="1049"/>
      <c r="I29" s="1049"/>
      <c r="J29" s="1049"/>
      <c r="K29" s="1049"/>
      <c r="L29" s="1049"/>
      <c r="M29" s="1049"/>
      <c r="N29" s="1049"/>
      <c r="O29" s="1049"/>
      <c r="P29" s="1049"/>
    </row>
    <row r="30" spans="2:16" ht="15" thickBot="1">
      <c r="B30" s="475" t="s">
        <v>611</v>
      </c>
      <c r="C30" s="476">
        <f>SUM(+C26+C28)</f>
        <v>25787</v>
      </c>
      <c r="D30" s="476">
        <f>SUM(+D26+D28)</f>
        <v>12099</v>
      </c>
      <c r="E30" s="476">
        <f>SUM(+E26+E28)</f>
        <v>22797</v>
      </c>
      <c r="F30" s="476">
        <f>SUM(+F26+F28)</f>
        <v>30478</v>
      </c>
      <c r="G30" s="476">
        <f>SUM(+G26+G28)</f>
        <v>25294</v>
      </c>
      <c r="H30" s="1055">
        <f>SUM(H26+H28)</f>
        <v>29511</v>
      </c>
      <c r="I30" s="1055">
        <f t="shared" ref="I30:N30" si="30">SUM(I26+I28)</f>
        <v>21105</v>
      </c>
      <c r="J30" s="1055">
        <f t="shared" si="30"/>
        <v>27346</v>
      </c>
      <c r="K30" s="1055">
        <f t="shared" si="30"/>
        <v>30381</v>
      </c>
      <c r="L30" s="1055">
        <f t="shared" si="30"/>
        <v>39669</v>
      </c>
      <c r="M30" s="1055">
        <f t="shared" si="30"/>
        <v>26565</v>
      </c>
      <c r="N30" s="1055">
        <f t="shared" si="30"/>
        <v>42859</v>
      </c>
      <c r="O30" s="1055">
        <f>SUM(O26+O28)</f>
        <v>333891</v>
      </c>
      <c r="P30" s="1055">
        <f>SUM(P26+P28)</f>
        <v>224798</v>
      </c>
    </row>
    <row r="31" spans="2:16" ht="15" thickBot="1">
      <c r="B31" s="445"/>
      <c r="C31" s="470"/>
      <c r="D31" s="470"/>
      <c r="E31" s="470"/>
      <c r="F31" s="470"/>
      <c r="G31" s="470"/>
      <c r="H31" s="1049"/>
      <c r="I31" s="1049"/>
      <c r="J31" s="1049"/>
      <c r="K31" s="1049"/>
      <c r="L31" s="1049"/>
      <c r="M31" s="1049"/>
      <c r="N31" s="1049"/>
      <c r="O31" s="1049"/>
      <c r="P31" s="1049"/>
    </row>
    <row r="32" spans="2:16" ht="15" thickBot="1">
      <c r="B32" s="462" t="s">
        <v>612</v>
      </c>
      <c r="C32" s="463">
        <f t="shared" ref="C32:H32" si="31">SUM(C21-C30)</f>
        <v>34385.15</v>
      </c>
      <c r="D32" s="1621">
        <f t="shared" si="31"/>
        <v>-19143</v>
      </c>
      <c r="E32" s="463">
        <f t="shared" si="31"/>
        <v>12622</v>
      </c>
      <c r="F32" s="1621">
        <f t="shared" si="31"/>
        <v>-27595.300000000003</v>
      </c>
      <c r="G32" s="463">
        <f t="shared" si="31"/>
        <v>13686</v>
      </c>
      <c r="H32" s="1094">
        <f t="shared" si="31"/>
        <v>61593</v>
      </c>
      <c r="I32" s="1094">
        <f t="shared" ref="I32:N32" si="32">SUM(I21-I30)</f>
        <v>52347</v>
      </c>
      <c r="J32" s="1094">
        <f t="shared" si="32"/>
        <v>416001</v>
      </c>
      <c r="K32" s="1094">
        <f t="shared" si="32"/>
        <v>-7964</v>
      </c>
      <c r="L32" s="1094">
        <f t="shared" si="32"/>
        <v>157275</v>
      </c>
      <c r="M32" s="1094">
        <f t="shared" si="32"/>
        <v>-43027.64</v>
      </c>
      <c r="N32" s="1094">
        <f t="shared" si="32"/>
        <v>35311</v>
      </c>
      <c r="O32" s="1094">
        <f>SUM(O21-O30)</f>
        <v>685490.21</v>
      </c>
      <c r="P32" s="1094">
        <f>SUM(P21-P30)</f>
        <v>535931.85</v>
      </c>
    </row>
    <row r="33" spans="2:16" ht="15" thickBot="1">
      <c r="B33" s="445"/>
      <c r="C33" s="470"/>
      <c r="D33" s="470"/>
      <c r="E33" s="470"/>
      <c r="F33" s="470"/>
      <c r="G33" s="470"/>
      <c r="H33" s="470"/>
      <c r="I33" s="1049"/>
      <c r="J33" s="1049"/>
      <c r="K33" s="1049"/>
      <c r="L33" s="1049"/>
      <c r="M33" s="1049"/>
      <c r="N33" s="1049"/>
      <c r="O33" s="1049"/>
      <c r="P33" s="1049"/>
    </row>
    <row r="34" spans="2:16" ht="15" thickBot="1">
      <c r="B34" s="474" t="s">
        <v>5</v>
      </c>
      <c r="C34" s="479"/>
      <c r="D34" s="461"/>
      <c r="E34" s="461"/>
      <c r="F34" s="461"/>
      <c r="G34" s="461"/>
      <c r="H34" s="1049"/>
      <c r="I34" s="1049"/>
      <c r="J34" s="1049"/>
      <c r="K34" s="1049"/>
      <c r="L34" s="1049"/>
      <c r="M34" s="1049"/>
      <c r="N34" s="1049"/>
      <c r="O34" s="1049"/>
      <c r="P34" s="1049"/>
    </row>
    <row r="35" spans="2:16">
      <c r="B35" s="795" t="s">
        <v>623</v>
      </c>
      <c r="C35" s="481">
        <f t="shared" ref="C35:H35" si="33">+C95</f>
        <v>11907</v>
      </c>
      <c r="D35" s="481">
        <f t="shared" si="33"/>
        <v>16500</v>
      </c>
      <c r="E35" s="481">
        <f t="shared" si="33"/>
        <v>20068</v>
      </c>
      <c r="F35" s="1622">
        <f t="shared" si="33"/>
        <v>28529</v>
      </c>
      <c r="G35" s="1622">
        <f t="shared" si="33"/>
        <v>31304</v>
      </c>
      <c r="H35" s="1622">
        <f t="shared" si="33"/>
        <v>36127</v>
      </c>
      <c r="I35" s="1622">
        <f t="shared" ref="I35" si="34">+I95</f>
        <v>34183</v>
      </c>
      <c r="J35" s="1622">
        <f t="shared" ref="J35" si="35">+J95</f>
        <v>126435</v>
      </c>
      <c r="K35" s="1622">
        <f t="shared" ref="K35" si="36">+K95</f>
        <v>16037</v>
      </c>
      <c r="L35" s="1622">
        <f t="shared" ref="L35:N35" si="37">+L95</f>
        <v>42117</v>
      </c>
      <c r="M35" s="1622">
        <f t="shared" si="37"/>
        <v>105093</v>
      </c>
      <c r="N35" s="1622">
        <f t="shared" si="37"/>
        <v>75885</v>
      </c>
      <c r="O35" s="1058">
        <f t="shared" ref="O35:O40" si="38">SUM(C35:N35)</f>
        <v>544185</v>
      </c>
      <c r="P35" s="1058">
        <f>+SUM(C35:K35)</f>
        <v>321090</v>
      </c>
    </row>
    <row r="36" spans="2:16">
      <c r="B36" s="794" t="s">
        <v>731</v>
      </c>
      <c r="C36" s="487"/>
      <c r="D36" s="487"/>
      <c r="E36" s="487">
        <f>+E80</f>
        <v>51893</v>
      </c>
      <c r="F36" s="1623"/>
      <c r="G36" s="1464"/>
      <c r="H36" s="1464"/>
      <c r="I36" s="1464"/>
      <c r="J36" s="1464"/>
      <c r="K36" s="1464"/>
      <c r="L36" s="1464"/>
      <c r="M36" s="1464"/>
      <c r="N36" s="1061"/>
      <c r="O36" s="1060">
        <f t="shared" si="38"/>
        <v>51893</v>
      </c>
      <c r="P36" s="1060">
        <f>+SUM(C36:K36)</f>
        <v>51893</v>
      </c>
    </row>
    <row r="37" spans="2:16">
      <c r="B37" s="486" t="s">
        <v>620</v>
      </c>
      <c r="C37" s="487"/>
      <c r="D37" s="487"/>
      <c r="E37" s="487"/>
      <c r="F37" s="1623"/>
      <c r="G37" s="1464"/>
      <c r="H37" s="1464"/>
      <c r="I37" s="1464"/>
      <c r="J37" s="1464"/>
      <c r="K37" s="1464"/>
      <c r="L37" s="1464"/>
      <c r="M37" s="1464"/>
      <c r="N37" s="1061"/>
      <c r="O37" s="1060">
        <f t="shared" si="38"/>
        <v>0</v>
      </c>
      <c r="P37" s="1060">
        <f t="shared" ref="P37:P40" si="39">+SUM(C37:K37)</f>
        <v>0</v>
      </c>
    </row>
    <row r="38" spans="2:16">
      <c r="B38" s="488" t="s">
        <v>628</v>
      </c>
      <c r="C38" s="484"/>
      <c r="D38" s="487"/>
      <c r="E38" s="487"/>
      <c r="F38" s="1623"/>
      <c r="G38" s="1464"/>
      <c r="H38" s="1464"/>
      <c r="I38" s="1464"/>
      <c r="J38" s="1464"/>
      <c r="K38" s="1464"/>
      <c r="L38" s="1464"/>
      <c r="M38" s="1464"/>
      <c r="N38" s="1061"/>
      <c r="O38" s="1060">
        <f t="shared" si="38"/>
        <v>0</v>
      </c>
      <c r="P38" s="1060">
        <f t="shared" si="39"/>
        <v>0</v>
      </c>
    </row>
    <row r="39" spans="2:16">
      <c r="B39" s="489" t="s">
        <v>624</v>
      </c>
      <c r="C39" s="484"/>
      <c r="D39" s="487"/>
      <c r="E39" s="487"/>
      <c r="F39" s="1623"/>
      <c r="G39" s="1464"/>
      <c r="H39" s="1464"/>
      <c r="I39" s="1464"/>
      <c r="J39" s="1464"/>
      <c r="K39" s="1464"/>
      <c r="L39" s="1464"/>
      <c r="M39" s="1464"/>
      <c r="N39" s="1061"/>
      <c r="O39" s="1060">
        <f t="shared" si="38"/>
        <v>0</v>
      </c>
      <c r="P39" s="1060">
        <f t="shared" si="39"/>
        <v>0</v>
      </c>
    </row>
    <row r="40" spans="2:16" ht="15" thickBot="1">
      <c r="B40" s="490" t="s">
        <v>621</v>
      </c>
      <c r="C40" s="491"/>
      <c r="D40" s="492"/>
      <c r="E40" s="492"/>
      <c r="F40" s="1624"/>
      <c r="G40" s="492"/>
      <c r="H40" s="492"/>
      <c r="I40" s="492"/>
      <c r="J40" s="492"/>
      <c r="K40" s="492"/>
      <c r="L40" s="492"/>
      <c r="M40" s="492"/>
      <c r="N40" s="1061"/>
      <c r="O40" s="1060">
        <f t="shared" si="38"/>
        <v>0</v>
      </c>
      <c r="P40" s="1060">
        <f t="shared" si="39"/>
        <v>0</v>
      </c>
    </row>
    <row r="41" spans="2:16" ht="15" thickBot="1">
      <c r="B41" s="493" t="s">
        <v>5</v>
      </c>
      <c r="C41" s="494">
        <f t="shared" ref="C41:H41" si="40">SUM(C35:C40)</f>
        <v>11907</v>
      </c>
      <c r="D41" s="494">
        <f t="shared" si="40"/>
        <v>16500</v>
      </c>
      <c r="E41" s="494">
        <f t="shared" si="40"/>
        <v>71961</v>
      </c>
      <c r="F41" s="1625">
        <f t="shared" si="40"/>
        <v>28529</v>
      </c>
      <c r="G41" s="1465">
        <f t="shared" si="40"/>
        <v>31304</v>
      </c>
      <c r="H41" s="1465">
        <f t="shared" si="40"/>
        <v>36127</v>
      </c>
      <c r="I41" s="1206">
        <f t="shared" ref="I41:O41" si="41">SUM(I35:I40)</f>
        <v>34183</v>
      </c>
      <c r="J41" s="1206">
        <f t="shared" si="41"/>
        <v>126435</v>
      </c>
      <c r="K41" s="1206">
        <f t="shared" si="41"/>
        <v>16037</v>
      </c>
      <c r="L41" s="1206">
        <f t="shared" si="41"/>
        <v>42117</v>
      </c>
      <c r="M41" s="1206">
        <f t="shared" si="41"/>
        <v>105093</v>
      </c>
      <c r="N41" s="1207">
        <f t="shared" si="41"/>
        <v>75885</v>
      </c>
      <c r="O41" s="1448">
        <f t="shared" si="41"/>
        <v>596078</v>
      </c>
      <c r="P41" s="1448">
        <f>SUM(P35:P40)</f>
        <v>372983</v>
      </c>
    </row>
    <row r="42" spans="2:16" ht="15" thickBot="1">
      <c r="B42" s="445"/>
      <c r="C42" s="461"/>
      <c r="D42" s="461"/>
      <c r="E42" s="461"/>
      <c r="F42" s="461"/>
      <c r="G42" s="461"/>
      <c r="H42" s="1049"/>
      <c r="I42" s="1049"/>
      <c r="J42" s="1049"/>
      <c r="K42" s="1049"/>
      <c r="L42" s="1049"/>
      <c r="M42" s="1049"/>
      <c r="N42" s="1049"/>
      <c r="O42" s="1049"/>
      <c r="P42" s="1049"/>
    </row>
    <row r="43" spans="2:16" ht="15" thickBot="1">
      <c r="B43" s="462" t="s">
        <v>616</v>
      </c>
      <c r="C43" s="461"/>
      <c r="D43" s="461"/>
      <c r="E43" s="461"/>
      <c r="F43" s="461"/>
      <c r="G43" s="461"/>
      <c r="H43" s="1049"/>
      <c r="I43" s="1049"/>
      <c r="J43" s="1049"/>
      <c r="K43" s="1049"/>
      <c r="L43" s="1049"/>
      <c r="M43" s="1049"/>
      <c r="N43" s="1049"/>
      <c r="O43" s="1049"/>
      <c r="P43" s="1049"/>
    </row>
    <row r="44" spans="2:16">
      <c r="B44" s="480" t="s">
        <v>15</v>
      </c>
      <c r="C44" s="2323">
        <f>+C247-C246</f>
        <v>42494</v>
      </c>
      <c r="D44" s="2323">
        <f t="shared" ref="D44:K44" si="42">+D247-D246</f>
        <v>0</v>
      </c>
      <c r="E44" s="2323">
        <f t="shared" si="42"/>
        <v>5448</v>
      </c>
      <c r="F44" s="2323">
        <f t="shared" si="42"/>
        <v>1998</v>
      </c>
      <c r="G44" s="2323">
        <f t="shared" si="42"/>
        <v>49989</v>
      </c>
      <c r="H44" s="2326">
        <f t="shared" si="42"/>
        <v>41625</v>
      </c>
      <c r="I44" s="2326">
        <f t="shared" si="42"/>
        <v>37651</v>
      </c>
      <c r="J44" s="2326">
        <f t="shared" si="42"/>
        <v>102790</v>
      </c>
      <c r="K44" s="2326">
        <f t="shared" si="42"/>
        <v>18776</v>
      </c>
      <c r="L44" s="2326">
        <f t="shared" ref="L44:M44" si="43">+L247-L246</f>
        <v>33704</v>
      </c>
      <c r="M44" s="2326">
        <f t="shared" si="43"/>
        <v>38341</v>
      </c>
      <c r="N44" s="2326">
        <f t="shared" ref="N44" si="44">+N247-N246</f>
        <v>36493</v>
      </c>
      <c r="O44" s="1074">
        <f>SUM(C44:N44)</f>
        <v>409309</v>
      </c>
      <c r="P44" s="1074">
        <f>+SUM(C44:K44)</f>
        <v>300771</v>
      </c>
    </row>
    <row r="45" spans="2:16">
      <c r="B45" s="483" t="s">
        <v>607</v>
      </c>
      <c r="C45" s="552">
        <f t="shared" ref="C45:D47" si="45">+C346</f>
        <v>0</v>
      </c>
      <c r="D45" s="552">
        <f t="shared" si="45"/>
        <v>0</v>
      </c>
      <c r="E45" s="552">
        <f t="shared" ref="E45:F47" si="46">+E346</f>
        <v>0</v>
      </c>
      <c r="F45" s="552">
        <f t="shared" si="46"/>
        <v>0</v>
      </c>
      <c r="G45" s="552">
        <f t="shared" ref="G45:H47" si="47">+G346</f>
        <v>0</v>
      </c>
      <c r="H45" s="552">
        <f t="shared" si="47"/>
        <v>0</v>
      </c>
      <c r="I45" s="552">
        <f t="shared" ref="I45:J45" si="48">+I346</f>
        <v>0</v>
      </c>
      <c r="J45" s="552">
        <f t="shared" si="48"/>
        <v>0</v>
      </c>
      <c r="K45" s="552">
        <f t="shared" ref="K45:L45" si="49">+K346</f>
        <v>0</v>
      </c>
      <c r="L45" s="552">
        <f t="shared" si="49"/>
        <v>0</v>
      </c>
      <c r="M45" s="552">
        <f t="shared" ref="M45:N45" si="50">+M346</f>
        <v>0</v>
      </c>
      <c r="N45" s="552">
        <f t="shared" si="50"/>
        <v>0</v>
      </c>
      <c r="O45" s="1077">
        <f>SUM(C45:N45)</f>
        <v>0</v>
      </c>
      <c r="P45" s="1077">
        <f>+SUM(C45:K45)</f>
        <v>0</v>
      </c>
    </row>
    <row r="46" spans="2:16">
      <c r="B46" s="483" t="s">
        <v>602</v>
      </c>
      <c r="C46" s="552">
        <f t="shared" si="45"/>
        <v>0</v>
      </c>
      <c r="D46" s="552">
        <f t="shared" si="45"/>
        <v>0</v>
      </c>
      <c r="E46" s="552">
        <f t="shared" si="46"/>
        <v>0</v>
      </c>
      <c r="F46" s="552">
        <f t="shared" si="46"/>
        <v>0</v>
      </c>
      <c r="G46" s="552">
        <f t="shared" si="47"/>
        <v>0</v>
      </c>
      <c r="H46" s="552">
        <f t="shared" si="47"/>
        <v>0</v>
      </c>
      <c r="I46" s="552">
        <f t="shared" ref="I46:J46" si="51">+I347</f>
        <v>0</v>
      </c>
      <c r="J46" s="552">
        <f t="shared" si="51"/>
        <v>0</v>
      </c>
      <c r="K46" s="552">
        <f t="shared" ref="K46:L46" si="52">+K347</f>
        <v>0</v>
      </c>
      <c r="L46" s="552">
        <f t="shared" si="52"/>
        <v>0</v>
      </c>
      <c r="M46" s="552">
        <f t="shared" ref="M46:N46" si="53">+M347</f>
        <v>0</v>
      </c>
      <c r="N46" s="552">
        <f t="shared" si="53"/>
        <v>0</v>
      </c>
      <c r="O46" s="1077">
        <f>SUM(C46:N46)</f>
        <v>0</v>
      </c>
      <c r="P46" s="1077">
        <f t="shared" ref="P46:P47" si="54">+SUM(C46:K46)</f>
        <v>0</v>
      </c>
    </row>
    <row r="47" spans="2:16" ht="15" thickBot="1">
      <c r="B47" s="495" t="s">
        <v>603</v>
      </c>
      <c r="C47" s="553">
        <f t="shared" si="45"/>
        <v>0</v>
      </c>
      <c r="D47" s="553">
        <f t="shared" si="45"/>
        <v>0</v>
      </c>
      <c r="E47" s="553">
        <f t="shared" si="46"/>
        <v>0</v>
      </c>
      <c r="F47" s="553">
        <f t="shared" si="46"/>
        <v>0</v>
      </c>
      <c r="G47" s="553">
        <f t="shared" si="47"/>
        <v>0</v>
      </c>
      <c r="H47" s="553">
        <f t="shared" si="47"/>
        <v>0</v>
      </c>
      <c r="I47" s="553">
        <f t="shared" ref="I47:J47" si="55">+I348</f>
        <v>0</v>
      </c>
      <c r="J47" s="553">
        <f t="shared" si="55"/>
        <v>0</v>
      </c>
      <c r="K47" s="553">
        <f t="shared" ref="K47:L47" si="56">+K348</f>
        <v>0</v>
      </c>
      <c r="L47" s="553">
        <f t="shared" si="56"/>
        <v>0</v>
      </c>
      <c r="M47" s="553">
        <f t="shared" ref="M47:N47" si="57">+M348</f>
        <v>0</v>
      </c>
      <c r="N47" s="553">
        <f t="shared" si="57"/>
        <v>0</v>
      </c>
      <c r="O47" s="1077">
        <f>SUM(C47:N47)</f>
        <v>0</v>
      </c>
      <c r="P47" s="1077">
        <f t="shared" si="54"/>
        <v>0</v>
      </c>
    </row>
    <row r="48" spans="2:16" ht="15" thickBot="1">
      <c r="B48" s="560" t="s">
        <v>631</v>
      </c>
      <c r="C48" s="558">
        <f t="shared" ref="C48:O48" si="58">SUM(C44:C47)</f>
        <v>42494</v>
      </c>
      <c r="D48" s="558">
        <f t="shared" si="58"/>
        <v>0</v>
      </c>
      <c r="E48" s="558">
        <f t="shared" si="58"/>
        <v>5448</v>
      </c>
      <c r="F48" s="558">
        <f t="shared" si="58"/>
        <v>1998</v>
      </c>
      <c r="G48" s="558">
        <f>SUM(G44:G47)</f>
        <v>49989</v>
      </c>
      <c r="H48" s="558">
        <f>SUM(H44:H47)</f>
        <v>41625</v>
      </c>
      <c r="I48" s="1035">
        <f t="shared" si="58"/>
        <v>37651</v>
      </c>
      <c r="J48" s="1035">
        <f t="shared" si="58"/>
        <v>102790</v>
      </c>
      <c r="K48" s="1035">
        <f t="shared" si="58"/>
        <v>18776</v>
      </c>
      <c r="L48" s="1035">
        <f t="shared" si="58"/>
        <v>33704</v>
      </c>
      <c r="M48" s="1035">
        <f t="shared" si="58"/>
        <v>38341</v>
      </c>
      <c r="N48" s="1035">
        <f t="shared" si="58"/>
        <v>36493</v>
      </c>
      <c r="O48" s="1035">
        <f t="shared" si="58"/>
        <v>409309</v>
      </c>
      <c r="P48" s="1035">
        <f>SUM(P44:P47)</f>
        <v>300771</v>
      </c>
    </row>
    <row r="49" spans="2:16" ht="15" thickBot="1">
      <c r="B49" s="444"/>
      <c r="C49" s="444"/>
      <c r="D49" s="444"/>
      <c r="E49" s="444"/>
      <c r="F49" s="444"/>
      <c r="G49" s="444"/>
      <c r="H49" s="1049"/>
      <c r="I49" s="1049"/>
      <c r="J49" s="1049"/>
      <c r="K49" s="1049"/>
      <c r="L49" s="1049"/>
      <c r="M49" s="1049"/>
      <c r="N49" s="1049"/>
      <c r="O49" s="1049"/>
      <c r="P49" s="1049"/>
    </row>
    <row r="50" spans="2:16" ht="15" thickBot="1">
      <c r="B50" s="496" t="s">
        <v>617</v>
      </c>
      <c r="C50" s="497"/>
      <c r="D50" s="446"/>
      <c r="E50" s="446"/>
      <c r="F50" s="446"/>
      <c r="G50" s="446"/>
      <c r="H50" s="1049"/>
      <c r="I50" s="1049"/>
      <c r="J50" s="1049"/>
      <c r="K50" s="1049"/>
      <c r="L50" s="1049"/>
      <c r="M50" s="1049"/>
      <c r="N50" s="1049"/>
      <c r="O50" s="1049"/>
      <c r="P50" s="1049"/>
    </row>
    <row r="51" spans="2:16">
      <c r="B51" s="441" t="s">
        <v>1257</v>
      </c>
      <c r="C51" s="554"/>
      <c r="D51" s="555"/>
      <c r="E51" s="555"/>
      <c r="F51" s="555"/>
      <c r="G51" s="555"/>
      <c r="H51" s="555"/>
      <c r="I51" s="555"/>
      <c r="J51" s="555"/>
      <c r="K51" s="555"/>
      <c r="L51" s="555"/>
      <c r="M51" s="555"/>
      <c r="N51" s="1417"/>
      <c r="O51" s="1090">
        <f>SUM(C51:N51)</f>
        <v>0</v>
      </c>
      <c r="P51" s="1090">
        <f>+SUM(C51:K51)</f>
        <v>0</v>
      </c>
    </row>
    <row r="52" spans="2:16">
      <c r="B52" s="442" t="s">
        <v>609</v>
      </c>
      <c r="C52" s="552"/>
      <c r="D52" s="552"/>
      <c r="E52" s="552"/>
      <c r="F52" s="552"/>
      <c r="G52" s="552"/>
      <c r="H52" s="552"/>
      <c r="I52" s="552"/>
      <c r="J52" s="552"/>
      <c r="K52" s="552"/>
      <c r="L52" s="552"/>
      <c r="M52" s="552"/>
      <c r="N52" s="1416"/>
      <c r="O52" s="1093">
        <f>SUM(C52:N52)</f>
        <v>0</v>
      </c>
      <c r="P52" s="1093">
        <f>+SUM(C52:K52)</f>
        <v>0</v>
      </c>
    </row>
    <row r="53" spans="2:16" ht="15" thickBot="1">
      <c r="B53" s="442" t="s">
        <v>1671</v>
      </c>
      <c r="C53" s="443">
        <f t="shared" ref="C53:H53" si="59">+C254</f>
        <v>0</v>
      </c>
      <c r="D53" s="443">
        <f t="shared" si="59"/>
        <v>0</v>
      </c>
      <c r="E53" s="443">
        <f t="shared" si="59"/>
        <v>14000</v>
      </c>
      <c r="F53" s="443">
        <f t="shared" si="59"/>
        <v>0</v>
      </c>
      <c r="G53" s="443">
        <f t="shared" si="59"/>
        <v>0</v>
      </c>
      <c r="H53" s="443">
        <f t="shared" si="59"/>
        <v>14000</v>
      </c>
      <c r="I53" s="443">
        <f t="shared" ref="I53" si="60">+I254</f>
        <v>0</v>
      </c>
      <c r="J53" s="443">
        <f>+J254+J255</f>
        <v>472152</v>
      </c>
      <c r="K53" s="443">
        <f>+K254+K255</f>
        <v>28000</v>
      </c>
      <c r="L53" s="443">
        <f t="shared" ref="L53:N53" si="61">+L254+L255</f>
        <v>152335</v>
      </c>
      <c r="M53" s="443">
        <f t="shared" si="61"/>
        <v>147722</v>
      </c>
      <c r="N53" s="443">
        <f t="shared" si="61"/>
        <v>100000</v>
      </c>
      <c r="O53" s="1620">
        <f>SUM(C53:N53)</f>
        <v>928209</v>
      </c>
      <c r="P53" s="1620">
        <f>+SUM(C53:K53)</f>
        <v>528152</v>
      </c>
    </row>
    <row r="54" spans="2:16" ht="15" thickBot="1">
      <c r="B54" s="560" t="s">
        <v>608</v>
      </c>
      <c r="C54" s="558">
        <f>SUM(C51:C53)</f>
        <v>0</v>
      </c>
      <c r="D54" s="558">
        <f>SUM(D51:D53)</f>
        <v>0</v>
      </c>
      <c r="E54" s="558">
        <f t="shared" ref="E54:O54" si="62">SUM(E51:E53)</f>
        <v>14000</v>
      </c>
      <c r="F54" s="558">
        <f t="shared" si="62"/>
        <v>0</v>
      </c>
      <c r="G54" s="558">
        <f t="shared" si="62"/>
        <v>0</v>
      </c>
      <c r="H54" s="558">
        <f t="shared" si="62"/>
        <v>14000</v>
      </c>
      <c r="I54" s="1094">
        <f t="shared" si="62"/>
        <v>0</v>
      </c>
      <c r="J54" s="1094">
        <f t="shared" ref="J54" si="63">SUM(J51:J53)</f>
        <v>472152</v>
      </c>
      <c r="K54" s="1094">
        <f t="shared" si="62"/>
        <v>28000</v>
      </c>
      <c r="L54" s="1094">
        <f t="shared" si="62"/>
        <v>152335</v>
      </c>
      <c r="M54" s="1094">
        <f t="shared" si="62"/>
        <v>147722</v>
      </c>
      <c r="N54" s="1094">
        <f t="shared" si="62"/>
        <v>100000</v>
      </c>
      <c r="O54" s="1094">
        <f t="shared" si="62"/>
        <v>928209</v>
      </c>
      <c r="P54" s="1094">
        <f>SUM(P51:P53)</f>
        <v>528152</v>
      </c>
    </row>
    <row r="55" spans="2:16" ht="15" thickBot="1">
      <c r="B55" s="498"/>
      <c r="C55" s="499"/>
      <c r="D55" s="499"/>
      <c r="E55" s="499"/>
      <c r="F55" s="499"/>
      <c r="G55" s="499"/>
      <c r="H55" s="1049"/>
      <c r="I55" s="1049"/>
      <c r="J55" s="1049"/>
      <c r="K55" s="1049"/>
      <c r="L55" s="1049"/>
      <c r="M55" s="1049"/>
      <c r="N55" s="1049"/>
      <c r="O55" s="1049"/>
      <c r="P55" s="1049"/>
    </row>
    <row r="56" spans="2:16" ht="15" thickBot="1">
      <c r="B56" s="475" t="s">
        <v>618</v>
      </c>
      <c r="C56" s="500">
        <f t="shared" ref="C56:H56" si="64">SUM(C32+C41-C48-C54)</f>
        <v>3798.1500000000015</v>
      </c>
      <c r="D56" s="753">
        <f t="shared" si="64"/>
        <v>-2643</v>
      </c>
      <c r="E56" s="500">
        <f t="shared" si="64"/>
        <v>65135</v>
      </c>
      <c r="F56" s="753">
        <f t="shared" si="64"/>
        <v>-1064.3000000000029</v>
      </c>
      <c r="G56" s="753">
        <f t="shared" si="64"/>
        <v>-4999</v>
      </c>
      <c r="H56" s="1836">
        <f t="shared" si="64"/>
        <v>42095</v>
      </c>
      <c r="I56" s="1096">
        <f t="shared" ref="I56:O56" si="65">SUM(I32+I41-I48-I54)</f>
        <v>48879</v>
      </c>
      <c r="J56" s="1096">
        <f t="shared" si="65"/>
        <v>-32506</v>
      </c>
      <c r="K56" s="1096">
        <f>SUM(K32+K41-K48-K54)</f>
        <v>-38703</v>
      </c>
      <c r="L56" s="1096">
        <f t="shared" si="65"/>
        <v>13353</v>
      </c>
      <c r="M56" s="1096">
        <f t="shared" si="65"/>
        <v>-123997.64</v>
      </c>
      <c r="N56" s="1096">
        <f t="shared" si="65"/>
        <v>-25297</v>
      </c>
      <c r="O56" s="1096">
        <f t="shared" si="65"/>
        <v>-55949.790000000037</v>
      </c>
      <c r="P56" s="1096">
        <f>SUM(P32+P41-P48-P54)</f>
        <v>79991.849999999977</v>
      </c>
    </row>
    <row r="57" spans="2:16" ht="15" thickBot="1">
      <c r="B57" s="444"/>
      <c r="C57" s="446"/>
      <c r="D57" s="446"/>
      <c r="E57" s="446"/>
      <c r="F57" s="446"/>
      <c r="G57" s="446"/>
      <c r="H57" s="991"/>
      <c r="I57" s="991"/>
      <c r="J57" s="991"/>
      <c r="K57" s="991"/>
      <c r="L57" s="991"/>
      <c r="M57" s="991"/>
      <c r="N57" s="991"/>
      <c r="O57" s="991"/>
      <c r="P57" s="991"/>
    </row>
    <row r="58" spans="2:16" ht="15" thickBot="1">
      <c r="B58" s="475" t="s">
        <v>622</v>
      </c>
      <c r="C58" s="500">
        <f>SUM(C56+C9)</f>
        <v>140565.84351264618</v>
      </c>
      <c r="D58" s="500">
        <f>SUM(C58+D56)</f>
        <v>137922.84351264618</v>
      </c>
      <c r="E58" s="500">
        <f>SUM(E56+E9)</f>
        <v>203057.84351264618</v>
      </c>
      <c r="F58" s="500">
        <f>SUM(F9+F56)</f>
        <v>201993.54351264617</v>
      </c>
      <c r="G58" s="500">
        <f>SUM(G9+G56)</f>
        <v>196994.54351264617</v>
      </c>
      <c r="H58" s="1041">
        <f>+G58+H56</f>
        <v>239089.54351264617</v>
      </c>
      <c r="I58" s="1041">
        <f t="shared" ref="I58:N58" si="66">SUM(H58+I56)</f>
        <v>287968.54351264617</v>
      </c>
      <c r="J58" s="1041">
        <f t="shared" si="66"/>
        <v>255462.54351264617</v>
      </c>
      <c r="K58" s="1042">
        <f t="shared" si="66"/>
        <v>216759.54351264617</v>
      </c>
      <c r="L58" s="1041">
        <f t="shared" si="66"/>
        <v>230112.54351264617</v>
      </c>
      <c r="M58" s="1041">
        <f t="shared" si="66"/>
        <v>106114.90351264617</v>
      </c>
      <c r="N58" s="1041">
        <f t="shared" si="66"/>
        <v>80817.903512646168</v>
      </c>
      <c r="O58" s="1041">
        <f>SUM(O9+O56)</f>
        <v>80817.903512646153</v>
      </c>
      <c r="P58" s="1042">
        <f>SUM(P9+P56)</f>
        <v>216759.54351264617</v>
      </c>
    </row>
    <row r="59" spans="2:16">
      <c r="B59" s="448"/>
      <c r="C59" s="446">
        <f>+C276</f>
        <v>140565.84351264618</v>
      </c>
      <c r="D59" s="446">
        <f>+D276</f>
        <v>137922.84351264618</v>
      </c>
      <c r="E59" s="446">
        <f>+E276</f>
        <v>203057.84351264618</v>
      </c>
      <c r="F59" s="446">
        <f>SUM(E58+F56)</f>
        <v>201993.54351264617</v>
      </c>
      <c r="G59" s="446">
        <f>+G276</f>
        <v>196994.5435126462</v>
      </c>
      <c r="H59" s="446">
        <f>+H276</f>
        <v>239089.5435126462</v>
      </c>
      <c r="I59" s="446">
        <f>+I276</f>
        <v>287968.54351264623</v>
      </c>
      <c r="J59" s="446">
        <f>+J276</f>
        <v>255462.54351264623</v>
      </c>
      <c r="K59" s="446">
        <f>+K276+1</f>
        <v>216759.54351264623</v>
      </c>
      <c r="L59" s="991"/>
      <c r="M59" s="991"/>
      <c r="N59" s="991"/>
      <c r="O59" s="985"/>
      <c r="P59" s="622"/>
    </row>
    <row r="60" spans="2:16">
      <c r="B60" s="501"/>
      <c r="C60" s="502"/>
      <c r="D60" s="502"/>
      <c r="E60" s="502"/>
      <c r="F60" s="502"/>
      <c r="G60" s="502"/>
      <c r="H60" s="1099"/>
      <c r="I60" s="1099"/>
      <c r="J60" s="1099"/>
      <c r="K60" s="1099"/>
      <c r="L60" s="1099"/>
      <c r="M60" s="1099"/>
      <c r="N60" s="1099"/>
      <c r="O60" s="1099"/>
      <c r="P60" s="1099"/>
    </row>
    <row r="61" spans="2:16" ht="15">
      <c r="B61" s="444"/>
      <c r="C61" s="444"/>
      <c r="D61" s="444"/>
      <c r="E61" s="444"/>
      <c r="G61" s="1771"/>
    </row>
    <row r="62" spans="2:16" ht="15">
      <c r="B62" s="448"/>
      <c r="C62" s="446"/>
      <c r="D62" s="446"/>
      <c r="E62" s="446"/>
      <c r="F62" s="578"/>
      <c r="H62" s="1771"/>
      <c r="I62" s="1771"/>
      <c r="J62" s="578">
        <f>SUM(J58-J59)</f>
        <v>-5.8207660913467407E-11</v>
      </c>
    </row>
    <row r="63" spans="2:16" ht="15">
      <c r="B63" s="448"/>
      <c r="C63" s="446"/>
      <c r="D63" s="446"/>
      <c r="E63" s="446"/>
      <c r="H63" s="438"/>
    </row>
    <row r="64" spans="2:16" ht="15">
      <c r="D64" s="578"/>
      <c r="E64" s="578"/>
      <c r="F64" s="578"/>
      <c r="G64" s="578"/>
      <c r="H64" s="438"/>
    </row>
    <row r="66" spans="1:15">
      <c r="B66" s="561" t="s">
        <v>534</v>
      </c>
      <c r="C66" s="13" t="s">
        <v>632</v>
      </c>
      <c r="D66" s="13" t="s">
        <v>632</v>
      </c>
      <c r="E66" s="13" t="s">
        <v>632</v>
      </c>
      <c r="F66" s="13" t="s">
        <v>632</v>
      </c>
      <c r="G66" s="13" t="s">
        <v>632</v>
      </c>
      <c r="H66" s="13" t="s">
        <v>632</v>
      </c>
      <c r="I66" s="13" t="s">
        <v>632</v>
      </c>
      <c r="J66" s="13" t="s">
        <v>632</v>
      </c>
      <c r="K66" s="13" t="s">
        <v>632</v>
      </c>
      <c r="L66" s="13" t="s">
        <v>632</v>
      </c>
      <c r="M66" s="13" t="s">
        <v>632</v>
      </c>
      <c r="N66" s="13" t="s">
        <v>632</v>
      </c>
    </row>
    <row r="67" spans="1:15">
      <c r="B67" s="561" t="s">
        <v>633</v>
      </c>
      <c r="C67" s="13">
        <v>3.72</v>
      </c>
      <c r="D67" s="13">
        <v>3.6890000000000001</v>
      </c>
    </row>
    <row r="68" spans="1:15" ht="15" thickBot="1">
      <c r="B68" s="562"/>
    </row>
    <row r="69" spans="1:15" ht="15" thickBot="1">
      <c r="C69" s="563">
        <v>45658</v>
      </c>
      <c r="D69" s="563">
        <v>45689</v>
      </c>
      <c r="E69" s="563">
        <v>45717</v>
      </c>
      <c r="F69" s="563">
        <v>45748</v>
      </c>
      <c r="G69" s="563">
        <v>45778</v>
      </c>
      <c r="H69" s="563">
        <v>45809</v>
      </c>
      <c r="I69" s="563">
        <v>45839</v>
      </c>
      <c r="J69" s="563">
        <v>45870</v>
      </c>
      <c r="K69" s="563">
        <v>45901</v>
      </c>
      <c r="L69" s="563">
        <v>45931</v>
      </c>
      <c r="M69" s="563">
        <v>45962</v>
      </c>
      <c r="N69" s="563">
        <v>45992</v>
      </c>
    </row>
    <row r="70" spans="1:15" ht="15" thickBot="1">
      <c r="B70" s="561" t="s">
        <v>634</v>
      </c>
      <c r="C70" s="564">
        <v>136767.69351264619</v>
      </c>
      <c r="D70" s="564">
        <f>+C276</f>
        <v>140565.84351264618</v>
      </c>
      <c r="E70" s="564">
        <f t="shared" ref="E70:M70" si="67">+D276</f>
        <v>137922.84351264618</v>
      </c>
      <c r="F70" s="564">
        <f t="shared" si="67"/>
        <v>203057.84351264618</v>
      </c>
      <c r="G70" s="564">
        <f t="shared" si="67"/>
        <v>201993.5435126462</v>
      </c>
      <c r="H70" s="564">
        <f t="shared" si="67"/>
        <v>196994.5435126462</v>
      </c>
      <c r="I70" s="564">
        <f>+H276</f>
        <v>239089.5435126462</v>
      </c>
      <c r="J70" s="564">
        <f t="shared" si="67"/>
        <v>287968.54351264623</v>
      </c>
      <c r="K70" s="564">
        <f t="shared" si="67"/>
        <v>255462.54351264623</v>
      </c>
      <c r="L70" s="564">
        <f t="shared" si="67"/>
        <v>216758.54351264623</v>
      </c>
      <c r="M70" s="564">
        <f t="shared" si="67"/>
        <v>230111.54351264623</v>
      </c>
      <c r="N70" s="564">
        <f>+M276</f>
        <v>106113.90351264621</v>
      </c>
    </row>
    <row r="71" spans="1:15" ht="15" thickBot="1">
      <c r="B71" s="565"/>
    </row>
    <row r="72" spans="1:15" ht="15" thickBot="1">
      <c r="B72" s="566" t="s">
        <v>635</v>
      </c>
      <c r="C72" s="567">
        <f t="shared" ref="C72:N72" si="68">C69</f>
        <v>45658</v>
      </c>
      <c r="D72" s="567">
        <f t="shared" si="68"/>
        <v>45689</v>
      </c>
      <c r="E72" s="567">
        <f t="shared" si="68"/>
        <v>45717</v>
      </c>
      <c r="F72" s="567">
        <f t="shared" si="68"/>
        <v>45748</v>
      </c>
      <c r="G72" s="567">
        <f t="shared" si="68"/>
        <v>45778</v>
      </c>
      <c r="H72" s="567">
        <f t="shared" si="68"/>
        <v>45809</v>
      </c>
      <c r="I72" s="567">
        <f t="shared" si="68"/>
        <v>45839</v>
      </c>
      <c r="J72" s="567">
        <f t="shared" si="68"/>
        <v>45870</v>
      </c>
      <c r="K72" s="567">
        <f t="shared" si="68"/>
        <v>45901</v>
      </c>
      <c r="L72" s="567">
        <f t="shared" si="68"/>
        <v>45931</v>
      </c>
      <c r="M72" s="567">
        <f t="shared" si="68"/>
        <v>45962</v>
      </c>
      <c r="N72" s="567">
        <f t="shared" si="68"/>
        <v>45992</v>
      </c>
    </row>
    <row r="73" spans="1:15" ht="15">
      <c r="B73" s="568" t="s">
        <v>636</v>
      </c>
      <c r="C73" s="569" t="s">
        <v>444</v>
      </c>
      <c r="D73" s="569" t="s">
        <v>444</v>
      </c>
      <c r="E73" s="569" t="s">
        <v>444</v>
      </c>
      <c r="F73" s="569" t="s">
        <v>444</v>
      </c>
      <c r="G73" s="569" t="s">
        <v>444</v>
      </c>
      <c r="H73" s="569" t="s">
        <v>444</v>
      </c>
      <c r="I73" s="1849" t="s">
        <v>444</v>
      </c>
      <c r="J73" s="569" t="s">
        <v>444</v>
      </c>
      <c r="K73" s="569" t="s">
        <v>444</v>
      </c>
      <c r="L73" s="569" t="s">
        <v>444</v>
      </c>
      <c r="M73" s="569" t="s">
        <v>444</v>
      </c>
      <c r="N73" s="569" t="s">
        <v>444</v>
      </c>
    </row>
    <row r="74" spans="1:15">
      <c r="A74" s="13">
        <v>1</v>
      </c>
      <c r="B74" s="570" t="s">
        <v>637</v>
      </c>
      <c r="C74" s="571">
        <v>13312</v>
      </c>
      <c r="D74" s="571"/>
      <c r="E74" s="571"/>
      <c r="F74" s="572"/>
      <c r="G74" s="571"/>
      <c r="H74" s="571"/>
      <c r="I74" s="1850">
        <v>76361</v>
      </c>
      <c r="J74" s="571"/>
      <c r="K74" s="571">
        <v>114681</v>
      </c>
      <c r="L74" s="571">
        <v>35019</v>
      </c>
      <c r="M74" s="571">
        <v>0</v>
      </c>
      <c r="N74" s="573">
        <v>0</v>
      </c>
    </row>
    <row r="75" spans="1:15">
      <c r="A75" s="13">
        <v>2</v>
      </c>
      <c r="B75" s="570" t="s">
        <v>638</v>
      </c>
      <c r="C75" s="571">
        <v>17153</v>
      </c>
      <c r="D75" s="571">
        <v>40872</v>
      </c>
      <c r="E75" s="571">
        <v>47631</v>
      </c>
      <c r="F75" s="574"/>
      <c r="G75" s="571">
        <v>60149</v>
      </c>
      <c r="H75" s="571">
        <v>57648</v>
      </c>
      <c r="I75" s="571">
        <v>59126</v>
      </c>
      <c r="J75" s="571">
        <v>30280</v>
      </c>
      <c r="K75" s="571"/>
      <c r="L75" s="571">
        <v>5300</v>
      </c>
      <c r="M75" s="571">
        <v>40785</v>
      </c>
      <c r="N75" s="573">
        <v>0</v>
      </c>
    </row>
    <row r="76" spans="1:15">
      <c r="A76" s="13">
        <v>3</v>
      </c>
      <c r="B76" s="570" t="s">
        <v>639</v>
      </c>
      <c r="C76" s="571">
        <v>40834</v>
      </c>
      <c r="D76" s="571"/>
      <c r="E76" s="571">
        <v>57746</v>
      </c>
      <c r="F76" s="574"/>
      <c r="G76" s="571">
        <v>24935</v>
      </c>
      <c r="H76" s="571"/>
      <c r="I76" s="571">
        <v>5265</v>
      </c>
      <c r="J76" s="571"/>
      <c r="K76" s="571"/>
      <c r="L76" s="571">
        <v>0</v>
      </c>
      <c r="M76" s="571">
        <v>0</v>
      </c>
      <c r="N76" s="573">
        <v>0</v>
      </c>
    </row>
    <row r="77" spans="1:15">
      <c r="A77" s="13">
        <v>4</v>
      </c>
      <c r="B77" s="570" t="s">
        <v>640</v>
      </c>
      <c r="C77" s="571">
        <v>19701</v>
      </c>
      <c r="D77" s="571"/>
      <c r="E77" s="571"/>
      <c r="F77" s="575"/>
      <c r="G77" s="571"/>
      <c r="H77" s="571"/>
      <c r="I77" s="571"/>
      <c r="J77" s="571"/>
      <c r="K77" s="571"/>
      <c r="L77" s="571">
        <v>0</v>
      </c>
      <c r="M77" s="571">
        <v>0</v>
      </c>
      <c r="N77" s="573">
        <v>0</v>
      </c>
    </row>
    <row r="78" spans="1:15">
      <c r="A78" s="13">
        <v>5</v>
      </c>
      <c r="B78" s="570" t="s">
        <v>641</v>
      </c>
      <c r="C78" s="571">
        <v>32848</v>
      </c>
      <c r="D78" s="571"/>
      <c r="E78" s="571"/>
      <c r="F78" s="575"/>
      <c r="G78" s="571"/>
      <c r="H78" s="571">
        <v>24148</v>
      </c>
      <c r="I78" s="571"/>
      <c r="J78" s="571"/>
      <c r="K78" s="571"/>
      <c r="L78" s="571">
        <v>0</v>
      </c>
      <c r="M78" s="571">
        <v>0</v>
      </c>
      <c r="N78" s="573">
        <v>0</v>
      </c>
    </row>
    <row r="79" spans="1:15">
      <c r="A79" s="13">
        <v>6</v>
      </c>
      <c r="B79" s="570" t="s">
        <v>642</v>
      </c>
      <c r="C79" s="571"/>
      <c r="D79" s="571">
        <v>21582</v>
      </c>
      <c r="E79" s="571"/>
      <c r="F79" s="574"/>
      <c r="G79" s="571"/>
      <c r="H79" s="571"/>
      <c r="I79" s="571"/>
      <c r="J79" s="571"/>
      <c r="K79" s="571"/>
      <c r="L79" s="571">
        <v>0</v>
      </c>
      <c r="M79" s="571">
        <v>0</v>
      </c>
      <c r="N79" s="573">
        <v>0</v>
      </c>
      <c r="O79" s="578"/>
    </row>
    <row r="80" spans="1:15">
      <c r="A80" s="13">
        <v>6</v>
      </c>
      <c r="B80" s="1260" t="s">
        <v>1102</v>
      </c>
      <c r="C80" s="1261"/>
      <c r="D80" s="1261"/>
      <c r="E80" s="1261">
        <v>51893</v>
      </c>
      <c r="F80" s="571">
        <v>110077</v>
      </c>
      <c r="G80" s="571"/>
      <c r="H80" s="571"/>
      <c r="I80" s="571"/>
      <c r="J80" s="571"/>
      <c r="K80" s="571"/>
      <c r="L80" s="571">
        <v>0</v>
      </c>
      <c r="M80" s="571">
        <v>0</v>
      </c>
      <c r="N80" s="573">
        <v>0</v>
      </c>
    </row>
    <row r="81" spans="2:16" ht="15">
      <c r="B81" s="570" t="s">
        <v>1048</v>
      </c>
      <c r="C81" s="571" t="s">
        <v>884</v>
      </c>
      <c r="D81" s="571"/>
      <c r="E81" s="571"/>
      <c r="F81" s="571"/>
      <c r="G81" s="571">
        <v>6348</v>
      </c>
      <c r="H81" s="571">
        <v>110077</v>
      </c>
      <c r="I81" s="571">
        <v>52800</v>
      </c>
      <c r="J81" s="571">
        <v>85920</v>
      </c>
      <c r="K81" s="571"/>
      <c r="L81" s="571">
        <v>0</v>
      </c>
      <c r="M81" s="571">
        <v>0</v>
      </c>
      <c r="N81" s="573">
        <v>0</v>
      </c>
    </row>
    <row r="82" spans="2:16">
      <c r="B82" s="570" t="s">
        <v>1250</v>
      </c>
      <c r="C82" s="571"/>
      <c r="D82" s="571"/>
      <c r="E82" s="571"/>
      <c r="F82" s="574"/>
      <c r="G82" s="571">
        <v>51178</v>
      </c>
      <c r="H82" s="571"/>
      <c r="I82" s="571"/>
      <c r="J82" s="571"/>
      <c r="K82" s="571"/>
      <c r="L82" s="571">
        <v>37222</v>
      </c>
      <c r="M82" s="571">
        <v>0</v>
      </c>
      <c r="N82" s="573">
        <v>0</v>
      </c>
    </row>
    <row r="83" spans="2:16">
      <c r="B83" s="570" t="s">
        <v>1450</v>
      </c>
      <c r="C83" s="571"/>
      <c r="D83" s="571"/>
      <c r="E83" s="571"/>
      <c r="F83" s="574"/>
      <c r="G83" s="571"/>
      <c r="H83" s="571">
        <v>37715</v>
      </c>
      <c r="I83" s="571">
        <v>58150</v>
      </c>
      <c r="J83" s="571">
        <v>488653</v>
      </c>
      <c r="K83" s="571">
        <v>4451</v>
      </c>
      <c r="L83" s="571">
        <v>153520</v>
      </c>
      <c r="M83" s="571">
        <v>10082</v>
      </c>
      <c r="N83" s="573">
        <v>205079</v>
      </c>
      <c r="O83" s="622"/>
    </row>
    <row r="84" spans="2:16">
      <c r="B84" s="2451" t="s">
        <v>1892</v>
      </c>
      <c r="C84" s="2450"/>
      <c r="D84" s="2450"/>
      <c r="E84" s="2450"/>
      <c r="F84" s="2452"/>
      <c r="G84" s="2450"/>
      <c r="H84" s="2450"/>
      <c r="I84" s="2450"/>
      <c r="J84" s="2450"/>
      <c r="K84" s="2450"/>
      <c r="L84" s="2450"/>
      <c r="M84" s="571">
        <v>20803</v>
      </c>
      <c r="N84" s="573">
        <v>0</v>
      </c>
      <c r="O84" s="622"/>
    </row>
    <row r="85" spans="2:16">
      <c r="B85" s="570" t="s">
        <v>1665</v>
      </c>
      <c r="C85" s="571"/>
      <c r="D85" s="571"/>
      <c r="E85" s="571"/>
      <c r="F85" s="574"/>
      <c r="G85" s="571"/>
      <c r="H85" s="571"/>
      <c r="I85" s="571"/>
      <c r="J85" s="571">
        <v>36720</v>
      </c>
      <c r="K85" s="571"/>
      <c r="L85" s="571">
        <v>0</v>
      </c>
      <c r="M85" s="571">
        <v>0</v>
      </c>
      <c r="N85" s="573">
        <v>0</v>
      </c>
      <c r="O85" s="622"/>
    </row>
    <row r="86" spans="2:16">
      <c r="B86" s="2484" t="s">
        <v>1912</v>
      </c>
      <c r="C86" s="2377"/>
      <c r="D86" s="2377"/>
      <c r="E86" s="2377"/>
      <c r="F86" s="2378"/>
      <c r="G86" s="2377"/>
      <c r="H86" s="2377"/>
      <c r="I86" s="2377"/>
      <c r="J86" s="2377"/>
      <c r="K86" s="2377"/>
      <c r="L86" s="2377"/>
      <c r="M86" s="2377"/>
      <c r="N86" s="573">
        <v>64353</v>
      </c>
      <c r="O86" s="622"/>
    </row>
    <row r="87" spans="2:16">
      <c r="B87" s="2376" t="s">
        <v>1850</v>
      </c>
      <c r="C87" s="2377"/>
      <c r="D87" s="2377"/>
      <c r="E87" s="2377"/>
      <c r="F87" s="2378"/>
      <c r="G87" s="2377"/>
      <c r="H87" s="2377"/>
      <c r="I87" s="2377"/>
      <c r="J87" s="2377"/>
      <c r="K87" s="2377"/>
      <c r="L87" s="2377">
        <v>34388</v>
      </c>
      <c r="M87" s="2377">
        <v>24440</v>
      </c>
      <c r="N87" s="573">
        <v>0</v>
      </c>
      <c r="O87" s="622"/>
    </row>
    <row r="88" spans="2:16" ht="15" thickBot="1">
      <c r="B88" s="576" t="s">
        <v>643</v>
      </c>
      <c r="C88" s="577">
        <f t="shared" ref="C88:L88" si="69">SUM(C74:C87)</f>
        <v>123848</v>
      </c>
      <c r="D88" s="577">
        <f t="shared" si="69"/>
        <v>62454</v>
      </c>
      <c r="E88" s="577">
        <f t="shared" si="69"/>
        <v>157270</v>
      </c>
      <c r="F88" s="577">
        <f t="shared" si="69"/>
        <v>110077</v>
      </c>
      <c r="G88" s="577">
        <f t="shared" si="69"/>
        <v>142610</v>
      </c>
      <c r="H88" s="577">
        <f t="shared" si="69"/>
        <v>229588</v>
      </c>
      <c r="I88" s="577">
        <f t="shared" si="69"/>
        <v>251702</v>
      </c>
      <c r="J88" s="577">
        <f t="shared" si="69"/>
        <v>641573</v>
      </c>
      <c r="K88" s="577">
        <f t="shared" si="69"/>
        <v>119132</v>
      </c>
      <c r="L88" s="577">
        <f t="shared" si="69"/>
        <v>265449</v>
      </c>
      <c r="M88" s="577">
        <f>SUM(M74:M87)</f>
        <v>96110</v>
      </c>
      <c r="N88" s="577">
        <f>SUM(N74:N87)</f>
        <v>269432</v>
      </c>
    </row>
    <row r="89" spans="2:16" ht="23.25" customHeight="1">
      <c r="B89" s="579"/>
      <c r="C89" s="579"/>
      <c r="D89" s="579"/>
      <c r="E89" s="579"/>
      <c r="F89" s="580"/>
      <c r="G89" s="580"/>
      <c r="H89" s="580"/>
      <c r="I89" s="580"/>
      <c r="J89" s="580"/>
    </row>
    <row r="90" spans="2:16" ht="15" thickBot="1">
      <c r="B90" s="579"/>
    </row>
    <row r="91" spans="2:16" ht="15" thickBot="1">
      <c r="B91" s="566" t="s">
        <v>32</v>
      </c>
      <c r="C91" s="567">
        <f t="shared" ref="C91:N91" si="70">C69</f>
        <v>45658</v>
      </c>
      <c r="D91" s="567">
        <f t="shared" si="70"/>
        <v>45689</v>
      </c>
      <c r="E91" s="567">
        <f t="shared" si="70"/>
        <v>45717</v>
      </c>
      <c r="F91" s="567">
        <f t="shared" si="70"/>
        <v>45748</v>
      </c>
      <c r="G91" s="567">
        <f t="shared" si="70"/>
        <v>45778</v>
      </c>
      <c r="H91" s="567">
        <f t="shared" si="70"/>
        <v>45809</v>
      </c>
      <c r="I91" s="567">
        <f t="shared" si="70"/>
        <v>45839</v>
      </c>
      <c r="J91" s="567">
        <f t="shared" si="70"/>
        <v>45870</v>
      </c>
      <c r="K91" s="567">
        <f t="shared" si="70"/>
        <v>45901</v>
      </c>
      <c r="L91" s="567">
        <f t="shared" si="70"/>
        <v>45931</v>
      </c>
      <c r="M91" s="567">
        <f t="shared" si="70"/>
        <v>45962</v>
      </c>
      <c r="N91" s="567">
        <f t="shared" si="70"/>
        <v>45992</v>
      </c>
      <c r="O91" s="578"/>
    </row>
    <row r="92" spans="2:16" ht="15">
      <c r="B92" s="568" t="s">
        <v>22</v>
      </c>
      <c r="C92" s="569" t="s">
        <v>444</v>
      </c>
      <c r="D92" s="569" t="s">
        <v>444</v>
      </c>
      <c r="E92" s="569" t="s">
        <v>444</v>
      </c>
      <c r="F92" s="569" t="s">
        <v>444</v>
      </c>
      <c r="G92" s="569" t="s">
        <v>444</v>
      </c>
      <c r="H92" s="569" t="s">
        <v>444</v>
      </c>
      <c r="I92" s="569" t="s">
        <v>444</v>
      </c>
      <c r="J92" s="569" t="s">
        <v>444</v>
      </c>
      <c r="K92" s="569" t="s">
        <v>444</v>
      </c>
      <c r="L92" s="569" t="s">
        <v>444</v>
      </c>
      <c r="M92" s="569" t="s">
        <v>444</v>
      </c>
      <c r="N92" s="569" t="s">
        <v>444</v>
      </c>
    </row>
    <row r="93" spans="2:16">
      <c r="B93" s="581" t="s">
        <v>645</v>
      </c>
      <c r="C93" s="571">
        <v>11907</v>
      </c>
      <c r="D93" s="571">
        <v>16500</v>
      </c>
      <c r="E93" s="571">
        <v>20068</v>
      </c>
      <c r="F93" s="571">
        <v>28529</v>
      </c>
      <c r="G93" s="571">
        <v>31304</v>
      </c>
      <c r="H93" s="571">
        <v>36127</v>
      </c>
      <c r="I93" s="571">
        <v>34183</v>
      </c>
      <c r="J93" s="571">
        <v>126435</v>
      </c>
      <c r="K93" s="571">
        <v>16037</v>
      </c>
      <c r="L93" s="571">
        <v>42117</v>
      </c>
      <c r="M93" s="571">
        <v>13115</v>
      </c>
      <c r="N93" s="573">
        <v>75885</v>
      </c>
    </row>
    <row r="94" spans="2:16">
      <c r="B94" s="581" t="s">
        <v>1893</v>
      </c>
      <c r="C94" s="582"/>
      <c r="D94" s="582"/>
      <c r="E94" s="582"/>
      <c r="F94" s="582"/>
      <c r="G94" s="582"/>
      <c r="H94" s="582"/>
      <c r="I94" s="582"/>
      <c r="J94" s="582"/>
      <c r="K94" s="582"/>
      <c r="L94" s="582">
        <v>0</v>
      </c>
      <c r="M94" s="582">
        <v>91978</v>
      </c>
      <c r="N94" s="583"/>
    </row>
    <row r="95" spans="2:16" ht="15" thickBot="1">
      <c r="B95" s="576" t="s">
        <v>31</v>
      </c>
      <c r="C95" s="577">
        <f t="shared" ref="C95:N95" si="71">SUM(C93:C94)</f>
        <v>11907</v>
      </c>
      <c r="D95" s="577">
        <f t="shared" si="71"/>
        <v>16500</v>
      </c>
      <c r="E95" s="577">
        <f t="shared" si="71"/>
        <v>20068</v>
      </c>
      <c r="F95" s="577">
        <f t="shared" si="71"/>
        <v>28529</v>
      </c>
      <c r="G95" s="577">
        <f>SUM(G93:G94)</f>
        <v>31304</v>
      </c>
      <c r="H95" s="577">
        <f t="shared" si="71"/>
        <v>36127</v>
      </c>
      <c r="I95" s="577">
        <f t="shared" si="71"/>
        <v>34183</v>
      </c>
      <c r="J95" s="577">
        <f t="shared" si="71"/>
        <v>126435</v>
      </c>
      <c r="K95" s="577">
        <f t="shared" si="71"/>
        <v>16037</v>
      </c>
      <c r="L95" s="577">
        <f t="shared" si="71"/>
        <v>42117</v>
      </c>
      <c r="M95" s="577">
        <f t="shared" si="71"/>
        <v>105093</v>
      </c>
      <c r="N95" s="577">
        <f t="shared" si="71"/>
        <v>75885</v>
      </c>
    </row>
    <row r="96" spans="2:16" ht="15" thickBot="1">
      <c r="B96" s="579"/>
      <c r="O96" s="587"/>
      <c r="P96" s="587"/>
    </row>
    <row r="97" spans="1:17" ht="15" thickBot="1">
      <c r="B97" s="566" t="s">
        <v>647</v>
      </c>
      <c r="C97" s="567">
        <f t="shared" ref="C97:N97" si="72">C69</f>
        <v>45658</v>
      </c>
      <c r="D97" s="567">
        <f t="shared" si="72"/>
        <v>45689</v>
      </c>
      <c r="E97" s="567">
        <f t="shared" si="72"/>
        <v>45717</v>
      </c>
      <c r="F97" s="567">
        <f t="shared" si="72"/>
        <v>45748</v>
      </c>
      <c r="G97" s="567">
        <f t="shared" si="72"/>
        <v>45778</v>
      </c>
      <c r="H97" s="567">
        <f t="shared" si="72"/>
        <v>45809</v>
      </c>
      <c r="I97" s="567">
        <f t="shared" si="72"/>
        <v>45839</v>
      </c>
      <c r="J97" s="567">
        <f t="shared" si="72"/>
        <v>45870</v>
      </c>
      <c r="K97" s="567">
        <f t="shared" si="72"/>
        <v>45901</v>
      </c>
      <c r="L97" s="567">
        <f t="shared" si="72"/>
        <v>45931</v>
      </c>
      <c r="M97" s="567">
        <f t="shared" si="72"/>
        <v>45962</v>
      </c>
      <c r="N97" s="567">
        <f t="shared" si="72"/>
        <v>45992</v>
      </c>
    </row>
    <row r="98" spans="1:17" ht="16" thickBot="1">
      <c r="B98" s="584"/>
      <c r="C98" s="585" t="s">
        <v>444</v>
      </c>
      <c r="D98" s="585" t="s">
        <v>444</v>
      </c>
      <c r="E98" s="569" t="s">
        <v>444</v>
      </c>
      <c r="F98" s="569" t="s">
        <v>444</v>
      </c>
      <c r="G98" s="569" t="s">
        <v>444</v>
      </c>
      <c r="H98" s="569" t="s">
        <v>444</v>
      </c>
      <c r="I98" s="569" t="s">
        <v>444</v>
      </c>
      <c r="J98" s="569" t="s">
        <v>444</v>
      </c>
      <c r="K98" s="569" t="s">
        <v>444</v>
      </c>
      <c r="L98" s="569" t="s">
        <v>444</v>
      </c>
      <c r="M98" s="569" t="s">
        <v>444</v>
      </c>
      <c r="N98" s="569" t="s">
        <v>444</v>
      </c>
    </row>
    <row r="99" spans="1:17" ht="15" thickBot="1">
      <c r="B99" s="566" t="s">
        <v>6</v>
      </c>
      <c r="C99" s="586">
        <f t="shared" ref="C99:N99" si="73">+C88+C95</f>
        <v>135755</v>
      </c>
      <c r="D99" s="586">
        <f t="shared" si="73"/>
        <v>78954</v>
      </c>
      <c r="E99" s="586">
        <f t="shared" si="73"/>
        <v>177338</v>
      </c>
      <c r="F99" s="586">
        <f t="shared" si="73"/>
        <v>138606</v>
      </c>
      <c r="G99" s="586">
        <f>+G88+G95</f>
        <v>173914</v>
      </c>
      <c r="H99" s="586">
        <f t="shared" si="73"/>
        <v>265715</v>
      </c>
      <c r="I99" s="586">
        <f t="shared" si="73"/>
        <v>285885</v>
      </c>
      <c r="J99" s="586">
        <f t="shared" si="73"/>
        <v>768008</v>
      </c>
      <c r="K99" s="586">
        <f t="shared" si="73"/>
        <v>135169</v>
      </c>
      <c r="L99" s="586">
        <f t="shared" si="73"/>
        <v>307566</v>
      </c>
      <c r="M99" s="586">
        <f t="shared" si="73"/>
        <v>201203</v>
      </c>
      <c r="N99" s="586">
        <f t="shared" si="73"/>
        <v>345317</v>
      </c>
    </row>
    <row r="100" spans="1:17" ht="19.5" customHeight="1" thickBot="1">
      <c r="A100" s="587"/>
      <c r="B100" s="587"/>
      <c r="C100" s="587"/>
      <c r="D100" s="587"/>
      <c r="E100" s="587"/>
      <c r="F100" s="587"/>
      <c r="G100" s="587"/>
      <c r="H100" s="587"/>
      <c r="I100" s="587"/>
      <c r="J100" s="587"/>
      <c r="K100" s="587"/>
      <c r="L100" s="587"/>
      <c r="M100" s="587"/>
      <c r="N100" s="587"/>
    </row>
    <row r="101" spans="1:17" s="587" customFormat="1" ht="15" thickBot="1">
      <c r="A101" s="13"/>
      <c r="B101" s="588"/>
      <c r="C101" s="567">
        <f t="shared" ref="C101:N101" si="74">C69</f>
        <v>45658</v>
      </c>
      <c r="D101" s="567">
        <f t="shared" si="74"/>
        <v>45689</v>
      </c>
      <c r="E101" s="567">
        <f t="shared" si="74"/>
        <v>45717</v>
      </c>
      <c r="F101" s="567">
        <f t="shared" si="74"/>
        <v>45748</v>
      </c>
      <c r="G101" s="567">
        <f t="shared" si="74"/>
        <v>45778</v>
      </c>
      <c r="H101" s="567">
        <f t="shared" si="74"/>
        <v>45809</v>
      </c>
      <c r="I101" s="567">
        <f t="shared" si="74"/>
        <v>45839</v>
      </c>
      <c r="J101" s="567">
        <f t="shared" si="74"/>
        <v>45870</v>
      </c>
      <c r="K101" s="567">
        <f t="shared" si="74"/>
        <v>45901</v>
      </c>
      <c r="L101" s="567">
        <f t="shared" si="74"/>
        <v>45931</v>
      </c>
      <c r="M101" s="567">
        <f t="shared" si="74"/>
        <v>45962</v>
      </c>
      <c r="N101" s="567">
        <f t="shared" si="74"/>
        <v>45992</v>
      </c>
      <c r="O101" s="13"/>
      <c r="P101" s="13"/>
    </row>
    <row r="102" spans="1:17" ht="16" thickBot="1">
      <c r="B102" s="588" t="s">
        <v>648</v>
      </c>
      <c r="C102" s="585" t="s">
        <v>444</v>
      </c>
      <c r="D102" s="585" t="s">
        <v>444</v>
      </c>
      <c r="E102" s="569" t="s">
        <v>444</v>
      </c>
      <c r="F102" s="569" t="s">
        <v>444</v>
      </c>
      <c r="G102" s="569" t="s">
        <v>444</v>
      </c>
      <c r="H102" s="569" t="s">
        <v>444</v>
      </c>
      <c r="I102" s="569" t="s">
        <v>444</v>
      </c>
      <c r="J102" s="569" t="s">
        <v>444</v>
      </c>
      <c r="K102" s="569" t="s">
        <v>444</v>
      </c>
      <c r="L102" s="569" t="s">
        <v>444</v>
      </c>
      <c r="M102" s="569" t="s">
        <v>444</v>
      </c>
      <c r="N102" s="569" t="s">
        <v>444</v>
      </c>
    </row>
    <row r="103" spans="1:17" ht="15" thickBot="1">
      <c r="B103" s="589"/>
      <c r="C103" s="586">
        <f>+C99</f>
        <v>135755</v>
      </c>
      <c r="D103" s="586">
        <f t="shared" ref="D103:N103" si="75">+D99</f>
        <v>78954</v>
      </c>
      <c r="E103" s="586">
        <f t="shared" si="75"/>
        <v>177338</v>
      </c>
      <c r="F103" s="586">
        <f t="shared" si="75"/>
        <v>138606</v>
      </c>
      <c r="G103" s="586">
        <f>+G99</f>
        <v>173914</v>
      </c>
      <c r="H103" s="586">
        <f t="shared" si="75"/>
        <v>265715</v>
      </c>
      <c r="I103" s="586">
        <f t="shared" si="75"/>
        <v>285885</v>
      </c>
      <c r="J103" s="586">
        <f t="shared" si="75"/>
        <v>768008</v>
      </c>
      <c r="K103" s="586">
        <f t="shared" si="75"/>
        <v>135169</v>
      </c>
      <c r="L103" s="586">
        <f t="shared" si="75"/>
        <v>307566</v>
      </c>
      <c r="M103" s="586">
        <f t="shared" si="75"/>
        <v>201203</v>
      </c>
      <c r="N103" s="586">
        <f t="shared" si="75"/>
        <v>345317</v>
      </c>
    </row>
    <row r="104" spans="1:17" ht="15" thickBot="1">
      <c r="C104" s="590"/>
      <c r="D104" s="590"/>
      <c r="E104" s="590"/>
      <c r="F104" s="590"/>
      <c r="G104" s="590"/>
      <c r="H104" s="590"/>
      <c r="I104" s="590"/>
      <c r="J104" s="590"/>
      <c r="K104" s="590"/>
      <c r="L104" s="590"/>
      <c r="M104" s="590"/>
      <c r="N104" s="590"/>
    </row>
    <row r="105" spans="1:17" ht="15" thickBot="1">
      <c r="A105" s="13" t="s">
        <v>1467</v>
      </c>
      <c r="B105" s="591" t="s">
        <v>649</v>
      </c>
      <c r="C105" s="592" t="s">
        <v>1468</v>
      </c>
      <c r="D105" s="592" t="s">
        <v>1469</v>
      </c>
      <c r="E105" s="592" t="s">
        <v>1470</v>
      </c>
      <c r="F105" s="592" t="s">
        <v>1471</v>
      </c>
      <c r="G105" s="592" t="s">
        <v>1472</v>
      </c>
      <c r="H105" s="592" t="s">
        <v>1473</v>
      </c>
      <c r="I105" s="2090" t="s">
        <v>1531</v>
      </c>
      <c r="J105" s="2317" t="s">
        <v>1600</v>
      </c>
      <c r="K105" s="2317" t="s">
        <v>1601</v>
      </c>
      <c r="L105" s="2317" t="s">
        <v>1602</v>
      </c>
      <c r="M105" s="2317" t="s">
        <v>1603</v>
      </c>
      <c r="N105" s="2490" t="s">
        <v>1604</v>
      </c>
    </row>
    <row r="106" spans="1:17" ht="15" thickBot="1">
      <c r="B106" s="593" t="s">
        <v>38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7" ht="15" outlineLevel="1" thickBot="1">
      <c r="A107" s="13" t="s">
        <v>1462</v>
      </c>
      <c r="B107" s="594" t="s">
        <v>650</v>
      </c>
      <c r="C107" s="595">
        <v>3205</v>
      </c>
      <c r="D107" s="595">
        <v>3233</v>
      </c>
      <c r="E107" s="596">
        <v>3204</v>
      </c>
      <c r="F107" s="596">
        <v>3851</v>
      </c>
      <c r="G107" s="596">
        <v>4119</v>
      </c>
      <c r="H107" s="597">
        <v>4199</v>
      </c>
      <c r="I107" s="597">
        <v>4185</v>
      </c>
      <c r="J107" s="597">
        <v>4189</v>
      </c>
      <c r="K107" s="597">
        <v>4245</v>
      </c>
      <c r="L107" s="598">
        <v>4383</v>
      </c>
      <c r="M107" s="4">
        <v>4413</v>
      </c>
      <c r="N107" s="4">
        <v>1567</v>
      </c>
    </row>
    <row r="108" spans="1:17" ht="15" outlineLevel="1" thickBot="1">
      <c r="A108" s="13" t="s">
        <v>1462</v>
      </c>
      <c r="B108" s="594" t="s">
        <v>651</v>
      </c>
      <c r="C108" s="595"/>
      <c r="D108" s="595">
        <v>3330</v>
      </c>
      <c r="E108" s="596"/>
      <c r="F108" s="596">
        <v>890</v>
      </c>
      <c r="G108" s="596"/>
      <c r="H108" s="597"/>
      <c r="I108" s="597"/>
      <c r="J108" s="597"/>
      <c r="K108" s="597"/>
      <c r="L108" s="598">
        <v>0</v>
      </c>
      <c r="M108" s="4">
        <v>14352</v>
      </c>
      <c r="N108" s="4">
        <v>5866</v>
      </c>
    </row>
    <row r="109" spans="1:17" ht="15" outlineLevel="1" thickBot="1">
      <c r="A109" s="13" t="s">
        <v>1462</v>
      </c>
      <c r="B109" s="594" t="s">
        <v>652</v>
      </c>
      <c r="C109" s="595">
        <v>2571</v>
      </c>
      <c r="D109" s="595">
        <v>2593</v>
      </c>
      <c r="E109" s="596">
        <v>2581</v>
      </c>
      <c r="F109" s="596">
        <v>2574</v>
      </c>
      <c r="G109" s="596">
        <v>2644</v>
      </c>
      <c r="H109" s="597">
        <v>2572</v>
      </c>
      <c r="I109" s="597">
        <v>2563</v>
      </c>
      <c r="J109" s="597">
        <v>2565</v>
      </c>
      <c r="K109" s="597">
        <v>2657</v>
      </c>
      <c r="L109" s="598">
        <v>2744</v>
      </c>
      <c r="M109" s="4">
        <v>2762</v>
      </c>
      <c r="N109" s="4">
        <v>2378</v>
      </c>
    </row>
    <row r="110" spans="1:17" ht="15" outlineLevel="1" thickBot="1">
      <c r="A110" s="13" t="s">
        <v>1462</v>
      </c>
      <c r="B110" s="594" t="s">
        <v>653</v>
      </c>
      <c r="C110" s="595"/>
      <c r="D110" s="595"/>
      <c r="E110" s="596"/>
      <c r="F110" s="596"/>
      <c r="G110" s="596"/>
      <c r="H110" s="597"/>
      <c r="I110" s="597"/>
      <c r="J110" s="597"/>
      <c r="K110" s="597"/>
      <c r="L110" s="598">
        <v>0</v>
      </c>
      <c r="M110" s="4">
        <v>0</v>
      </c>
      <c r="N110" s="4">
        <v>2347</v>
      </c>
    </row>
    <row r="111" spans="1:17" ht="15" outlineLevel="1" thickBot="1">
      <c r="A111" s="13" t="s">
        <v>1462</v>
      </c>
      <c r="B111" s="594" t="s">
        <v>654</v>
      </c>
      <c r="C111" s="595">
        <v>5242</v>
      </c>
      <c r="D111" s="596">
        <v>5286</v>
      </c>
      <c r="E111" s="596">
        <v>5241</v>
      </c>
      <c r="F111" s="596">
        <v>5248</v>
      </c>
      <c r="G111" s="596">
        <v>5389</v>
      </c>
      <c r="H111" s="597">
        <v>5494</v>
      </c>
      <c r="I111" s="597">
        <v>5476</v>
      </c>
      <c r="J111" s="597">
        <v>5480</v>
      </c>
      <c r="K111" s="597">
        <v>5553</v>
      </c>
      <c r="L111" s="598">
        <v>5734</v>
      </c>
      <c r="M111" s="4">
        <v>5774</v>
      </c>
      <c r="N111" s="4">
        <v>5168</v>
      </c>
    </row>
    <row r="112" spans="1:17" ht="15" outlineLevel="1" thickBot="1">
      <c r="A112" s="13" t="s">
        <v>1462</v>
      </c>
      <c r="B112" s="594" t="s">
        <v>655</v>
      </c>
      <c r="C112" s="595"/>
      <c r="D112" s="596"/>
      <c r="E112" s="596"/>
      <c r="F112" s="596"/>
      <c r="G112" s="596"/>
      <c r="H112" s="597"/>
      <c r="I112" s="597"/>
      <c r="J112" s="597"/>
      <c r="K112" s="597"/>
      <c r="L112" s="598">
        <v>0</v>
      </c>
      <c r="M112" s="4">
        <v>0</v>
      </c>
      <c r="N112" s="4">
        <v>54336</v>
      </c>
      <c r="Q112" s="599"/>
    </row>
    <row r="113" spans="1:23" ht="15" outlineLevel="1" thickBot="1">
      <c r="A113" s="13" t="s">
        <v>1462</v>
      </c>
      <c r="B113" s="594" t="s">
        <v>656</v>
      </c>
      <c r="C113" s="596">
        <v>1414</v>
      </c>
      <c r="D113" s="596">
        <v>1426</v>
      </c>
      <c r="E113" s="596">
        <v>1413</v>
      </c>
      <c r="F113" s="596">
        <v>1415</v>
      </c>
      <c r="G113" s="596">
        <v>1454</v>
      </c>
      <c r="H113" s="597">
        <v>1482</v>
      </c>
      <c r="I113" s="597">
        <v>1477</v>
      </c>
      <c r="J113" s="597">
        <v>1476</v>
      </c>
      <c r="K113" s="597">
        <v>1498</v>
      </c>
      <c r="L113" s="598">
        <v>1547</v>
      </c>
      <c r="M113" s="4">
        <v>1558</v>
      </c>
      <c r="N113" s="4">
        <v>2358</v>
      </c>
      <c r="Q113" s="599"/>
    </row>
    <row r="114" spans="1:23" ht="15" outlineLevel="1" thickBot="1">
      <c r="A114" s="13" t="s">
        <v>1462</v>
      </c>
      <c r="B114" s="594" t="s">
        <v>657</v>
      </c>
      <c r="C114" s="596">
        <v>2460</v>
      </c>
      <c r="D114" s="595">
        <v>2480</v>
      </c>
      <c r="E114" s="596">
        <v>2459</v>
      </c>
      <c r="F114" s="596">
        <v>2463</v>
      </c>
      <c r="G114" s="596">
        <v>2529</v>
      </c>
      <c r="H114" s="597">
        <v>2578</v>
      </c>
      <c r="I114" s="597">
        <v>2536</v>
      </c>
      <c r="J114" s="597">
        <v>2538</v>
      </c>
      <c r="K114" s="597">
        <v>2560</v>
      </c>
      <c r="L114" s="598">
        <v>2643</v>
      </c>
      <c r="M114" s="4">
        <v>2661</v>
      </c>
      <c r="N114" s="4">
        <v>1934</v>
      </c>
      <c r="Q114" s="600"/>
      <c r="R114" s="561"/>
      <c r="S114" s="600"/>
    </row>
    <row r="115" spans="1:23" ht="15" outlineLevel="1" thickBot="1">
      <c r="A115" s="13" t="s">
        <v>1462</v>
      </c>
      <c r="B115" s="594" t="s">
        <v>658</v>
      </c>
      <c r="C115" s="596"/>
      <c r="D115" s="595">
        <v>2562</v>
      </c>
      <c r="E115" s="596"/>
      <c r="F115" s="596"/>
      <c r="G115" s="596"/>
      <c r="H115" s="597"/>
      <c r="I115" s="597"/>
      <c r="J115" s="597"/>
      <c r="K115" s="597"/>
      <c r="L115" s="598">
        <v>0</v>
      </c>
      <c r="M115" s="4">
        <v>0</v>
      </c>
      <c r="N115" s="4">
        <v>4400</v>
      </c>
    </row>
    <row r="116" spans="1:23" ht="15" outlineLevel="1" thickBot="1">
      <c r="A116" s="13" t="s">
        <v>1462</v>
      </c>
      <c r="B116" s="594" t="s">
        <v>659</v>
      </c>
      <c r="C116" s="596">
        <v>945</v>
      </c>
      <c r="D116" s="596">
        <v>952</v>
      </c>
      <c r="E116" s="596">
        <v>944</v>
      </c>
      <c r="F116" s="596">
        <v>945</v>
      </c>
      <c r="G116" s="596">
        <v>971</v>
      </c>
      <c r="H116" s="597">
        <v>989</v>
      </c>
      <c r="I116" s="597">
        <v>1272</v>
      </c>
      <c r="J116" s="597">
        <v>1280</v>
      </c>
      <c r="K116" s="597">
        <v>1288</v>
      </c>
      <c r="L116" s="598">
        <v>1329</v>
      </c>
      <c r="M116" s="4">
        <v>1338</v>
      </c>
      <c r="N116" s="4">
        <v>966</v>
      </c>
    </row>
    <row r="117" spans="1:23" ht="15" outlineLevel="1" thickBot="1">
      <c r="A117" s="13" t="s">
        <v>1462</v>
      </c>
      <c r="B117" s="594" t="s">
        <v>660</v>
      </c>
      <c r="C117" s="596"/>
      <c r="D117" s="596"/>
      <c r="E117" s="596"/>
      <c r="F117" s="596"/>
      <c r="G117" s="596"/>
      <c r="H117" s="597"/>
      <c r="I117" s="597"/>
      <c r="J117" s="597">
        <v>221</v>
      </c>
      <c r="K117" s="597"/>
      <c r="L117" s="598">
        <v>0</v>
      </c>
      <c r="M117" s="4">
        <v>0</v>
      </c>
      <c r="N117" s="4">
        <v>4786</v>
      </c>
    </row>
    <row r="118" spans="1:23" ht="15" outlineLevel="1" thickBot="1">
      <c r="A118" s="13" t="s">
        <v>1462</v>
      </c>
      <c r="B118" s="594" t="s">
        <v>661</v>
      </c>
      <c r="C118" s="596">
        <v>1219</v>
      </c>
      <c r="D118" s="596">
        <v>1229</v>
      </c>
      <c r="E118" s="596">
        <v>1219</v>
      </c>
      <c r="F118" s="596">
        <v>1221</v>
      </c>
      <c r="G118" s="596"/>
      <c r="H118" s="597"/>
      <c r="I118" s="597"/>
      <c r="J118" s="597"/>
      <c r="K118" s="597"/>
      <c r="L118" s="598">
        <v>0</v>
      </c>
      <c r="M118" s="4">
        <v>0</v>
      </c>
      <c r="N118" s="4">
        <v>0</v>
      </c>
    </row>
    <row r="119" spans="1:23" ht="15" outlineLevel="1" thickBot="1">
      <c r="A119" s="13" t="s">
        <v>1462</v>
      </c>
      <c r="B119" s="594" t="s">
        <v>662</v>
      </c>
      <c r="C119" s="596">
        <v>2379</v>
      </c>
      <c r="D119" s="596">
        <v>2399</v>
      </c>
      <c r="E119" s="596">
        <v>2378</v>
      </c>
      <c r="F119" s="596">
        <v>2381</v>
      </c>
      <c r="G119" s="596">
        <v>2445</v>
      </c>
      <c r="H119" s="597">
        <v>2493</v>
      </c>
      <c r="I119" s="597">
        <v>2485</v>
      </c>
      <c r="J119" s="597"/>
      <c r="K119" s="597"/>
      <c r="L119" s="598">
        <v>0</v>
      </c>
      <c r="M119" s="4">
        <v>0</v>
      </c>
      <c r="N119" s="4">
        <v>0</v>
      </c>
    </row>
    <row r="120" spans="1:23" ht="15" outlineLevel="1" thickBot="1">
      <c r="A120" s="13" t="s">
        <v>1462</v>
      </c>
      <c r="B120" s="594" t="s">
        <v>663</v>
      </c>
      <c r="C120" s="596">
        <v>1955</v>
      </c>
      <c r="D120" s="596">
        <v>1971</v>
      </c>
      <c r="E120" s="596">
        <v>1954</v>
      </c>
      <c r="F120" s="596">
        <v>1957</v>
      </c>
      <c r="G120" s="596">
        <v>2009</v>
      </c>
      <c r="H120" s="597">
        <v>2049</v>
      </c>
      <c r="I120" s="597">
        <v>2042</v>
      </c>
      <c r="J120" s="597">
        <f>2164+2164</f>
        <v>4328</v>
      </c>
      <c r="K120" s="597">
        <v>2314</v>
      </c>
      <c r="L120" s="598">
        <v>2389</v>
      </c>
      <c r="M120" s="4">
        <v>2405</v>
      </c>
      <c r="N120" s="4">
        <v>2412</v>
      </c>
    </row>
    <row r="121" spans="1:23" ht="15" outlineLevel="1" thickBot="1">
      <c r="A121" s="13" t="s">
        <v>1462</v>
      </c>
      <c r="B121" s="594" t="s">
        <v>664</v>
      </c>
      <c r="C121" s="595">
        <v>1025</v>
      </c>
      <c r="D121" s="595">
        <v>1033</v>
      </c>
      <c r="E121" s="595">
        <v>1025</v>
      </c>
      <c r="F121" s="595">
        <v>1026</v>
      </c>
      <c r="G121" s="595">
        <v>1054</v>
      </c>
      <c r="H121" s="597">
        <v>1074</v>
      </c>
      <c r="I121" s="597">
        <v>1071</v>
      </c>
      <c r="J121" s="597">
        <v>1682</v>
      </c>
      <c r="K121" s="597">
        <v>1395</v>
      </c>
      <c r="L121" s="598">
        <v>1440</v>
      </c>
      <c r="M121" s="4">
        <v>1450</v>
      </c>
      <c r="N121" s="4">
        <v>1172</v>
      </c>
      <c r="Q121" s="599"/>
      <c r="U121" s="599"/>
      <c r="W121" s="599"/>
    </row>
    <row r="122" spans="1:23" ht="15" outlineLevel="1" thickBot="1">
      <c r="A122" s="13" t="s">
        <v>1462</v>
      </c>
      <c r="B122" s="594" t="s">
        <v>665</v>
      </c>
      <c r="C122" s="595"/>
      <c r="D122" s="595"/>
      <c r="E122" s="595"/>
      <c r="F122" s="595"/>
      <c r="G122" s="596"/>
      <c r="H122" s="597"/>
      <c r="I122" s="597"/>
      <c r="J122" s="597"/>
      <c r="K122" s="597"/>
      <c r="L122" s="598">
        <v>0</v>
      </c>
      <c r="M122" s="4">
        <v>0</v>
      </c>
      <c r="N122" s="4">
        <v>2059</v>
      </c>
    </row>
    <row r="123" spans="1:23" ht="15" outlineLevel="1" thickBot="1">
      <c r="A123" s="13" t="s">
        <v>1462</v>
      </c>
      <c r="B123" s="594" t="s">
        <v>666</v>
      </c>
      <c r="C123" s="601">
        <v>1881</v>
      </c>
      <c r="D123" s="595">
        <v>1898</v>
      </c>
      <c r="E123" s="595">
        <v>1881</v>
      </c>
      <c r="F123" s="595">
        <v>1884</v>
      </c>
      <c r="G123" s="595">
        <v>1935</v>
      </c>
      <c r="H123" s="597">
        <v>1972</v>
      </c>
      <c r="I123" s="597">
        <v>1966</v>
      </c>
      <c r="J123" s="597"/>
      <c r="K123" s="597"/>
      <c r="L123" s="598">
        <v>0</v>
      </c>
      <c r="M123" s="4">
        <v>0</v>
      </c>
      <c r="N123" s="4">
        <v>0</v>
      </c>
    </row>
    <row r="124" spans="1:23" ht="15" outlineLevel="1" thickBot="1">
      <c r="A124" s="13" t="s">
        <v>1462</v>
      </c>
      <c r="B124" s="594" t="s">
        <v>667</v>
      </c>
      <c r="C124" s="595"/>
      <c r="D124" s="595"/>
      <c r="E124" s="595"/>
      <c r="F124" s="595"/>
      <c r="G124" s="595"/>
      <c r="H124" s="602"/>
      <c r="I124" s="602"/>
      <c r="J124" s="597"/>
      <c r="K124" s="597"/>
      <c r="L124" s="598">
        <v>0</v>
      </c>
      <c r="M124" s="4">
        <v>0</v>
      </c>
      <c r="N124" s="4">
        <v>0</v>
      </c>
    </row>
    <row r="125" spans="1:23" ht="15" outlineLevel="1" thickBot="1">
      <c r="A125" s="13" t="s">
        <v>1462</v>
      </c>
      <c r="B125" s="594" t="s">
        <v>668</v>
      </c>
      <c r="C125" s="603">
        <v>3100</v>
      </c>
      <c r="D125" s="604">
        <v>3127</v>
      </c>
      <c r="E125" s="604">
        <v>3099</v>
      </c>
      <c r="F125" s="596">
        <v>3104</v>
      </c>
      <c r="G125" s="596">
        <v>0</v>
      </c>
      <c r="H125" s="605">
        <v>0</v>
      </c>
      <c r="I125" s="605"/>
      <c r="J125" s="606"/>
      <c r="K125" s="606"/>
      <c r="L125" s="607">
        <v>0</v>
      </c>
      <c r="M125" s="4">
        <v>0</v>
      </c>
      <c r="N125" s="4">
        <v>0</v>
      </c>
    </row>
    <row r="126" spans="1:23" ht="15" outlineLevel="1" thickBot="1">
      <c r="A126" s="13" t="s">
        <v>1462</v>
      </c>
      <c r="B126" s="594" t="s">
        <v>669</v>
      </c>
      <c r="C126" s="603">
        <v>1219</v>
      </c>
      <c r="D126" s="603">
        <v>1230</v>
      </c>
      <c r="E126" s="603">
        <v>1219</v>
      </c>
      <c r="F126" s="596">
        <v>1220</v>
      </c>
      <c r="G126" s="596">
        <v>1253</v>
      </c>
      <c r="H126" s="596">
        <v>1278</v>
      </c>
      <c r="I126" s="597">
        <v>1274</v>
      </c>
      <c r="J126" s="597">
        <f>1279+136</f>
        <v>1415</v>
      </c>
      <c r="K126" s="597">
        <v>1292</v>
      </c>
      <c r="L126" s="597">
        <v>1334</v>
      </c>
      <c r="M126" s="4">
        <v>1343</v>
      </c>
      <c r="N126" s="4">
        <v>1346</v>
      </c>
    </row>
    <row r="127" spans="1:23" ht="15" outlineLevel="1" thickBot="1">
      <c r="A127" s="13" t="s">
        <v>1462</v>
      </c>
      <c r="B127" s="594" t="s">
        <v>670</v>
      </c>
      <c r="C127" s="603">
        <v>2555</v>
      </c>
      <c r="D127" s="603">
        <v>2576</v>
      </c>
      <c r="E127" s="603">
        <v>2554</v>
      </c>
      <c r="F127" s="596">
        <v>2557</v>
      </c>
      <c r="G127" s="596">
        <v>2626</v>
      </c>
      <c r="H127" s="596">
        <v>2634</v>
      </c>
      <c r="I127" s="597">
        <v>2625</v>
      </c>
      <c r="J127" s="597">
        <v>2649</v>
      </c>
      <c r="K127" s="597">
        <v>2663</v>
      </c>
      <c r="L127" s="597">
        <v>2750</v>
      </c>
      <c r="M127" s="4">
        <v>2768</v>
      </c>
      <c r="N127" s="4">
        <v>3316</v>
      </c>
    </row>
    <row r="128" spans="1:23" ht="15" outlineLevel="1" thickBot="1">
      <c r="A128" s="13" t="s">
        <v>1462</v>
      </c>
      <c r="B128" s="594" t="s">
        <v>1689</v>
      </c>
      <c r="C128" s="603"/>
      <c r="D128" s="603"/>
      <c r="E128" s="603"/>
      <c r="F128" s="596"/>
      <c r="G128" s="596"/>
      <c r="H128" s="596"/>
      <c r="I128" s="597"/>
      <c r="J128" s="597">
        <v>14677</v>
      </c>
      <c r="K128" s="597"/>
      <c r="L128" s="597">
        <v>0</v>
      </c>
      <c r="M128" s="4">
        <v>0</v>
      </c>
      <c r="N128" s="4">
        <v>0</v>
      </c>
    </row>
    <row r="129" spans="1:14" ht="15" outlineLevel="1" thickBot="1">
      <c r="A129" s="13" t="s">
        <v>1462</v>
      </c>
      <c r="B129" s="594" t="s">
        <v>671</v>
      </c>
      <c r="C129" s="603">
        <v>964</v>
      </c>
      <c r="D129" s="603">
        <f>62+1033</f>
        <v>1095</v>
      </c>
      <c r="E129" s="603">
        <v>1024</v>
      </c>
      <c r="F129" s="596">
        <v>1026</v>
      </c>
      <c r="G129" s="596">
        <v>1053</v>
      </c>
      <c r="H129" s="596">
        <v>1074</v>
      </c>
      <c r="I129" s="608">
        <v>1071</v>
      </c>
      <c r="J129" s="608">
        <f>1075+228</f>
        <v>1303</v>
      </c>
      <c r="K129" s="608">
        <v>1086</v>
      </c>
      <c r="L129" s="608">
        <v>1121</v>
      </c>
      <c r="M129" s="4">
        <v>1129</v>
      </c>
      <c r="N129" s="4">
        <v>2699</v>
      </c>
    </row>
    <row r="130" spans="1:14" ht="15" outlineLevel="1" thickBot="1">
      <c r="A130" s="13" t="s">
        <v>1462</v>
      </c>
      <c r="B130" s="594" t="s">
        <v>672</v>
      </c>
      <c r="C130" s="603">
        <v>687</v>
      </c>
      <c r="D130" s="603">
        <f>62+754</f>
        <v>816</v>
      </c>
      <c r="E130" s="603">
        <v>748</v>
      </c>
      <c r="F130" s="596">
        <v>750</v>
      </c>
      <c r="G130" s="596">
        <v>769</v>
      </c>
      <c r="H130" s="596">
        <v>784</v>
      </c>
      <c r="I130" s="608">
        <v>782</v>
      </c>
      <c r="J130" s="608">
        <v>782</v>
      </c>
      <c r="K130" s="608">
        <v>793</v>
      </c>
      <c r="L130" s="608">
        <v>818</v>
      </c>
      <c r="M130" s="4">
        <v>824</v>
      </c>
      <c r="N130" s="4">
        <v>827</v>
      </c>
    </row>
    <row r="131" spans="1:14" ht="15" outlineLevel="1" thickBot="1">
      <c r="A131" s="13" t="s">
        <v>1462</v>
      </c>
      <c r="B131" s="594" t="s">
        <v>673</v>
      </c>
      <c r="C131" s="608">
        <v>3035</v>
      </c>
      <c r="D131" s="608">
        <v>3808</v>
      </c>
      <c r="E131" s="608">
        <v>4551</v>
      </c>
      <c r="F131" s="596"/>
      <c r="G131" s="608"/>
      <c r="H131" s="608"/>
      <c r="I131" s="608"/>
      <c r="J131" s="608"/>
      <c r="K131" s="608"/>
      <c r="L131" s="608">
        <v>0</v>
      </c>
      <c r="M131" s="4">
        <v>0</v>
      </c>
      <c r="N131" s="4">
        <v>0</v>
      </c>
    </row>
    <row r="132" spans="1:14" ht="15" outlineLevel="1" thickBot="1">
      <c r="A132" s="13" t="s">
        <v>1462</v>
      </c>
      <c r="B132" s="594" t="s">
        <v>674</v>
      </c>
      <c r="C132" s="608">
        <v>2400</v>
      </c>
      <c r="D132" s="608">
        <v>4782</v>
      </c>
      <c r="E132" s="608">
        <v>0</v>
      </c>
      <c r="F132" s="608"/>
      <c r="G132" s="608"/>
      <c r="H132" s="608"/>
      <c r="I132" s="608"/>
      <c r="J132" s="608"/>
      <c r="K132" s="608"/>
      <c r="L132" s="608">
        <v>0</v>
      </c>
      <c r="M132" s="4">
        <v>0</v>
      </c>
      <c r="N132" s="4">
        <v>0</v>
      </c>
    </row>
    <row r="133" spans="1:14" ht="15" outlineLevel="1" thickBot="1">
      <c r="A133" s="13" t="s">
        <v>1462</v>
      </c>
      <c r="B133" s="1317" t="s">
        <v>675</v>
      </c>
      <c r="C133" s="1318"/>
      <c r="D133" s="1318">
        <v>1244</v>
      </c>
      <c r="E133" s="1318">
        <v>1233</v>
      </c>
      <c r="F133" s="1318">
        <v>1235</v>
      </c>
      <c r="G133" s="1318">
        <v>1268</v>
      </c>
      <c r="H133" s="1318">
        <v>1292</v>
      </c>
      <c r="I133" s="1318">
        <v>1288</v>
      </c>
      <c r="J133" s="1318">
        <v>1289</v>
      </c>
      <c r="K133" s="1318">
        <v>1307</v>
      </c>
      <c r="L133" s="1318">
        <v>1349</v>
      </c>
      <c r="M133" s="4">
        <v>1358</v>
      </c>
      <c r="N133" s="4">
        <v>2917</v>
      </c>
    </row>
    <row r="134" spans="1:14" ht="15" outlineLevel="1" thickBot="1">
      <c r="A134" s="13" t="s">
        <v>1462</v>
      </c>
      <c r="B134" s="594" t="s">
        <v>1666</v>
      </c>
      <c r="C134" s="1318"/>
      <c r="D134" s="1318"/>
      <c r="E134" s="1318"/>
      <c r="F134" s="1318"/>
      <c r="G134" s="1318"/>
      <c r="H134" s="1318"/>
      <c r="I134" s="1318"/>
      <c r="J134" s="1318">
        <v>1033</v>
      </c>
      <c r="K134" s="1318">
        <v>1047</v>
      </c>
      <c r="L134" s="1318">
        <v>1081</v>
      </c>
      <c r="M134" s="4">
        <v>1088</v>
      </c>
      <c r="N134" s="4">
        <v>1047</v>
      </c>
    </row>
    <row r="135" spans="1:14" ht="15" outlineLevel="1" thickBot="1">
      <c r="A135" s="13" t="s">
        <v>1462</v>
      </c>
      <c r="B135" s="1317" t="s">
        <v>1251</v>
      </c>
      <c r="C135" s="1318"/>
      <c r="D135" s="1318"/>
      <c r="E135" s="1318"/>
      <c r="F135" s="1318">
        <v>1822</v>
      </c>
      <c r="G135" s="1318">
        <v>1871</v>
      </c>
      <c r="H135" s="1318">
        <v>1912</v>
      </c>
      <c r="I135" s="1318">
        <v>1902</v>
      </c>
      <c r="J135" s="1318">
        <v>1903</v>
      </c>
      <c r="K135" s="1318">
        <f>1903+539</f>
        <v>2442</v>
      </c>
      <c r="L135" s="1318">
        <v>2493</v>
      </c>
      <c r="M135" s="4">
        <v>1953</v>
      </c>
      <c r="N135" s="4">
        <v>6269</v>
      </c>
    </row>
    <row r="136" spans="1:14" ht="15" outlineLevel="1" thickBot="1">
      <c r="A136" s="13" t="s">
        <v>1462</v>
      </c>
      <c r="B136" s="594" t="s">
        <v>1886</v>
      </c>
      <c r="C136" s="2446"/>
      <c r="D136" s="2446"/>
      <c r="E136" s="2446"/>
      <c r="F136" s="2446"/>
      <c r="G136" s="2446"/>
      <c r="H136" s="2446"/>
      <c r="I136" s="2446"/>
      <c r="J136" s="2446"/>
      <c r="K136" s="2446"/>
      <c r="L136" s="2446"/>
      <c r="M136" s="4">
        <v>2720</v>
      </c>
      <c r="N136" s="4">
        <v>2647</v>
      </c>
    </row>
    <row r="137" spans="1:14" ht="15" outlineLevel="1" thickBot="1">
      <c r="B137" s="1320" t="s">
        <v>676</v>
      </c>
      <c r="C137" s="2431">
        <f t="shared" ref="C137:L137" si="76">+SUM(C107:C136)</f>
        <v>38256</v>
      </c>
      <c r="D137" s="2431">
        <f t="shared" si="76"/>
        <v>49070</v>
      </c>
      <c r="E137" s="2431">
        <f t="shared" si="76"/>
        <v>38727</v>
      </c>
      <c r="F137" s="2431">
        <f t="shared" si="76"/>
        <v>37569</v>
      </c>
      <c r="G137" s="2431">
        <f t="shared" si="76"/>
        <v>33389</v>
      </c>
      <c r="H137" s="2431">
        <f t="shared" si="76"/>
        <v>33876</v>
      </c>
      <c r="I137" s="2431">
        <f t="shared" si="76"/>
        <v>34015</v>
      </c>
      <c r="J137" s="2431">
        <f t="shared" si="76"/>
        <v>48810</v>
      </c>
      <c r="K137" s="2431">
        <f t="shared" si="76"/>
        <v>32140</v>
      </c>
      <c r="L137" s="2431">
        <f t="shared" si="76"/>
        <v>33155</v>
      </c>
      <c r="M137" s="2431">
        <f>+SUM(M107:M136)</f>
        <v>49896</v>
      </c>
      <c r="N137" s="2431">
        <f>+SUM(N107:N136)</f>
        <v>112817</v>
      </c>
    </row>
    <row r="138" spans="1:14" ht="15" thickBot="1">
      <c r="A138" s="13" t="s">
        <v>1462</v>
      </c>
      <c r="B138" s="1319" t="s">
        <v>677</v>
      </c>
      <c r="C138" s="609"/>
      <c r="D138" s="609"/>
      <c r="E138" s="609">
        <v>0</v>
      </c>
      <c r="F138" s="609">
        <v>14631</v>
      </c>
      <c r="G138" s="609">
        <v>26179</v>
      </c>
      <c r="H138" s="609">
        <v>25002</v>
      </c>
      <c r="I138" s="609">
        <v>56371</v>
      </c>
      <c r="J138" s="609">
        <v>28576</v>
      </c>
      <c r="K138" s="609"/>
      <c r="L138" s="609"/>
      <c r="M138" s="609">
        <v>37270</v>
      </c>
      <c r="N138" s="609">
        <v>38352</v>
      </c>
    </row>
    <row r="139" spans="1:14" ht="15" thickBot="1">
      <c r="B139" s="651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</row>
    <row r="140" spans="1:14" ht="15" thickBot="1">
      <c r="B140" s="613" t="s">
        <v>68</v>
      </c>
      <c r="C140" s="2432">
        <f t="shared" ref="C140:N140" si="77">SUM(C137:C139)</f>
        <v>38256</v>
      </c>
      <c r="D140" s="2432">
        <f t="shared" si="77"/>
        <v>49070</v>
      </c>
      <c r="E140" s="2432">
        <f t="shared" si="77"/>
        <v>38727</v>
      </c>
      <c r="F140" s="2432">
        <f t="shared" si="77"/>
        <v>52200</v>
      </c>
      <c r="G140" s="2432">
        <f>SUM(G137:G139)</f>
        <v>59568</v>
      </c>
      <c r="H140" s="2432">
        <f>SUM(H137:H139)</f>
        <v>58878</v>
      </c>
      <c r="I140" s="2432">
        <f t="shared" si="77"/>
        <v>90386</v>
      </c>
      <c r="J140" s="2432">
        <f t="shared" si="77"/>
        <v>77386</v>
      </c>
      <c r="K140" s="2432">
        <f t="shared" si="77"/>
        <v>32140</v>
      </c>
      <c r="L140" s="2432">
        <f t="shared" si="77"/>
        <v>33155</v>
      </c>
      <c r="M140" s="2432">
        <f t="shared" si="77"/>
        <v>87166</v>
      </c>
      <c r="N140" s="2432">
        <f t="shared" si="77"/>
        <v>151169</v>
      </c>
    </row>
    <row r="141" spans="1:14" ht="15" thickBot="1">
      <c r="A141" s="13" t="s">
        <v>1462</v>
      </c>
      <c r="B141" s="652" t="s">
        <v>69</v>
      </c>
      <c r="C141" s="614">
        <v>4330</v>
      </c>
      <c r="D141" s="614">
        <v>5452</v>
      </c>
      <c r="E141" s="614">
        <v>5916</v>
      </c>
      <c r="F141" s="614">
        <v>5683</v>
      </c>
      <c r="G141" s="614">
        <v>5581</v>
      </c>
      <c r="H141" s="614">
        <v>6721</v>
      </c>
      <c r="I141" s="614">
        <v>4717</v>
      </c>
      <c r="J141" s="614">
        <v>5649</v>
      </c>
      <c r="K141" s="614">
        <v>7170</v>
      </c>
      <c r="L141" s="614">
        <v>4577</v>
      </c>
      <c r="M141" s="614">
        <v>4608</v>
      </c>
      <c r="N141" s="614">
        <v>5211</v>
      </c>
    </row>
    <row r="142" spans="1:14" ht="15" thickBot="1">
      <c r="B142" s="615" t="s">
        <v>31</v>
      </c>
      <c r="C142" s="2433">
        <f t="shared" ref="C142:N142" si="78">SUM(C140:C141)</f>
        <v>42586</v>
      </c>
      <c r="D142" s="2433">
        <f t="shared" si="78"/>
        <v>54522</v>
      </c>
      <c r="E142" s="2433">
        <f t="shared" si="78"/>
        <v>44643</v>
      </c>
      <c r="F142" s="2433">
        <f t="shared" si="78"/>
        <v>57883</v>
      </c>
      <c r="G142" s="2433">
        <f>SUM(G140:G141)</f>
        <v>65149</v>
      </c>
      <c r="H142" s="2433">
        <f>SUM(H140:H141)</f>
        <v>65599</v>
      </c>
      <c r="I142" s="2433">
        <f t="shared" si="78"/>
        <v>95103</v>
      </c>
      <c r="J142" s="2433">
        <f t="shared" si="78"/>
        <v>83035</v>
      </c>
      <c r="K142" s="2433">
        <f t="shared" si="78"/>
        <v>39310</v>
      </c>
      <c r="L142" s="2433">
        <f t="shared" si="78"/>
        <v>37732</v>
      </c>
      <c r="M142" s="2433">
        <f t="shared" si="78"/>
        <v>91774</v>
      </c>
      <c r="N142" s="2433">
        <f t="shared" si="78"/>
        <v>156380</v>
      </c>
    </row>
    <row r="143" spans="1:14" ht="15" thickBot="1">
      <c r="B143" s="616"/>
      <c r="G143" s="578"/>
      <c r="H143" s="578"/>
    </row>
    <row r="144" spans="1:14" ht="15" thickBot="1">
      <c r="B144" s="591" t="s">
        <v>678</v>
      </c>
      <c r="C144" s="592">
        <f t="shared" ref="C144:N144" si="79">C69</f>
        <v>45658</v>
      </c>
      <c r="D144" s="592">
        <f t="shared" si="79"/>
        <v>45689</v>
      </c>
      <c r="E144" s="592">
        <f t="shared" si="79"/>
        <v>45717</v>
      </c>
      <c r="F144" s="592">
        <f t="shared" si="79"/>
        <v>45748</v>
      </c>
      <c r="G144" s="592">
        <f t="shared" si="79"/>
        <v>45778</v>
      </c>
      <c r="H144" s="592">
        <f t="shared" si="79"/>
        <v>45809</v>
      </c>
      <c r="I144" s="592">
        <f t="shared" si="79"/>
        <v>45839</v>
      </c>
      <c r="J144" s="592">
        <f t="shared" si="79"/>
        <v>45870</v>
      </c>
      <c r="K144" s="592">
        <f t="shared" si="79"/>
        <v>45901</v>
      </c>
      <c r="L144" s="592">
        <f t="shared" si="79"/>
        <v>45931</v>
      </c>
      <c r="M144" s="592">
        <f>M69</f>
        <v>45962</v>
      </c>
      <c r="N144" s="592">
        <f t="shared" si="79"/>
        <v>45992</v>
      </c>
    </row>
    <row r="145" spans="1:14" ht="16" thickBot="1">
      <c r="B145" s="617" t="s">
        <v>38</v>
      </c>
      <c r="C145" s="4" t="s">
        <v>444</v>
      </c>
      <c r="D145" s="4" t="s">
        <v>444</v>
      </c>
      <c r="E145" s="4" t="s">
        <v>444</v>
      </c>
      <c r="F145" s="4" t="s">
        <v>444</v>
      </c>
      <c r="G145" s="4" t="s">
        <v>444</v>
      </c>
      <c r="H145" s="4" t="s">
        <v>444</v>
      </c>
      <c r="I145" s="4" t="s">
        <v>444</v>
      </c>
      <c r="J145" s="4" t="s">
        <v>444</v>
      </c>
      <c r="K145" s="4" t="s">
        <v>444</v>
      </c>
      <c r="L145" s="4" t="s">
        <v>444</v>
      </c>
      <c r="M145" s="4" t="s">
        <v>444</v>
      </c>
      <c r="N145" s="4" t="s">
        <v>444</v>
      </c>
    </row>
    <row r="146" spans="1:14" ht="15" thickBot="1">
      <c r="A146" s="13" t="s">
        <v>1462</v>
      </c>
      <c r="B146" s="618" t="s">
        <v>679</v>
      </c>
      <c r="C146" s="1613">
        <v>94</v>
      </c>
      <c r="D146" s="1613">
        <v>0</v>
      </c>
      <c r="E146" s="1613">
        <v>94</v>
      </c>
      <c r="F146" s="1613">
        <v>95</v>
      </c>
      <c r="G146" s="1613"/>
      <c r="H146" s="1613">
        <v>197</v>
      </c>
      <c r="I146" s="1851">
        <v>99</v>
      </c>
      <c r="J146" s="1614">
        <v>102</v>
      </c>
      <c r="K146" s="1615">
        <v>100</v>
      </c>
      <c r="L146" s="1615">
        <v>103</v>
      </c>
      <c r="M146" s="1615">
        <v>103.64</v>
      </c>
      <c r="N146" s="1615">
        <v>104</v>
      </c>
    </row>
    <row r="147" spans="1:14" ht="15" outlineLevel="1" thickBot="1">
      <c r="A147" s="13" t="s">
        <v>1462</v>
      </c>
      <c r="B147" s="618" t="s">
        <v>680</v>
      </c>
      <c r="C147" s="1616"/>
      <c r="D147" s="1616"/>
      <c r="E147" s="1616"/>
      <c r="F147" s="1616"/>
      <c r="G147" s="1616"/>
      <c r="H147" s="1617"/>
      <c r="I147" s="1852"/>
      <c r="J147" s="1617"/>
      <c r="K147" s="1617"/>
      <c r="L147" s="1617">
        <v>0</v>
      </c>
      <c r="M147" s="1617">
        <v>0</v>
      </c>
      <c r="N147" s="1617">
        <v>0</v>
      </c>
    </row>
    <row r="148" spans="1:14" ht="15" outlineLevel="1" thickBot="1">
      <c r="A148" s="13" t="s">
        <v>1462</v>
      </c>
      <c r="B148" s="618" t="s">
        <v>681</v>
      </c>
      <c r="C148" s="1616">
        <v>1210</v>
      </c>
      <c r="D148" s="1616">
        <v>0</v>
      </c>
      <c r="E148" s="1616"/>
      <c r="F148" s="1616"/>
      <c r="G148" s="1616"/>
      <c r="H148" s="1617"/>
      <c r="I148" s="1853"/>
      <c r="J148" s="1617"/>
      <c r="K148" s="1617"/>
      <c r="L148" s="1617">
        <v>0</v>
      </c>
      <c r="M148" s="1617">
        <v>0</v>
      </c>
      <c r="N148" s="1617">
        <v>0</v>
      </c>
    </row>
    <row r="149" spans="1:14" ht="15" outlineLevel="1" thickBot="1">
      <c r="A149" s="13" t="s">
        <v>1462</v>
      </c>
      <c r="B149" s="618" t="s">
        <v>682</v>
      </c>
      <c r="C149" s="1616">
        <v>1479</v>
      </c>
      <c r="D149" s="1616">
        <v>0</v>
      </c>
      <c r="E149" s="1616"/>
      <c r="F149" s="1616"/>
      <c r="G149" s="1616"/>
      <c r="H149" s="1617"/>
      <c r="I149" s="1852"/>
      <c r="J149" s="1617"/>
      <c r="K149" s="1617"/>
      <c r="L149" s="1617">
        <v>0</v>
      </c>
      <c r="M149" s="1617">
        <v>0</v>
      </c>
      <c r="N149" s="1617">
        <v>0</v>
      </c>
    </row>
    <row r="150" spans="1:14" ht="15" outlineLevel="1" thickBot="1">
      <c r="A150" s="13" t="s">
        <v>1462</v>
      </c>
      <c r="B150" s="618" t="s">
        <v>683</v>
      </c>
      <c r="C150" s="1616">
        <v>201</v>
      </c>
      <c r="D150" s="1616">
        <v>1220</v>
      </c>
      <c r="E150" s="1616">
        <v>1210</v>
      </c>
      <c r="F150" s="1616">
        <v>1211</v>
      </c>
      <c r="G150" s="1616">
        <v>1244</v>
      </c>
      <c r="H150" s="1616">
        <v>1268</v>
      </c>
      <c r="I150" s="1854">
        <v>1264</v>
      </c>
      <c r="J150" s="1617"/>
      <c r="K150" s="1617"/>
      <c r="L150" s="1617">
        <v>0</v>
      </c>
      <c r="M150" s="1617">
        <v>0</v>
      </c>
      <c r="N150" s="1617">
        <v>0</v>
      </c>
    </row>
    <row r="151" spans="1:14" ht="15" outlineLevel="1" thickBot="1">
      <c r="A151" s="13" t="s">
        <v>1462</v>
      </c>
      <c r="B151" s="618" t="s">
        <v>684</v>
      </c>
      <c r="C151" s="1616">
        <v>726</v>
      </c>
      <c r="D151" s="1616">
        <v>312</v>
      </c>
      <c r="E151" s="1616">
        <v>713</v>
      </c>
      <c r="F151" s="1616">
        <v>215.3</v>
      </c>
      <c r="G151" s="1616">
        <v>0</v>
      </c>
      <c r="H151" s="1616">
        <v>0</v>
      </c>
      <c r="I151" s="1855"/>
      <c r="J151" s="1617"/>
      <c r="K151" s="1617"/>
      <c r="L151" s="1617">
        <v>0</v>
      </c>
      <c r="M151" s="1617">
        <v>0</v>
      </c>
      <c r="N151" s="1617">
        <v>2376</v>
      </c>
    </row>
    <row r="152" spans="1:14" ht="15" outlineLevel="1" thickBot="1">
      <c r="A152" s="13" t="s">
        <v>1462</v>
      </c>
      <c r="B152" s="618" t="s">
        <v>685</v>
      </c>
      <c r="C152" s="1616"/>
      <c r="D152" s="1616"/>
      <c r="E152" s="1616"/>
      <c r="F152" s="1616"/>
      <c r="G152" s="1616"/>
      <c r="H152" s="1617"/>
      <c r="I152" s="1853"/>
      <c r="J152" s="1617"/>
      <c r="K152" s="1617"/>
      <c r="L152" s="1617">
        <v>0</v>
      </c>
      <c r="M152" s="1617">
        <v>0</v>
      </c>
      <c r="N152" s="1617">
        <v>0</v>
      </c>
    </row>
    <row r="153" spans="1:14" ht="15" outlineLevel="1" thickBot="1">
      <c r="A153" s="13" t="s">
        <v>1462</v>
      </c>
      <c r="B153" s="618" t="s">
        <v>686</v>
      </c>
      <c r="C153" s="1616"/>
      <c r="D153" s="1616">
        <v>447</v>
      </c>
      <c r="E153" s="1616">
        <v>403</v>
      </c>
      <c r="F153" s="1616">
        <v>404</v>
      </c>
      <c r="G153" s="1616">
        <v>415</v>
      </c>
      <c r="H153" s="1616">
        <v>423</v>
      </c>
      <c r="I153" s="1855">
        <v>421</v>
      </c>
      <c r="J153" s="1617">
        <v>421</v>
      </c>
      <c r="K153" s="1617">
        <v>427</v>
      </c>
      <c r="L153" s="1617">
        <v>441</v>
      </c>
      <c r="M153" s="1617">
        <v>444</v>
      </c>
      <c r="N153" s="1617">
        <v>742</v>
      </c>
    </row>
    <row r="154" spans="1:14" ht="15" outlineLevel="1" thickBot="1">
      <c r="A154" s="13" t="s">
        <v>1462</v>
      </c>
      <c r="B154" s="618" t="s">
        <v>1277</v>
      </c>
      <c r="C154" s="1616"/>
      <c r="D154" s="1616"/>
      <c r="E154" s="1616"/>
      <c r="F154" s="1616">
        <v>1004</v>
      </c>
      <c r="G154" s="1616">
        <v>1105</v>
      </c>
      <c r="H154" s="1616">
        <v>1127</v>
      </c>
      <c r="I154" s="1854">
        <v>1544</v>
      </c>
      <c r="J154" s="1617">
        <v>1546</v>
      </c>
      <c r="K154" s="1617">
        <v>1566</v>
      </c>
      <c r="L154" s="1617">
        <v>1618</v>
      </c>
      <c r="M154" s="1617">
        <v>0</v>
      </c>
      <c r="N154" s="1617">
        <v>0</v>
      </c>
    </row>
    <row r="155" spans="1:14" ht="15" outlineLevel="1" thickBot="1">
      <c r="A155" s="13" t="s">
        <v>1462</v>
      </c>
      <c r="B155" s="618" t="s">
        <v>1278</v>
      </c>
      <c r="C155" s="1616"/>
      <c r="D155" s="1616"/>
      <c r="E155" s="1616"/>
      <c r="F155" s="1616">
        <v>484</v>
      </c>
      <c r="G155" s="1616">
        <v>0</v>
      </c>
      <c r="H155" s="1616">
        <v>0</v>
      </c>
      <c r="I155" s="1855"/>
      <c r="J155" s="1617"/>
      <c r="K155" s="1617"/>
      <c r="L155" s="1617">
        <v>0</v>
      </c>
      <c r="M155" s="1617">
        <v>0</v>
      </c>
      <c r="N155" s="1617">
        <v>0</v>
      </c>
    </row>
    <row r="156" spans="1:14" ht="15" outlineLevel="1" thickBot="1">
      <c r="A156" s="13" t="s">
        <v>1462</v>
      </c>
      <c r="B156" s="1602" t="s">
        <v>1364</v>
      </c>
      <c r="C156" s="1616"/>
      <c r="D156" s="1616"/>
      <c r="E156" s="1616"/>
      <c r="F156" s="1616"/>
      <c r="G156" s="1616">
        <v>828</v>
      </c>
      <c r="H156" s="1616">
        <v>423</v>
      </c>
      <c r="I156" s="1854">
        <v>422</v>
      </c>
      <c r="J156" s="1617">
        <v>422</v>
      </c>
      <c r="K156" s="1617">
        <v>427</v>
      </c>
      <c r="L156" s="1617">
        <v>735</v>
      </c>
      <c r="M156" s="1617">
        <v>0</v>
      </c>
      <c r="N156" s="1617">
        <v>0</v>
      </c>
    </row>
    <row r="157" spans="1:14" ht="15" outlineLevel="1" thickBot="1">
      <c r="A157" s="13" t="s">
        <v>1462</v>
      </c>
      <c r="B157" s="618" t="s">
        <v>1021</v>
      </c>
      <c r="C157" s="1616"/>
      <c r="D157" s="1616"/>
      <c r="E157" s="1616">
        <v>5402</v>
      </c>
      <c r="F157" s="1616">
        <v>2422</v>
      </c>
      <c r="G157" s="1616">
        <v>0</v>
      </c>
      <c r="H157" s="1616">
        <v>0</v>
      </c>
      <c r="I157" s="1855"/>
      <c r="J157" s="1617"/>
      <c r="K157" s="1617"/>
      <c r="L157" s="1617">
        <v>0</v>
      </c>
      <c r="M157" s="1617">
        <v>0</v>
      </c>
      <c r="N157" s="1617">
        <v>0</v>
      </c>
    </row>
    <row r="158" spans="1:14" ht="15" outlineLevel="1" thickBot="1">
      <c r="A158" s="13" t="s">
        <v>1462</v>
      </c>
      <c r="B158" s="2206" t="s">
        <v>1888</v>
      </c>
      <c r="C158" s="2447"/>
      <c r="D158" s="2447"/>
      <c r="E158" s="2447"/>
      <c r="F158" s="2447"/>
      <c r="G158" s="2447"/>
      <c r="H158" s="2447"/>
      <c r="I158" s="2448"/>
      <c r="J158" s="2449"/>
      <c r="K158" s="2449"/>
      <c r="L158" s="2449"/>
      <c r="M158" s="1617">
        <v>1481</v>
      </c>
      <c r="N158" s="2449">
        <v>0</v>
      </c>
    </row>
    <row r="159" spans="1:14" ht="15" outlineLevel="1" thickBot="1">
      <c r="A159" s="13" t="s">
        <v>1462</v>
      </c>
      <c r="B159" s="618" t="s">
        <v>1488</v>
      </c>
      <c r="C159" s="1616"/>
      <c r="D159" s="1616"/>
      <c r="E159" s="1616"/>
      <c r="F159" s="1616"/>
      <c r="G159" s="1616"/>
      <c r="H159" s="1616"/>
      <c r="I159" s="1854">
        <v>566</v>
      </c>
      <c r="J159" s="1617">
        <v>1770</v>
      </c>
      <c r="K159" s="1617"/>
      <c r="L159" s="1617">
        <v>0</v>
      </c>
      <c r="M159" s="1617">
        <v>0</v>
      </c>
      <c r="N159" s="1617">
        <v>0</v>
      </c>
    </row>
    <row r="160" spans="1:14" ht="15" outlineLevel="1" thickBot="1">
      <c r="A160" s="13" t="s">
        <v>1462</v>
      </c>
      <c r="B160" s="618" t="s">
        <v>1690</v>
      </c>
      <c r="C160" s="1616"/>
      <c r="D160" s="1616"/>
      <c r="E160" s="1616"/>
      <c r="F160" s="1616"/>
      <c r="G160" s="1616"/>
      <c r="H160" s="1616"/>
      <c r="I160" s="1854"/>
      <c r="J160" s="1617">
        <v>1777</v>
      </c>
      <c r="K160" s="1617">
        <v>1994</v>
      </c>
      <c r="L160" s="1617">
        <v>0</v>
      </c>
      <c r="M160" s="1617">
        <v>0</v>
      </c>
      <c r="N160" s="1617">
        <v>0</v>
      </c>
    </row>
    <row r="161" spans="1:14" ht="15" outlineLevel="1" thickBot="1">
      <c r="A161" s="13" t="s">
        <v>1462</v>
      </c>
      <c r="B161" s="618" t="s">
        <v>1489</v>
      </c>
      <c r="C161" s="1616"/>
      <c r="D161" s="1616"/>
      <c r="E161" s="1616"/>
      <c r="F161" s="1616"/>
      <c r="G161" s="1616"/>
      <c r="H161" s="1616"/>
      <c r="I161" s="1855">
        <v>1348</v>
      </c>
      <c r="J161" s="1617">
        <v>1124</v>
      </c>
      <c r="K161" s="1617">
        <v>1139</v>
      </c>
      <c r="L161" s="1617">
        <v>1176</v>
      </c>
      <c r="M161" s="1617">
        <v>1184</v>
      </c>
      <c r="N161" s="1617">
        <v>1484</v>
      </c>
    </row>
    <row r="162" spans="1:14" ht="15" outlineLevel="1" thickBot="1">
      <c r="A162" s="13" t="s">
        <v>1462</v>
      </c>
      <c r="B162" s="2206" t="s">
        <v>1786</v>
      </c>
      <c r="C162" s="2207"/>
      <c r="D162" s="2207"/>
      <c r="E162" s="2207"/>
      <c r="F162" s="2207"/>
      <c r="G162" s="2207"/>
      <c r="H162" s="2207"/>
      <c r="I162" s="2208"/>
      <c r="J162" s="2209"/>
      <c r="K162" s="2209">
        <v>427</v>
      </c>
      <c r="L162" s="2209">
        <v>0</v>
      </c>
      <c r="M162" s="2209">
        <v>1184</v>
      </c>
      <c r="N162" s="2209">
        <v>0</v>
      </c>
    </row>
    <row r="163" spans="1:14" ht="15" outlineLevel="1" thickBot="1">
      <c r="A163" s="13" t="s">
        <v>1462</v>
      </c>
      <c r="B163" s="2206" t="s">
        <v>1787</v>
      </c>
      <c r="C163" s="2207"/>
      <c r="D163" s="2207"/>
      <c r="E163" s="2207"/>
      <c r="F163" s="2207"/>
      <c r="G163" s="2207"/>
      <c r="H163" s="2207"/>
      <c r="I163" s="2208"/>
      <c r="J163" s="2209"/>
      <c r="K163" s="2209">
        <v>263</v>
      </c>
      <c r="L163" s="2209">
        <v>0</v>
      </c>
      <c r="M163" s="2209">
        <v>0</v>
      </c>
      <c r="N163" s="2209">
        <v>0</v>
      </c>
    </row>
    <row r="164" spans="1:14" ht="15" outlineLevel="1" thickBot="1">
      <c r="A164" s="13" t="s">
        <v>1462</v>
      </c>
      <c r="B164" s="618" t="s">
        <v>1887</v>
      </c>
      <c r="C164" s="1616"/>
      <c r="D164" s="1616"/>
      <c r="E164" s="1616"/>
      <c r="F164" s="1616"/>
      <c r="G164" s="1616"/>
      <c r="H164" s="1616"/>
      <c r="I164" s="1854"/>
      <c r="J164" s="1617"/>
      <c r="K164" s="1617"/>
      <c r="L164" s="1617"/>
      <c r="M164" s="1617">
        <v>2476</v>
      </c>
      <c r="N164" s="1617">
        <v>1799</v>
      </c>
    </row>
    <row r="165" spans="1:14" ht="15" outlineLevel="1" thickBot="1">
      <c r="B165" s="617" t="s">
        <v>687</v>
      </c>
      <c r="C165" s="2434">
        <f t="shared" ref="C165:N165" si="80">+SUM(C146:C164)</f>
        <v>3710</v>
      </c>
      <c r="D165" s="2434">
        <f t="shared" si="80"/>
        <v>1979</v>
      </c>
      <c r="E165" s="2434">
        <f t="shared" si="80"/>
        <v>7822</v>
      </c>
      <c r="F165" s="2434">
        <f t="shared" si="80"/>
        <v>5835.3</v>
      </c>
      <c r="G165" s="2434">
        <f t="shared" si="80"/>
        <v>3592</v>
      </c>
      <c r="H165" s="2434">
        <f t="shared" si="80"/>
        <v>3438</v>
      </c>
      <c r="I165" s="2434">
        <f t="shared" si="80"/>
        <v>5664</v>
      </c>
      <c r="J165" s="2434">
        <f t="shared" si="80"/>
        <v>7162</v>
      </c>
      <c r="K165" s="2434">
        <f t="shared" si="80"/>
        <v>6343</v>
      </c>
      <c r="L165" s="2434">
        <f t="shared" si="80"/>
        <v>4073</v>
      </c>
      <c r="M165" s="2434">
        <f>+SUM(M146:M164)</f>
        <v>6872.6399999999994</v>
      </c>
      <c r="N165" s="2434">
        <f t="shared" si="80"/>
        <v>6505</v>
      </c>
    </row>
    <row r="166" spans="1:14" ht="15" thickBot="1">
      <c r="A166" s="13" t="s">
        <v>1463</v>
      </c>
      <c r="B166" s="617" t="s">
        <v>690</v>
      </c>
      <c r="C166" s="1618">
        <v>886</v>
      </c>
      <c r="D166" s="1618">
        <v>0</v>
      </c>
      <c r="E166" s="1618"/>
      <c r="F166" s="1618"/>
      <c r="G166" s="1618"/>
      <c r="H166" s="1619"/>
      <c r="I166" s="1619"/>
      <c r="J166" s="1619"/>
      <c r="K166" s="1618"/>
      <c r="L166" s="1618">
        <v>0</v>
      </c>
      <c r="M166" s="1618">
        <v>0</v>
      </c>
      <c r="N166" s="1618">
        <v>0</v>
      </c>
    </row>
    <row r="167" spans="1:14" ht="15" thickBot="1">
      <c r="A167" s="13" t="s">
        <v>1463</v>
      </c>
      <c r="B167" s="617" t="s">
        <v>733</v>
      </c>
      <c r="C167" s="1618">
        <v>1770</v>
      </c>
      <c r="D167" s="1618">
        <v>0</v>
      </c>
      <c r="E167" s="1618">
        <v>0</v>
      </c>
      <c r="F167" s="1618"/>
      <c r="G167" s="1619"/>
      <c r="H167" s="1619"/>
      <c r="I167" s="1619"/>
      <c r="J167" s="1619"/>
      <c r="K167" s="1618"/>
      <c r="L167" s="1618">
        <v>0</v>
      </c>
      <c r="M167" s="1618">
        <v>0</v>
      </c>
      <c r="N167" s="1618">
        <v>0</v>
      </c>
    </row>
    <row r="168" spans="1:14" ht="15" thickBot="1">
      <c r="A168" s="13" t="s">
        <v>1463</v>
      </c>
      <c r="B168" s="617" t="s">
        <v>691</v>
      </c>
      <c r="C168" s="1618"/>
      <c r="D168" s="1618">
        <v>700</v>
      </c>
      <c r="E168" s="1618"/>
      <c r="F168" s="1618"/>
      <c r="G168" s="1619"/>
      <c r="H168" s="1619"/>
      <c r="I168" s="1619"/>
      <c r="J168" s="1619"/>
      <c r="K168" s="1618"/>
      <c r="L168" s="1618">
        <v>0</v>
      </c>
      <c r="M168" s="1618">
        <v>0</v>
      </c>
      <c r="N168" s="1618">
        <v>0</v>
      </c>
    </row>
    <row r="169" spans="1:14" ht="15" thickBot="1">
      <c r="A169" s="13" t="s">
        <v>1463</v>
      </c>
      <c r="B169" s="617" t="s">
        <v>1252</v>
      </c>
      <c r="C169" s="1618"/>
      <c r="D169" s="1618"/>
      <c r="E169" s="1618"/>
      <c r="F169" s="1618">
        <v>6282</v>
      </c>
      <c r="G169" s="1619">
        <v>0</v>
      </c>
      <c r="H169" s="1619"/>
      <c r="I169" s="1619"/>
      <c r="J169" s="1619"/>
      <c r="K169" s="1618"/>
      <c r="L169" s="1618">
        <v>0</v>
      </c>
      <c r="M169" s="1618">
        <v>0</v>
      </c>
      <c r="N169" s="1618">
        <v>0</v>
      </c>
    </row>
    <row r="170" spans="1:14" ht="15" thickBot="1">
      <c r="A170" s="13" t="s">
        <v>1463</v>
      </c>
      <c r="B170" s="617" t="s">
        <v>1325</v>
      </c>
      <c r="C170" s="1618"/>
      <c r="D170" s="1618"/>
      <c r="E170" s="1618"/>
      <c r="F170" s="1618"/>
      <c r="G170" s="1619">
        <v>1781</v>
      </c>
      <c r="H170" s="1619"/>
      <c r="I170" s="1619"/>
      <c r="J170" s="1619"/>
      <c r="K170" s="1618"/>
      <c r="L170" s="1618">
        <v>0</v>
      </c>
      <c r="M170" s="1618">
        <v>0</v>
      </c>
      <c r="N170" s="1618">
        <v>0</v>
      </c>
    </row>
    <row r="171" spans="1:14" ht="15" thickBot="1">
      <c r="A171" s="2331" t="s">
        <v>1463</v>
      </c>
      <c r="B171" s="617" t="s">
        <v>1279</v>
      </c>
      <c r="C171" s="1618"/>
      <c r="D171" s="1618"/>
      <c r="E171" s="1618"/>
      <c r="F171" s="1618">
        <v>21204</v>
      </c>
      <c r="G171" s="1619"/>
      <c r="H171" s="1619"/>
      <c r="I171" s="1619"/>
      <c r="J171" s="1619"/>
      <c r="K171" s="1618"/>
      <c r="L171" s="1618">
        <v>0</v>
      </c>
      <c r="M171" s="1618">
        <v>0</v>
      </c>
      <c r="N171" s="1618">
        <v>0</v>
      </c>
    </row>
    <row r="172" spans="1:14" ht="15" thickBot="1">
      <c r="A172" s="2331" t="s">
        <v>1463</v>
      </c>
      <c r="B172" s="617" t="s">
        <v>1326</v>
      </c>
      <c r="C172" s="1618"/>
      <c r="D172" s="1618"/>
      <c r="E172" s="1618"/>
      <c r="F172" s="1618"/>
      <c r="G172" s="1619">
        <v>2434</v>
      </c>
      <c r="H172" s="1619">
        <v>21204</v>
      </c>
      <c r="I172" s="1619">
        <v>52800</v>
      </c>
      <c r="J172" s="1619">
        <v>63485</v>
      </c>
      <c r="K172" s="1618">
        <v>17057</v>
      </c>
      <c r="L172" s="1618">
        <v>0</v>
      </c>
      <c r="M172" s="1618">
        <v>0</v>
      </c>
      <c r="N172" s="1618">
        <v>0</v>
      </c>
    </row>
    <row r="173" spans="1:14" ht="15" thickBot="1">
      <c r="A173" s="13" t="s">
        <v>1463</v>
      </c>
      <c r="B173" s="1603" t="s">
        <v>1365</v>
      </c>
      <c r="C173" s="1618"/>
      <c r="D173" s="1618"/>
      <c r="E173" s="1618"/>
      <c r="F173" s="1618"/>
      <c r="G173" s="1619">
        <v>5903</v>
      </c>
      <c r="H173" s="1619">
        <v>1971</v>
      </c>
      <c r="I173" s="1619"/>
      <c r="J173" s="1619"/>
      <c r="K173" s="1618"/>
      <c r="L173" s="1618">
        <v>0</v>
      </c>
      <c r="M173" s="1618">
        <v>0</v>
      </c>
      <c r="N173" s="1618">
        <v>0</v>
      </c>
    </row>
    <row r="174" spans="1:14" ht="15" thickBot="1">
      <c r="A174" s="2331" t="s">
        <v>1463</v>
      </c>
      <c r="B174" s="617" t="s">
        <v>1327</v>
      </c>
      <c r="C174" s="1618"/>
      <c r="D174" s="1618"/>
      <c r="E174" s="1618"/>
      <c r="F174" s="1618"/>
      <c r="G174" s="1619">
        <v>11396</v>
      </c>
      <c r="H174" s="1619">
        <v>1608</v>
      </c>
      <c r="I174" s="1619">
        <v>11901</v>
      </c>
      <c r="J174" s="1619">
        <v>1633</v>
      </c>
      <c r="K174" s="1618">
        <v>5585</v>
      </c>
      <c r="L174" s="1618">
        <v>794</v>
      </c>
      <c r="M174" s="1618">
        <v>0</v>
      </c>
      <c r="N174" s="1618">
        <v>0</v>
      </c>
    </row>
    <row r="175" spans="1:14" ht="15" thickBot="1">
      <c r="A175" s="13" t="s">
        <v>1463</v>
      </c>
      <c r="B175" s="617" t="s">
        <v>1328</v>
      </c>
      <c r="C175" s="1618"/>
      <c r="D175" s="1618"/>
      <c r="E175" s="1618"/>
      <c r="F175" s="1618"/>
      <c r="G175" s="1619"/>
      <c r="H175" s="1619">
        <v>25794</v>
      </c>
      <c r="I175" s="1619"/>
      <c r="J175" s="1619"/>
      <c r="K175" s="1618"/>
      <c r="L175" s="1618">
        <v>0</v>
      </c>
      <c r="M175" s="1618">
        <v>0</v>
      </c>
      <c r="N175" s="1618">
        <v>0</v>
      </c>
    </row>
    <row r="176" spans="1:14" ht="15" thickBot="1">
      <c r="A176" s="13" t="s">
        <v>1463</v>
      </c>
      <c r="B176" s="617" t="s">
        <v>1329</v>
      </c>
      <c r="C176" s="1618"/>
      <c r="D176" s="1618"/>
      <c r="E176" s="1618"/>
      <c r="F176" s="1618"/>
      <c r="G176" s="1619"/>
      <c r="H176" s="1619">
        <v>4000</v>
      </c>
      <c r="I176" s="1619"/>
      <c r="J176" s="1619">
        <v>7351</v>
      </c>
      <c r="K176" s="1618">
        <v>1007</v>
      </c>
      <c r="L176" s="1618">
        <v>0</v>
      </c>
      <c r="M176" s="1618">
        <v>0</v>
      </c>
      <c r="N176" s="1618">
        <v>0</v>
      </c>
    </row>
    <row r="177" spans="1:14" ht="15" thickBot="1">
      <c r="A177" s="13" t="s">
        <v>1463</v>
      </c>
      <c r="B177" s="2372" t="s">
        <v>1842</v>
      </c>
      <c r="C177" s="1618"/>
      <c r="D177" s="1618"/>
      <c r="E177" s="1618"/>
      <c r="F177" s="1618"/>
      <c r="G177" s="1619"/>
      <c r="H177" s="1619"/>
      <c r="I177" s="1619"/>
      <c r="J177" s="1619"/>
      <c r="K177" s="1618"/>
      <c r="L177" s="1618">
        <v>3000</v>
      </c>
      <c r="M177" s="1618">
        <v>0</v>
      </c>
      <c r="N177" s="1618">
        <v>0</v>
      </c>
    </row>
    <row r="178" spans="1:14" ht="15" thickBot="1">
      <c r="A178" s="13" t="s">
        <v>1463</v>
      </c>
      <c r="B178" s="2372" t="s">
        <v>1843</v>
      </c>
      <c r="C178" s="1618"/>
      <c r="D178" s="1618"/>
      <c r="E178" s="1618"/>
      <c r="F178" s="1618"/>
      <c r="G178" s="1619"/>
      <c r="H178" s="1619"/>
      <c r="I178" s="1619"/>
      <c r="J178" s="1619"/>
      <c r="K178" s="1618"/>
      <c r="L178" s="1618">
        <v>4154</v>
      </c>
      <c r="M178" s="1618">
        <v>1442</v>
      </c>
      <c r="N178" s="1618">
        <v>0</v>
      </c>
    </row>
    <row r="179" spans="1:14" ht="15" thickBot="1">
      <c r="A179" s="13" t="s">
        <v>1463</v>
      </c>
      <c r="B179" s="2372" t="s">
        <v>1844</v>
      </c>
      <c r="C179" s="1618"/>
      <c r="D179" s="1618"/>
      <c r="E179" s="1618"/>
      <c r="F179" s="1618"/>
      <c r="G179" s="1619"/>
      <c r="H179" s="1619"/>
      <c r="I179" s="1619"/>
      <c r="J179" s="1619"/>
      <c r="K179" s="1618"/>
      <c r="L179" s="1618">
        <v>6230</v>
      </c>
      <c r="M179" s="1618">
        <v>0</v>
      </c>
      <c r="N179" s="1618">
        <v>0</v>
      </c>
    </row>
    <row r="180" spans="1:14" ht="15" thickBot="1">
      <c r="A180" s="13" t="s">
        <v>1463</v>
      </c>
      <c r="B180" s="1603" t="s">
        <v>1913</v>
      </c>
      <c r="C180" s="2485"/>
      <c r="D180" s="2485"/>
      <c r="E180" s="2485"/>
      <c r="F180" s="2485"/>
      <c r="G180" s="2486"/>
      <c r="H180" s="2486"/>
      <c r="I180" s="2486"/>
      <c r="J180" s="2486"/>
      <c r="K180" s="2485"/>
      <c r="L180" s="2485"/>
      <c r="M180" s="2485"/>
      <c r="N180" s="2485">
        <v>10314</v>
      </c>
    </row>
    <row r="181" spans="1:14" ht="15" thickBot="1">
      <c r="A181" s="13" t="s">
        <v>1463</v>
      </c>
      <c r="B181" s="1603" t="s">
        <v>1914</v>
      </c>
      <c r="C181" s="2485"/>
      <c r="D181" s="2485"/>
      <c r="E181" s="2485"/>
      <c r="F181" s="2485"/>
      <c r="G181" s="2486"/>
      <c r="H181" s="2486"/>
      <c r="I181" s="2486"/>
      <c r="J181" s="2486"/>
      <c r="K181" s="2485"/>
      <c r="L181" s="2485"/>
      <c r="M181" s="2485"/>
      <c r="N181" s="2485">
        <v>4500</v>
      </c>
    </row>
    <row r="182" spans="1:14" ht="15" thickBot="1">
      <c r="B182" s="621" t="s">
        <v>31</v>
      </c>
      <c r="C182" s="2433">
        <f>SUM(C165:C169)</f>
        <v>6366</v>
      </c>
      <c r="D182" s="2433">
        <f>SUM(D165:D169)</f>
        <v>2679</v>
      </c>
      <c r="E182" s="2433">
        <f>SUM(E165:E169)</f>
        <v>7822</v>
      </c>
      <c r="F182" s="2433">
        <f>SUM(F165:F176)</f>
        <v>33321.300000000003</v>
      </c>
      <c r="G182" s="2433">
        <f>SUM(G165:G176)</f>
        <v>25106</v>
      </c>
      <c r="H182" s="2433">
        <f>SUM(H165:H176)</f>
        <v>58015</v>
      </c>
      <c r="I182" s="2435">
        <f t="shared" ref="I182:K182" si="81">SUM(I165:I176)</f>
        <v>70365</v>
      </c>
      <c r="J182" s="2435">
        <f>SUM(J165:J176)</f>
        <v>79631</v>
      </c>
      <c r="K182" s="2433">
        <f t="shared" si="81"/>
        <v>29992</v>
      </c>
      <c r="L182" s="2433">
        <f>SUM(L165:L179)</f>
        <v>18251</v>
      </c>
      <c r="M182" s="2433">
        <f t="shared" ref="M182" si="82">SUM(M165:M179)</f>
        <v>8314.64</v>
      </c>
      <c r="N182" s="2433">
        <f>SUM(N165:N181)</f>
        <v>21319</v>
      </c>
    </row>
    <row r="183" spans="1:14" ht="15" thickBot="1">
      <c r="B183" s="579"/>
      <c r="D183" s="622"/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</row>
    <row r="184" spans="1:14" ht="15" thickBot="1">
      <c r="B184" s="591" t="s">
        <v>9</v>
      </c>
      <c r="C184" s="592">
        <f t="shared" ref="C184:N184" si="83">C69</f>
        <v>45658</v>
      </c>
      <c r="D184" s="592">
        <f t="shared" si="83"/>
        <v>45689</v>
      </c>
      <c r="E184" s="592">
        <f t="shared" si="83"/>
        <v>45717</v>
      </c>
      <c r="F184" s="592">
        <f t="shared" si="83"/>
        <v>45748</v>
      </c>
      <c r="G184" s="592">
        <f t="shared" si="83"/>
        <v>45778</v>
      </c>
      <c r="H184" s="592">
        <f t="shared" si="83"/>
        <v>45809</v>
      </c>
      <c r="I184" s="592">
        <f t="shared" si="83"/>
        <v>45839</v>
      </c>
      <c r="J184" s="592">
        <f t="shared" si="83"/>
        <v>45870</v>
      </c>
      <c r="K184" s="592">
        <f t="shared" si="83"/>
        <v>45901</v>
      </c>
      <c r="L184" s="592">
        <f t="shared" si="83"/>
        <v>45931</v>
      </c>
      <c r="M184" s="592">
        <f>M69</f>
        <v>45962</v>
      </c>
      <c r="N184" s="592">
        <f t="shared" si="83"/>
        <v>45992</v>
      </c>
    </row>
    <row r="185" spans="1:14" ht="15" thickBot="1">
      <c r="B185" s="610" t="s">
        <v>692</v>
      </c>
      <c r="C185" s="2436">
        <f t="shared" ref="C185:H185" si="84">+SUM(C186:C191)</f>
        <v>2088</v>
      </c>
      <c r="D185" s="2436">
        <f t="shared" si="84"/>
        <v>0</v>
      </c>
      <c r="E185" s="2436">
        <f t="shared" si="84"/>
        <v>1511</v>
      </c>
      <c r="F185" s="2436">
        <f t="shared" si="84"/>
        <v>2976</v>
      </c>
      <c r="G185" s="2436">
        <f t="shared" si="84"/>
        <v>1485</v>
      </c>
      <c r="H185" s="2436">
        <f t="shared" si="84"/>
        <v>0</v>
      </c>
      <c r="I185" s="2436">
        <f>+SUM(I186:I191)</f>
        <v>2051</v>
      </c>
      <c r="J185" s="2436">
        <f>+SUM(J186:J191)</f>
        <v>17905</v>
      </c>
      <c r="K185" s="2436">
        <f>+SUM(K186:K193)</f>
        <v>3802</v>
      </c>
      <c r="L185" s="2436">
        <f>+SUM(L186:L197)</f>
        <v>1466</v>
      </c>
      <c r="M185" s="2436">
        <f t="shared" ref="M185:N185" si="85">+SUM(M186:M197)</f>
        <v>1954</v>
      </c>
      <c r="N185" s="2436">
        <f t="shared" si="85"/>
        <v>0</v>
      </c>
    </row>
    <row r="186" spans="1:14" ht="15" outlineLevel="1" thickBot="1">
      <c r="A186" s="13" t="s">
        <v>1465</v>
      </c>
      <c r="B186" s="624" t="s">
        <v>693</v>
      </c>
      <c r="C186" s="625">
        <v>2088</v>
      </c>
      <c r="D186" s="571"/>
      <c r="E186" s="571">
        <v>459</v>
      </c>
      <c r="F186" s="571"/>
      <c r="G186" s="571"/>
      <c r="H186" s="571"/>
      <c r="I186" s="1855"/>
      <c r="J186" s="571"/>
      <c r="K186" s="571"/>
      <c r="L186" s="571">
        <v>0</v>
      </c>
      <c r="M186" s="571">
        <v>0</v>
      </c>
      <c r="N186" s="980"/>
    </row>
    <row r="187" spans="1:14" ht="15" outlineLevel="1" thickBot="1">
      <c r="A187" s="13" t="s">
        <v>1465</v>
      </c>
      <c r="B187" s="624" t="s">
        <v>1022</v>
      </c>
      <c r="C187" s="978"/>
      <c r="D187" s="979"/>
      <c r="E187" s="979">
        <v>1052</v>
      </c>
      <c r="F187" s="979"/>
      <c r="G187" s="979"/>
      <c r="H187" s="979"/>
      <c r="I187" s="1854"/>
      <c r="J187" s="979"/>
      <c r="K187" s="979"/>
      <c r="L187" s="979">
        <v>0</v>
      </c>
      <c r="M187" s="979">
        <v>0</v>
      </c>
      <c r="N187" s="980"/>
    </row>
    <row r="188" spans="1:14" ht="15" outlineLevel="1" thickBot="1">
      <c r="A188" s="13" t="s">
        <v>1465</v>
      </c>
      <c r="B188" s="624" t="s">
        <v>1023</v>
      </c>
      <c r="C188" s="978"/>
      <c r="D188" s="979"/>
      <c r="E188" s="979"/>
      <c r="F188" s="979">
        <v>2976</v>
      </c>
      <c r="G188" s="979">
        <v>1485</v>
      </c>
      <c r="H188" s="979"/>
      <c r="I188" s="1855"/>
      <c r="J188" s="979"/>
      <c r="K188" s="979"/>
      <c r="L188" s="979">
        <v>0</v>
      </c>
      <c r="M188" s="979">
        <v>0</v>
      </c>
      <c r="N188" s="980"/>
    </row>
    <row r="189" spans="1:14" ht="15" outlineLevel="1" thickBot="1">
      <c r="A189" s="13" t="s">
        <v>1465</v>
      </c>
      <c r="B189" s="624" t="s">
        <v>1490</v>
      </c>
      <c r="C189" s="1858"/>
      <c r="D189" s="1859"/>
      <c r="E189" s="1859"/>
      <c r="F189" s="1859"/>
      <c r="G189" s="1859"/>
      <c r="H189" s="1859"/>
      <c r="I189" s="1855">
        <v>533</v>
      </c>
      <c r="J189" s="1859"/>
      <c r="K189" s="1859"/>
      <c r="L189" s="1859">
        <v>0</v>
      </c>
      <c r="M189" s="1859">
        <v>0</v>
      </c>
      <c r="N189" s="2052"/>
    </row>
    <row r="190" spans="1:14" ht="15" outlineLevel="1" thickBot="1">
      <c r="A190" s="13" t="s">
        <v>1465</v>
      </c>
      <c r="B190" s="624" t="s">
        <v>1491</v>
      </c>
      <c r="C190" s="1858"/>
      <c r="D190" s="1859"/>
      <c r="E190" s="1859"/>
      <c r="F190" s="1859"/>
      <c r="G190" s="1859"/>
      <c r="H190" s="1859"/>
      <c r="I190" s="1855">
        <v>1518</v>
      </c>
      <c r="J190" s="1859"/>
      <c r="K190" s="1859"/>
      <c r="L190" s="1859">
        <v>0</v>
      </c>
      <c r="M190" s="1859">
        <v>0</v>
      </c>
      <c r="N190" s="2052"/>
    </row>
    <row r="191" spans="1:14" ht="15" outlineLevel="1" thickBot="1">
      <c r="A191" s="13" t="s">
        <v>1465</v>
      </c>
      <c r="B191" s="624" t="s">
        <v>1667</v>
      </c>
      <c r="C191" s="1858"/>
      <c r="D191" s="1859"/>
      <c r="E191" s="1859"/>
      <c r="F191" s="1859"/>
      <c r="G191" s="1859"/>
      <c r="H191" s="1859"/>
      <c r="I191" s="1855"/>
      <c r="J191" s="1859">
        <v>17905</v>
      </c>
      <c r="K191" s="1859"/>
      <c r="L191" s="1859">
        <v>0</v>
      </c>
      <c r="M191" s="1859">
        <v>0</v>
      </c>
      <c r="N191" s="2052"/>
    </row>
    <row r="192" spans="1:14" ht="15" outlineLevel="1" thickBot="1">
      <c r="A192" s="13" t="s">
        <v>1465</v>
      </c>
      <c r="B192" s="624" t="s">
        <v>1789</v>
      </c>
      <c r="C192" s="2210"/>
      <c r="D192" s="2211"/>
      <c r="E192" s="2211"/>
      <c r="F192" s="2211"/>
      <c r="G192" s="2211"/>
      <c r="H192" s="2211"/>
      <c r="I192" s="2208"/>
      <c r="J192" s="2211"/>
      <c r="K192" s="2211">
        <v>2899</v>
      </c>
      <c r="L192" s="2211">
        <v>0</v>
      </c>
      <c r="M192" s="2211">
        <v>0</v>
      </c>
      <c r="N192" s="2212"/>
    </row>
    <row r="193" spans="1:14" ht="15" outlineLevel="1" thickBot="1">
      <c r="A193" s="13" t="s">
        <v>1465</v>
      </c>
      <c r="B193" s="624" t="s">
        <v>1788</v>
      </c>
      <c r="C193" s="2210"/>
      <c r="D193" s="2211"/>
      <c r="E193" s="2211"/>
      <c r="F193" s="2211"/>
      <c r="G193" s="2211"/>
      <c r="H193" s="2211"/>
      <c r="I193" s="2208"/>
      <c r="J193" s="2211"/>
      <c r="K193" s="2211">
        <v>903</v>
      </c>
      <c r="L193" s="2211">
        <v>0</v>
      </c>
      <c r="M193" s="2211">
        <v>0</v>
      </c>
      <c r="N193" s="2212"/>
    </row>
    <row r="194" spans="1:14" ht="15" outlineLevel="1" thickBot="1">
      <c r="A194" s="13" t="s">
        <v>1465</v>
      </c>
      <c r="B194" s="624" t="s">
        <v>1845</v>
      </c>
      <c r="C194" s="1604"/>
      <c r="D194" s="2373"/>
      <c r="E194" s="2373"/>
      <c r="F194" s="2373"/>
      <c r="G194" s="2373"/>
      <c r="H194" s="2373"/>
      <c r="I194" s="2374"/>
      <c r="J194" s="2373"/>
      <c r="K194" s="2373"/>
      <c r="L194" s="2211">
        <v>1183</v>
      </c>
      <c r="M194" s="2373">
        <v>0</v>
      </c>
      <c r="N194" s="2375"/>
    </row>
    <row r="195" spans="1:14" ht="15" outlineLevel="1" thickBot="1">
      <c r="A195" s="13" t="s">
        <v>1465</v>
      </c>
      <c r="B195" s="624" t="s">
        <v>1846</v>
      </c>
      <c r="C195" s="1604"/>
      <c r="D195" s="2373"/>
      <c r="E195" s="2373"/>
      <c r="F195" s="2373"/>
      <c r="G195" s="2373"/>
      <c r="H195" s="2373"/>
      <c r="I195" s="2374"/>
      <c r="J195" s="2373"/>
      <c r="K195" s="2373"/>
      <c r="L195" s="2211">
        <v>283</v>
      </c>
      <c r="M195" s="2373">
        <v>0</v>
      </c>
      <c r="N195" s="2375"/>
    </row>
    <row r="196" spans="1:14" ht="15" outlineLevel="1" thickBot="1">
      <c r="A196" s="13" t="s">
        <v>1465</v>
      </c>
      <c r="B196" s="624" t="s">
        <v>1889</v>
      </c>
      <c r="C196" s="1604"/>
      <c r="D196" s="2450"/>
      <c r="E196" s="2450"/>
      <c r="F196" s="2450"/>
      <c r="G196" s="2450"/>
      <c r="H196" s="2450"/>
      <c r="I196" s="2448"/>
      <c r="J196" s="2450"/>
      <c r="K196" s="2450"/>
      <c r="L196" s="2450"/>
      <c r="M196" s="2373">
        <v>1654</v>
      </c>
      <c r="N196" s="980"/>
    </row>
    <row r="197" spans="1:14" ht="15" outlineLevel="1" thickBot="1">
      <c r="A197" s="13" t="s">
        <v>1465</v>
      </c>
      <c r="B197" s="624" t="s">
        <v>1890</v>
      </c>
      <c r="C197" s="1604"/>
      <c r="D197" s="2450"/>
      <c r="E197" s="2450"/>
      <c r="F197" s="2450"/>
      <c r="G197" s="2450"/>
      <c r="H197" s="2450"/>
      <c r="I197" s="2448"/>
      <c r="J197" s="2450"/>
      <c r="K197" s="2450"/>
      <c r="L197" s="2450"/>
      <c r="M197" s="2373">
        <v>300</v>
      </c>
      <c r="N197" s="980"/>
    </row>
    <row r="198" spans="1:14" ht="15" outlineLevel="1" thickBot="1">
      <c r="B198" s="610" t="s">
        <v>694</v>
      </c>
      <c r="C198" s="2436">
        <f>+SUM(C199:C209)</f>
        <v>1393.85</v>
      </c>
      <c r="D198" s="2436">
        <f t="shared" ref="D198:I198" si="86">+SUM(D199:D209)</f>
        <v>-614</v>
      </c>
      <c r="E198" s="2436">
        <f t="shared" si="86"/>
        <v>2144</v>
      </c>
      <c r="F198" s="2436">
        <f t="shared" si="86"/>
        <v>2337</v>
      </c>
      <c r="G198" s="2436">
        <f t="shared" si="86"/>
        <v>109</v>
      </c>
      <c r="H198" s="2436">
        <f t="shared" si="86"/>
        <v>459</v>
      </c>
      <c r="I198" s="2436">
        <f t="shared" si="86"/>
        <v>500</v>
      </c>
      <c r="J198" s="2436">
        <f>+SUM(J199:J210)</f>
        <v>4071</v>
      </c>
      <c r="K198" s="2436">
        <f>+SUM(K199:K213)</f>
        <v>3933</v>
      </c>
      <c r="L198" s="2436">
        <f>+SUM(L199:L217)</f>
        <v>956</v>
      </c>
      <c r="M198" s="2436">
        <f t="shared" ref="M198:N198" si="87">+SUM(M199:M217)</f>
        <v>288</v>
      </c>
      <c r="N198" s="2436">
        <f t="shared" si="87"/>
        <v>0</v>
      </c>
    </row>
    <row r="199" spans="1:14" ht="15" outlineLevel="1" thickBot="1">
      <c r="A199" s="13" t="s">
        <v>1465</v>
      </c>
      <c r="B199" s="624" t="s">
        <v>695</v>
      </c>
      <c r="C199" s="625">
        <f>200-156.15</f>
        <v>43.849999999999994</v>
      </c>
      <c r="D199" s="571"/>
      <c r="E199" s="571"/>
      <c r="F199" s="571"/>
      <c r="G199" s="571"/>
      <c r="H199" s="571"/>
      <c r="I199" s="1855"/>
      <c r="J199" s="571"/>
      <c r="K199" s="571"/>
      <c r="L199" s="571">
        <v>0</v>
      </c>
      <c r="M199" s="571">
        <v>0</v>
      </c>
      <c r="N199" s="573"/>
    </row>
    <row r="200" spans="1:14" ht="15" outlineLevel="1" thickBot="1">
      <c r="A200" s="13" t="s">
        <v>1465</v>
      </c>
      <c r="B200" s="624" t="s">
        <v>696</v>
      </c>
      <c r="C200" s="625">
        <v>1350</v>
      </c>
      <c r="D200" s="571"/>
      <c r="E200" s="571"/>
      <c r="F200" s="571"/>
      <c r="G200" s="571"/>
      <c r="H200" s="571"/>
      <c r="I200" s="1854"/>
      <c r="J200" s="571"/>
      <c r="K200" s="571"/>
      <c r="L200" s="571">
        <v>0</v>
      </c>
      <c r="M200" s="571">
        <v>0</v>
      </c>
      <c r="N200" s="573"/>
    </row>
    <row r="201" spans="1:14" ht="15" outlineLevel="1" thickBot="1">
      <c r="A201" s="13" t="s">
        <v>1465</v>
      </c>
      <c r="B201" s="624" t="s">
        <v>696</v>
      </c>
      <c r="C201" s="625"/>
      <c r="D201" s="571">
        <v>-314</v>
      </c>
      <c r="E201" s="571"/>
      <c r="F201" s="571"/>
      <c r="G201" s="571"/>
      <c r="H201" s="571"/>
      <c r="I201" s="1855"/>
      <c r="J201" s="571"/>
      <c r="K201" s="571"/>
      <c r="L201" s="571">
        <v>0</v>
      </c>
      <c r="M201" s="571">
        <v>0</v>
      </c>
      <c r="N201" s="573"/>
    </row>
    <row r="202" spans="1:14" ht="15" outlineLevel="1" thickBot="1">
      <c r="A202" s="13" t="s">
        <v>1465</v>
      </c>
      <c r="B202" s="624" t="s">
        <v>697</v>
      </c>
      <c r="C202" s="625"/>
      <c r="D202" s="571">
        <v>-300</v>
      </c>
      <c r="E202" s="571"/>
      <c r="F202" s="571">
        <v>1526</v>
      </c>
      <c r="G202" s="571"/>
      <c r="H202" s="571"/>
      <c r="I202" s="1854"/>
      <c r="J202" s="571"/>
      <c r="K202" s="571"/>
      <c r="L202" s="571">
        <v>0</v>
      </c>
      <c r="M202" s="571">
        <v>0</v>
      </c>
      <c r="N202" s="573"/>
    </row>
    <row r="203" spans="1:14" ht="15" outlineLevel="1" thickBot="1">
      <c r="A203" s="13" t="s">
        <v>1465</v>
      </c>
      <c r="B203" s="624" t="s">
        <v>1024</v>
      </c>
      <c r="C203" s="978"/>
      <c r="D203" s="979"/>
      <c r="E203" s="979">
        <v>200</v>
      </c>
      <c r="F203" s="979"/>
      <c r="G203" s="979"/>
      <c r="H203" s="979"/>
      <c r="I203" s="1855"/>
      <c r="J203" s="979"/>
      <c r="K203" s="979"/>
      <c r="L203" s="979">
        <v>0</v>
      </c>
      <c r="M203" s="979">
        <v>0</v>
      </c>
      <c r="N203" s="980"/>
    </row>
    <row r="204" spans="1:14" ht="15" outlineLevel="1" thickBot="1">
      <c r="A204" s="13" t="s">
        <v>1465</v>
      </c>
      <c r="B204" s="624" t="s">
        <v>1669</v>
      </c>
      <c r="C204" s="978"/>
      <c r="D204" s="979"/>
      <c r="E204" s="979">
        <v>1944</v>
      </c>
      <c r="F204" s="979"/>
      <c r="G204" s="979"/>
      <c r="H204" s="979"/>
      <c r="I204" s="1854"/>
      <c r="J204" s="979"/>
      <c r="K204" s="979"/>
      <c r="L204" s="979">
        <v>0</v>
      </c>
      <c r="M204" s="979">
        <v>0</v>
      </c>
      <c r="N204" s="980"/>
    </row>
    <row r="205" spans="1:14" ht="15" outlineLevel="1" thickBot="1">
      <c r="A205" s="13" t="s">
        <v>1465</v>
      </c>
      <c r="B205" s="624" t="s">
        <v>1276</v>
      </c>
      <c r="C205" s="625"/>
      <c r="D205" s="571"/>
      <c r="E205" s="571"/>
      <c r="F205" s="571">
        <v>811</v>
      </c>
      <c r="G205" s="571"/>
      <c r="H205" s="571"/>
      <c r="I205" s="1855"/>
      <c r="J205" s="571"/>
      <c r="K205" s="571"/>
      <c r="L205" s="571">
        <v>0</v>
      </c>
      <c r="M205" s="571">
        <v>0</v>
      </c>
      <c r="N205" s="573"/>
    </row>
    <row r="206" spans="1:14" ht="15" outlineLevel="1" thickBot="1">
      <c r="A206" s="13" t="s">
        <v>1465</v>
      </c>
      <c r="B206" s="624" t="s">
        <v>1366</v>
      </c>
      <c r="C206" s="1604"/>
      <c r="D206" s="1605"/>
      <c r="E206" s="1605"/>
      <c r="F206" s="1605"/>
      <c r="G206" s="1605">
        <v>109</v>
      </c>
      <c r="H206" s="1605"/>
      <c r="I206" s="1854"/>
      <c r="J206" s="1605"/>
      <c r="K206" s="1605"/>
      <c r="L206" s="1605">
        <v>0</v>
      </c>
      <c r="M206" s="1605">
        <v>0</v>
      </c>
      <c r="N206" s="1606"/>
    </row>
    <row r="207" spans="1:14" ht="15" outlineLevel="1" thickBot="1">
      <c r="A207" s="13" t="s">
        <v>1465</v>
      </c>
      <c r="B207" s="624" t="s">
        <v>1451</v>
      </c>
      <c r="C207" s="1604"/>
      <c r="D207" s="1605"/>
      <c r="E207" s="1605"/>
      <c r="F207" s="1605"/>
      <c r="G207" s="1605"/>
      <c r="H207" s="1605">
        <v>459</v>
      </c>
      <c r="I207" s="1855"/>
      <c r="J207" s="1605"/>
      <c r="K207" s="1605"/>
      <c r="L207" s="1605">
        <v>0</v>
      </c>
      <c r="M207" s="1605">
        <v>0</v>
      </c>
      <c r="N207" s="1606"/>
    </row>
    <row r="208" spans="1:14" ht="16" outlineLevel="1" thickBot="1">
      <c r="A208" s="13" t="s">
        <v>1465</v>
      </c>
      <c r="B208" s="1860" t="s">
        <v>1492</v>
      </c>
      <c r="C208" s="1858"/>
      <c r="D208" s="1859"/>
      <c r="E208" s="1859"/>
      <c r="F208" s="1859"/>
      <c r="G208" s="1859"/>
      <c r="H208" s="1859"/>
      <c r="I208" s="1854">
        <v>250</v>
      </c>
      <c r="J208" s="1859"/>
      <c r="K208" s="1859"/>
      <c r="L208" s="1859">
        <v>0</v>
      </c>
      <c r="M208" s="1859">
        <v>0</v>
      </c>
      <c r="N208" s="1861"/>
    </row>
    <row r="209" spans="1:14" ht="15" outlineLevel="1" thickBot="1">
      <c r="A209" s="13" t="s">
        <v>1465</v>
      </c>
      <c r="B209" s="624" t="s">
        <v>1493</v>
      </c>
      <c r="C209" s="1858"/>
      <c r="D209" s="1859"/>
      <c r="E209" s="1859"/>
      <c r="F209" s="1859"/>
      <c r="G209" s="1859"/>
      <c r="H209" s="1859"/>
      <c r="I209" s="1855">
        <v>250</v>
      </c>
      <c r="J209" s="1859"/>
      <c r="K209" s="1859"/>
      <c r="L209" s="1859">
        <v>0</v>
      </c>
      <c r="M209" s="1859">
        <v>0</v>
      </c>
      <c r="N209" s="1861"/>
    </row>
    <row r="210" spans="1:14" ht="15" outlineLevel="1" thickBot="1">
      <c r="A210" s="13" t="s">
        <v>1465</v>
      </c>
      <c r="B210" s="624" t="s">
        <v>1668</v>
      </c>
      <c r="C210" s="2049"/>
      <c r="D210" s="2050"/>
      <c r="E210" s="2050"/>
      <c r="F210" s="2050"/>
      <c r="G210" s="2050"/>
      <c r="H210" s="2050"/>
      <c r="I210" s="2051"/>
      <c r="J210" s="2050">
        <v>4071</v>
      </c>
      <c r="K210" s="2050"/>
      <c r="L210" s="2050">
        <v>0</v>
      </c>
      <c r="M210" s="2050">
        <v>0</v>
      </c>
      <c r="N210" s="2052"/>
    </row>
    <row r="211" spans="1:14" ht="16" outlineLevel="1" thickBot="1">
      <c r="A211" s="13" t="s">
        <v>1465</v>
      </c>
      <c r="B211" s="1860" t="s">
        <v>1790</v>
      </c>
      <c r="C211" s="1604"/>
      <c r="D211" s="2211"/>
      <c r="E211" s="2211"/>
      <c r="F211" s="2211"/>
      <c r="G211" s="2211"/>
      <c r="H211" s="2211"/>
      <c r="I211" s="2208"/>
      <c r="J211" s="2211"/>
      <c r="K211" s="2211">
        <v>230</v>
      </c>
      <c r="L211" s="2211">
        <v>0</v>
      </c>
      <c r="M211" s="2211">
        <v>0</v>
      </c>
      <c r="N211" s="2212"/>
    </row>
    <row r="212" spans="1:14" ht="16" outlineLevel="1" thickBot="1">
      <c r="A212" s="13" t="s">
        <v>1465</v>
      </c>
      <c r="B212" s="1860" t="s">
        <v>1791</v>
      </c>
      <c r="C212" s="1604"/>
      <c r="D212" s="2211"/>
      <c r="E212" s="2211"/>
      <c r="F212" s="2211"/>
      <c r="G212" s="2211"/>
      <c r="H212" s="2211"/>
      <c r="I212" s="2208"/>
      <c r="J212" s="2211"/>
      <c r="K212" s="2211">
        <v>391</v>
      </c>
      <c r="L212" s="2211">
        <v>0</v>
      </c>
      <c r="M212" s="2211">
        <v>0</v>
      </c>
      <c r="N212" s="2212"/>
    </row>
    <row r="213" spans="1:14" ht="16" outlineLevel="1" thickBot="1">
      <c r="A213" s="13" t="s">
        <v>1465</v>
      </c>
      <c r="B213" s="1860" t="s">
        <v>1792</v>
      </c>
      <c r="C213" s="1604"/>
      <c r="D213" s="2211"/>
      <c r="E213" s="2211"/>
      <c r="F213" s="2211"/>
      <c r="G213" s="2211"/>
      <c r="H213" s="2211"/>
      <c r="I213" s="2208"/>
      <c r="J213" s="2211"/>
      <c r="K213" s="2211">
        <v>3312</v>
      </c>
      <c r="L213" s="2211">
        <v>0</v>
      </c>
      <c r="M213" s="2211">
        <v>0</v>
      </c>
      <c r="N213" s="2212"/>
    </row>
    <row r="214" spans="1:14" ht="16" outlineLevel="1" thickBot="1">
      <c r="A214" s="13" t="s">
        <v>1465</v>
      </c>
      <c r="B214" s="1860" t="s">
        <v>1847</v>
      </c>
      <c r="C214" s="1604"/>
      <c r="D214" s="2373"/>
      <c r="E214" s="2373"/>
      <c r="F214" s="2373"/>
      <c r="G214" s="2373"/>
      <c r="H214" s="2373"/>
      <c r="I214" s="2374"/>
      <c r="J214" s="2373"/>
      <c r="K214" s="2373"/>
      <c r="L214" s="2211">
        <v>125</v>
      </c>
      <c r="M214" s="2373">
        <v>0</v>
      </c>
      <c r="N214" s="2375"/>
    </row>
    <row r="215" spans="1:14" ht="16" outlineLevel="1" thickBot="1">
      <c r="A215" s="13" t="s">
        <v>1465</v>
      </c>
      <c r="B215" s="1860" t="s">
        <v>1848</v>
      </c>
      <c r="C215" s="1604"/>
      <c r="D215" s="2373"/>
      <c r="E215" s="2373"/>
      <c r="F215" s="2373"/>
      <c r="G215" s="2373"/>
      <c r="H215" s="2373"/>
      <c r="I215" s="2374"/>
      <c r="J215" s="2373"/>
      <c r="K215" s="2373"/>
      <c r="L215" s="2211">
        <v>601</v>
      </c>
      <c r="M215" s="2373">
        <v>0</v>
      </c>
      <c r="N215" s="2375"/>
    </row>
    <row r="216" spans="1:14" ht="16" outlineLevel="1" thickBot="1">
      <c r="A216" s="13" t="s">
        <v>1465</v>
      </c>
      <c r="B216" s="1860" t="s">
        <v>1849</v>
      </c>
      <c r="C216" s="1604"/>
      <c r="D216" s="2373"/>
      <c r="E216" s="2373"/>
      <c r="F216" s="2373"/>
      <c r="G216" s="2373"/>
      <c r="H216" s="2373"/>
      <c r="I216" s="2374"/>
      <c r="J216" s="2373"/>
      <c r="K216" s="2373"/>
      <c r="L216" s="2211">
        <v>230</v>
      </c>
      <c r="M216" s="2373">
        <v>0</v>
      </c>
      <c r="N216" s="2375"/>
    </row>
    <row r="217" spans="1:14" ht="16" outlineLevel="1" thickBot="1">
      <c r="A217" s="13" t="s">
        <v>1465</v>
      </c>
      <c r="B217" s="1860" t="s">
        <v>1891</v>
      </c>
      <c r="C217" s="1604"/>
      <c r="D217" s="2450"/>
      <c r="E217" s="2450"/>
      <c r="F217" s="2450"/>
      <c r="G217" s="2450"/>
      <c r="H217" s="2450"/>
      <c r="I217" s="2448"/>
      <c r="J217" s="2450"/>
      <c r="K217" s="2450"/>
      <c r="L217" s="2450"/>
      <c r="M217" s="2450">
        <v>288</v>
      </c>
      <c r="N217" s="980"/>
    </row>
    <row r="218" spans="1:14" ht="15" outlineLevel="1" thickBot="1">
      <c r="A218" s="13" t="s">
        <v>1465</v>
      </c>
      <c r="B218" s="610" t="s">
        <v>698</v>
      </c>
      <c r="C218" s="623"/>
      <c r="D218" s="611"/>
      <c r="E218" s="611"/>
      <c r="F218" s="611"/>
      <c r="G218" s="611"/>
      <c r="H218" s="611"/>
      <c r="I218" s="1856"/>
      <c r="J218" s="611"/>
      <c r="K218" s="611"/>
      <c r="L218" s="611"/>
      <c r="M218" s="611">
        <v>0</v>
      </c>
      <c r="N218" s="620"/>
    </row>
    <row r="219" spans="1:14" ht="15" outlineLevel="1" thickBot="1">
      <c r="A219" s="13" t="s">
        <v>1465</v>
      </c>
      <c r="B219" s="610" t="s">
        <v>699</v>
      </c>
      <c r="C219" s="623"/>
      <c r="D219" s="611"/>
      <c r="E219" s="611"/>
      <c r="F219" s="611"/>
      <c r="G219" s="611"/>
      <c r="H219" s="611"/>
      <c r="I219" s="1856"/>
      <c r="J219" s="611"/>
      <c r="K219" s="611"/>
      <c r="L219" s="611"/>
      <c r="M219" s="611">
        <v>0</v>
      </c>
      <c r="N219" s="620"/>
    </row>
    <row r="220" spans="1:14" ht="15" outlineLevel="1" thickBot="1">
      <c r="A220" s="13" t="s">
        <v>1465</v>
      </c>
      <c r="B220" s="610" t="s">
        <v>700</v>
      </c>
      <c r="C220" s="623"/>
      <c r="D220" s="611"/>
      <c r="E220" s="611"/>
      <c r="F220" s="611"/>
      <c r="G220" s="611"/>
      <c r="H220" s="611"/>
      <c r="I220" s="1856"/>
      <c r="J220" s="611"/>
      <c r="K220" s="611"/>
      <c r="L220" s="611"/>
      <c r="M220" s="611">
        <v>0</v>
      </c>
      <c r="N220" s="620"/>
    </row>
    <row r="221" spans="1:14" ht="15" outlineLevel="1" thickBot="1">
      <c r="A221" s="13" t="s">
        <v>1465</v>
      </c>
      <c r="B221" s="610" t="s">
        <v>701</v>
      </c>
      <c r="C221" s="623">
        <v>1371</v>
      </c>
      <c r="D221" s="611">
        <v>461</v>
      </c>
      <c r="E221" s="611">
        <v>457</v>
      </c>
      <c r="F221" s="611"/>
      <c r="G221" s="611">
        <v>444</v>
      </c>
      <c r="H221" s="611"/>
      <c r="I221" s="1856"/>
      <c r="J221" s="619"/>
      <c r="K221" s="626"/>
      <c r="L221" s="611"/>
      <c r="M221" s="611">
        <v>0</v>
      </c>
      <c r="N221" s="620"/>
    </row>
    <row r="222" spans="1:14" ht="15" outlineLevel="1" thickBot="1">
      <c r="A222" s="13" t="s">
        <v>1465</v>
      </c>
      <c r="B222" s="610" t="s">
        <v>702</v>
      </c>
      <c r="C222" s="623"/>
      <c r="D222" s="611"/>
      <c r="E222" s="611"/>
      <c r="F222" s="611"/>
      <c r="G222" s="611"/>
      <c r="H222" s="627"/>
      <c r="I222" s="1857"/>
      <c r="J222" s="611"/>
      <c r="K222" s="611"/>
      <c r="L222" s="611"/>
      <c r="M222" s="611">
        <v>0</v>
      </c>
      <c r="N222" s="620"/>
    </row>
    <row r="223" spans="1:14" ht="15" outlineLevel="1" thickBot="1">
      <c r="B223" s="621" t="s">
        <v>31</v>
      </c>
      <c r="C223" s="2437">
        <f>SUM(C186+C198+C218+C219+C220+C221+C222)</f>
        <v>4852.8500000000004</v>
      </c>
      <c r="D223" s="2437">
        <f>SUM(D186+D198+D218+D219+D220+D221+D222)</f>
        <v>-153</v>
      </c>
      <c r="E223" s="2437">
        <f>SUM(E185+E198+E218+E219+E220+E221+E222)</f>
        <v>4112</v>
      </c>
      <c r="F223" s="2437">
        <f>SUM(F185+F198+F218+F219+F220+F221+F222)</f>
        <v>5313</v>
      </c>
      <c r="G223" s="2437">
        <f>SUM(G185+G198+G218+G219+G220+G221+G222)</f>
        <v>2038</v>
      </c>
      <c r="H223" s="2437">
        <f>SUM(H185+H198+H218+H219+H220+H221+H222)</f>
        <v>459</v>
      </c>
      <c r="I223" s="2438">
        <f>SUM(I185+I198+I218+I219+I220+I221+I222)</f>
        <v>2551</v>
      </c>
      <c r="J223" s="2437">
        <f t="shared" ref="J223:N223" si="88">SUM(J185+J198+J218+J219+J220+J221+J222)</f>
        <v>21976</v>
      </c>
      <c r="K223" s="2437">
        <f t="shared" si="88"/>
        <v>7735</v>
      </c>
      <c r="L223" s="2437">
        <f t="shared" si="88"/>
        <v>2422</v>
      </c>
      <c r="M223" s="2437">
        <f t="shared" si="88"/>
        <v>2242</v>
      </c>
      <c r="N223" s="2437">
        <f t="shared" si="88"/>
        <v>0</v>
      </c>
    </row>
    <row r="224" spans="1:14" ht="15" thickBot="1">
      <c r="B224" s="579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</row>
    <row r="225" spans="1:14" ht="15" thickBot="1">
      <c r="B225" s="591" t="s">
        <v>703</v>
      </c>
      <c r="C225" s="592">
        <f t="shared" ref="C225:N225" si="89">C69</f>
        <v>45658</v>
      </c>
      <c r="D225" s="592">
        <f t="shared" si="89"/>
        <v>45689</v>
      </c>
      <c r="E225" s="592">
        <f t="shared" si="89"/>
        <v>45717</v>
      </c>
      <c r="F225" s="592">
        <f t="shared" si="89"/>
        <v>45748</v>
      </c>
      <c r="G225" s="592">
        <f t="shared" si="89"/>
        <v>45778</v>
      </c>
      <c r="H225" s="592">
        <f t="shared" si="89"/>
        <v>45809</v>
      </c>
      <c r="I225" s="592">
        <f t="shared" si="89"/>
        <v>45839</v>
      </c>
      <c r="J225" s="592">
        <f t="shared" si="89"/>
        <v>45870</v>
      </c>
      <c r="K225" s="592">
        <f t="shared" si="89"/>
        <v>45901</v>
      </c>
      <c r="L225" s="592">
        <f t="shared" si="89"/>
        <v>45931</v>
      </c>
      <c r="M225" s="592">
        <f>M69</f>
        <v>45962</v>
      </c>
      <c r="N225" s="592">
        <f t="shared" si="89"/>
        <v>45992</v>
      </c>
    </row>
    <row r="226" spans="1:14" ht="15" thickBot="1">
      <c r="A226" s="13" t="s">
        <v>1487</v>
      </c>
      <c r="B226" s="610" t="s">
        <v>704</v>
      </c>
      <c r="C226" s="611">
        <v>1351</v>
      </c>
      <c r="D226" s="611">
        <v>831</v>
      </c>
      <c r="E226" s="611">
        <v>1574</v>
      </c>
      <c r="F226" s="611">
        <v>2356</v>
      </c>
      <c r="G226" s="611">
        <v>2367</v>
      </c>
      <c r="H226" s="611">
        <v>1684</v>
      </c>
      <c r="I226" s="611">
        <v>3053</v>
      </c>
      <c r="J226" s="611">
        <v>2462</v>
      </c>
      <c r="K226" s="611">
        <v>1609</v>
      </c>
      <c r="L226" s="611">
        <v>1630</v>
      </c>
      <c r="M226" s="611">
        <v>3694</v>
      </c>
      <c r="N226" s="620">
        <v>2812</v>
      </c>
    </row>
    <row r="227" spans="1:14" ht="15" thickBot="1">
      <c r="A227" s="13" t="s">
        <v>1487</v>
      </c>
      <c r="B227" s="610" t="s">
        <v>705</v>
      </c>
      <c r="C227" s="611">
        <v>111</v>
      </c>
      <c r="D227" s="611">
        <v>113</v>
      </c>
      <c r="E227" s="611">
        <v>365</v>
      </c>
      <c r="F227" s="611">
        <v>241</v>
      </c>
      <c r="G227" s="611">
        <v>295</v>
      </c>
      <c r="H227" s="611">
        <v>362</v>
      </c>
      <c r="I227" s="611">
        <v>603</v>
      </c>
      <c r="J227" s="611">
        <v>5611</v>
      </c>
      <c r="K227" s="611">
        <v>848</v>
      </c>
      <c r="L227" s="611">
        <v>1511</v>
      </c>
      <c r="M227" s="611">
        <v>516</v>
      </c>
      <c r="N227" s="620">
        <v>1739</v>
      </c>
    </row>
    <row r="228" spans="1:14" ht="15" thickBot="1">
      <c r="A228" s="13" t="s">
        <v>1465</v>
      </c>
      <c r="B228" s="610" t="s">
        <v>706</v>
      </c>
      <c r="C228" s="611">
        <v>4771</v>
      </c>
      <c r="D228" s="611">
        <v>4677</v>
      </c>
      <c r="E228" s="611">
        <v>4070</v>
      </c>
      <c r="F228" s="611">
        <v>4544</v>
      </c>
      <c r="G228" s="611">
        <v>4981</v>
      </c>
      <c r="H228" s="611">
        <v>4950</v>
      </c>
      <c r="I228" s="611">
        <v>4556</v>
      </c>
      <c r="J228" s="611">
        <v>4562</v>
      </c>
      <c r="K228" s="611">
        <v>4601</v>
      </c>
      <c r="L228" s="611">
        <v>4817</v>
      </c>
      <c r="M228" s="611">
        <v>775</v>
      </c>
      <c r="N228" s="620">
        <v>9612</v>
      </c>
    </row>
    <row r="229" spans="1:14" ht="15" thickBot="1">
      <c r="A229" s="13" t="s">
        <v>1487</v>
      </c>
      <c r="B229" s="610" t="s">
        <v>707</v>
      </c>
      <c r="C229" s="611">
        <v>1803</v>
      </c>
      <c r="D229" s="611">
        <v>1432</v>
      </c>
      <c r="E229" s="611">
        <v>1356</v>
      </c>
      <c r="F229" s="611">
        <v>410</v>
      </c>
      <c r="G229" s="611">
        <v>1349</v>
      </c>
      <c r="H229" s="619">
        <v>4349</v>
      </c>
      <c r="I229" s="611">
        <v>1516</v>
      </c>
      <c r="J229" s="611">
        <v>3072</v>
      </c>
      <c r="K229" s="611">
        <v>2758</v>
      </c>
      <c r="L229" s="611">
        <v>3583</v>
      </c>
      <c r="M229" s="611">
        <v>2580</v>
      </c>
      <c r="N229" s="620">
        <v>2292</v>
      </c>
    </row>
    <row r="230" spans="1:14" ht="15" thickBot="1">
      <c r="A230" s="13" t="s">
        <v>1465</v>
      </c>
      <c r="B230" s="610" t="s">
        <v>708</v>
      </c>
      <c r="C230" s="611">
        <f>3817-2656</f>
        <v>1161</v>
      </c>
      <c r="D230" s="611">
        <v>564</v>
      </c>
      <c r="E230" s="611">
        <v>3471</v>
      </c>
      <c r="F230" s="611">
        <v>3776</v>
      </c>
      <c r="G230" s="611">
        <v>3471</v>
      </c>
      <c r="H230" s="611">
        <v>7938</v>
      </c>
      <c r="I230" s="611">
        <v>1796</v>
      </c>
      <c r="J230" s="611">
        <v>3404</v>
      </c>
      <c r="K230" s="611">
        <v>3457</v>
      </c>
      <c r="L230" s="611">
        <v>3037</v>
      </c>
      <c r="M230" s="611">
        <v>3903</v>
      </c>
      <c r="N230" s="620">
        <v>3005</v>
      </c>
    </row>
    <row r="231" spans="1:14" ht="15" thickBot="1">
      <c r="A231" s="13" t="s">
        <v>1465</v>
      </c>
      <c r="B231" s="650" t="s">
        <v>688</v>
      </c>
      <c r="C231" s="1607">
        <v>986</v>
      </c>
      <c r="D231" s="1607">
        <f>135+986</f>
        <v>1121</v>
      </c>
      <c r="E231" s="1607">
        <v>986</v>
      </c>
      <c r="F231" s="1607">
        <v>1118</v>
      </c>
      <c r="G231" s="1607">
        <v>1125</v>
      </c>
      <c r="H231" s="1608">
        <v>1125</v>
      </c>
      <c r="I231" s="1607">
        <v>1123</v>
      </c>
      <c r="J231" s="1607">
        <v>1121</v>
      </c>
      <c r="K231" s="1607">
        <v>1122</v>
      </c>
      <c r="L231" s="1607">
        <v>1124</v>
      </c>
      <c r="M231" s="1607">
        <v>1122</v>
      </c>
      <c r="N231" s="1609">
        <v>1122</v>
      </c>
    </row>
    <row r="232" spans="1:14" ht="15" thickBot="1">
      <c r="A232" s="13" t="s">
        <v>1465</v>
      </c>
      <c r="B232" s="650" t="s">
        <v>689</v>
      </c>
      <c r="C232" s="1610">
        <v>650</v>
      </c>
      <c r="D232" s="1610">
        <v>650</v>
      </c>
      <c r="E232" s="1611">
        <v>1300</v>
      </c>
      <c r="F232" s="1610">
        <v>650</v>
      </c>
      <c r="G232" s="1612">
        <v>650</v>
      </c>
      <c r="H232" s="1612">
        <v>650</v>
      </c>
      <c r="I232" s="1612">
        <v>650</v>
      </c>
      <c r="J232" s="1612">
        <v>650</v>
      </c>
      <c r="K232" s="1610">
        <v>650</v>
      </c>
      <c r="L232" s="1610">
        <v>650</v>
      </c>
      <c r="M232" s="1610">
        <v>650</v>
      </c>
      <c r="N232" s="1610">
        <v>650</v>
      </c>
    </row>
    <row r="233" spans="1:14" ht="15" thickBot="1">
      <c r="B233" s="621" t="s">
        <v>31</v>
      </c>
      <c r="C233" s="2437">
        <f t="shared" ref="C233:H233" si="90">SUM(C226:C232)</f>
        <v>10833</v>
      </c>
      <c r="D233" s="2437">
        <f t="shared" si="90"/>
        <v>9388</v>
      </c>
      <c r="E233" s="2437">
        <f t="shared" si="90"/>
        <v>13122</v>
      </c>
      <c r="F233" s="2437">
        <f t="shared" si="90"/>
        <v>13095</v>
      </c>
      <c r="G233" s="2437">
        <f t="shared" si="90"/>
        <v>14238</v>
      </c>
      <c r="H233" s="2437">
        <f t="shared" si="90"/>
        <v>21058</v>
      </c>
      <c r="I233" s="2437">
        <f>SUM(I226:I232)</f>
        <v>13297</v>
      </c>
      <c r="J233" s="2437">
        <f>SUM(J226:J232)</f>
        <v>20882</v>
      </c>
      <c r="K233" s="2437">
        <f t="shared" ref="K233:N233" si="91">SUM(K226:K232)</f>
        <v>15045</v>
      </c>
      <c r="L233" s="2437">
        <f t="shared" si="91"/>
        <v>16352</v>
      </c>
      <c r="M233" s="2437">
        <f t="shared" si="91"/>
        <v>13240</v>
      </c>
      <c r="N233" s="2437">
        <f t="shared" si="91"/>
        <v>21232</v>
      </c>
    </row>
    <row r="234" spans="1:14" ht="15" thickBot="1">
      <c r="A234" s="622"/>
      <c r="B234" s="622"/>
      <c r="C234" s="622"/>
      <c r="D234" s="622"/>
      <c r="E234" s="622"/>
      <c r="F234" s="622"/>
      <c r="G234" s="622"/>
      <c r="H234" s="622"/>
      <c r="I234" s="622"/>
      <c r="J234" s="622"/>
      <c r="K234" s="622"/>
      <c r="L234" s="622"/>
      <c r="M234" s="622"/>
      <c r="N234" s="622"/>
    </row>
    <row r="235" spans="1:14" ht="15" thickBot="1">
      <c r="B235" s="591" t="s">
        <v>709</v>
      </c>
      <c r="C235" s="592">
        <f t="shared" ref="C235:N235" si="92">C69</f>
        <v>45658</v>
      </c>
      <c r="D235" s="592">
        <f t="shared" si="92"/>
        <v>45689</v>
      </c>
      <c r="E235" s="592">
        <f t="shared" si="92"/>
        <v>45717</v>
      </c>
      <c r="F235" s="592">
        <f t="shared" si="92"/>
        <v>45748</v>
      </c>
      <c r="G235" s="592">
        <f t="shared" si="92"/>
        <v>45778</v>
      </c>
      <c r="H235" s="592">
        <f t="shared" si="92"/>
        <v>45809</v>
      </c>
      <c r="I235" s="592">
        <f t="shared" si="92"/>
        <v>45839</v>
      </c>
      <c r="J235" s="592">
        <f t="shared" si="92"/>
        <v>45870</v>
      </c>
      <c r="K235" s="592">
        <f t="shared" si="92"/>
        <v>45901</v>
      </c>
      <c r="L235" s="592">
        <f t="shared" si="92"/>
        <v>45931</v>
      </c>
      <c r="M235" s="592">
        <f>M69</f>
        <v>45962</v>
      </c>
      <c r="N235" s="592">
        <f t="shared" si="92"/>
        <v>45992</v>
      </c>
    </row>
    <row r="236" spans="1:14" ht="15" thickBot="1">
      <c r="A236" s="13" t="s">
        <v>1465</v>
      </c>
      <c r="B236" s="610" t="s">
        <v>710</v>
      </c>
      <c r="C236" s="611">
        <v>5234</v>
      </c>
      <c r="D236" s="611"/>
      <c r="E236" s="611"/>
      <c r="F236" s="611"/>
      <c r="G236" s="611"/>
      <c r="H236" s="611"/>
      <c r="I236" s="611"/>
      <c r="J236" s="611"/>
      <c r="K236" s="611">
        <v>4168</v>
      </c>
      <c r="L236" s="611">
        <v>8139</v>
      </c>
      <c r="M236" s="611">
        <v>0</v>
      </c>
      <c r="N236" s="620"/>
    </row>
    <row r="237" spans="1:14" ht="15" thickBot="1">
      <c r="A237" s="13" t="s">
        <v>490</v>
      </c>
      <c r="B237" s="610" t="s">
        <v>711</v>
      </c>
      <c r="C237" s="611">
        <v>9720</v>
      </c>
      <c r="D237" s="611">
        <v>2711</v>
      </c>
      <c r="E237" s="611">
        <v>9675</v>
      </c>
      <c r="F237" s="611">
        <v>17383</v>
      </c>
      <c r="G237" s="611">
        <v>11056</v>
      </c>
      <c r="H237" s="611">
        <v>8453</v>
      </c>
      <c r="I237" s="611">
        <v>7808</v>
      </c>
      <c r="J237" s="611">
        <v>6464</v>
      </c>
      <c r="K237" s="611">
        <v>9114</v>
      </c>
      <c r="L237" s="611">
        <v>13294</v>
      </c>
      <c r="M237" s="611">
        <v>13325</v>
      </c>
      <c r="N237" s="620">
        <v>21627</v>
      </c>
    </row>
    <row r="238" spans="1:14" ht="15" thickBot="1">
      <c r="A238" s="13" t="s">
        <v>1465</v>
      </c>
      <c r="B238" s="610" t="s">
        <v>712</v>
      </c>
      <c r="C238" s="611"/>
      <c r="D238" s="611"/>
      <c r="E238" s="611"/>
      <c r="F238" s="611"/>
      <c r="G238" s="611"/>
      <c r="H238" s="611"/>
      <c r="I238" s="611"/>
      <c r="J238" s="611"/>
      <c r="K238" s="611">
        <v>2054</v>
      </c>
      <c r="L238" s="611">
        <v>1884</v>
      </c>
      <c r="M238" s="611">
        <v>0</v>
      </c>
      <c r="N238" s="620"/>
    </row>
    <row r="239" spans="1:14" ht="15" thickBot="1">
      <c r="B239" s="621" t="s">
        <v>31</v>
      </c>
      <c r="C239" s="2433">
        <f>SUM(C236:C238)</f>
        <v>14954</v>
      </c>
      <c r="D239" s="2433">
        <f>SUM(D236:D238)</f>
        <v>2711</v>
      </c>
      <c r="E239" s="2433">
        <f t="shared" ref="E239:N239" si="93">SUM(E236:E238)</f>
        <v>9675</v>
      </c>
      <c r="F239" s="2433">
        <f t="shared" si="93"/>
        <v>17383</v>
      </c>
      <c r="G239" s="2433">
        <f>SUM(G236:G238)</f>
        <v>11056</v>
      </c>
      <c r="H239" s="2433">
        <f>SUM(H236:H238)</f>
        <v>8453</v>
      </c>
      <c r="I239" s="2435">
        <f t="shared" si="93"/>
        <v>7808</v>
      </c>
      <c r="J239" s="2433">
        <f t="shared" si="93"/>
        <v>6464</v>
      </c>
      <c r="K239" s="2433">
        <f t="shared" si="93"/>
        <v>15336</v>
      </c>
      <c r="L239" s="2433">
        <f t="shared" si="93"/>
        <v>23317</v>
      </c>
      <c r="M239" s="2433">
        <f t="shared" si="93"/>
        <v>13325</v>
      </c>
      <c r="N239" s="2433">
        <f t="shared" si="93"/>
        <v>21627</v>
      </c>
    </row>
    <row r="240" spans="1:14" ht="15" thickBot="1">
      <c r="B240" s="579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</row>
    <row r="241" spans="1:15" ht="15" thickBot="1">
      <c r="B241" s="591" t="s">
        <v>713</v>
      </c>
      <c r="C241" s="592">
        <f t="shared" ref="C241:N241" si="94">C69</f>
        <v>45658</v>
      </c>
      <c r="D241" s="592">
        <f t="shared" si="94"/>
        <v>45689</v>
      </c>
      <c r="E241" s="592">
        <f t="shared" si="94"/>
        <v>45717</v>
      </c>
      <c r="F241" s="592">
        <f t="shared" si="94"/>
        <v>45748</v>
      </c>
      <c r="G241" s="592">
        <f t="shared" si="94"/>
        <v>45778</v>
      </c>
      <c r="H241" s="592">
        <f t="shared" si="94"/>
        <v>45809</v>
      </c>
      <c r="I241" s="592">
        <f t="shared" si="94"/>
        <v>45839</v>
      </c>
      <c r="J241" s="592">
        <f t="shared" si="94"/>
        <v>45870</v>
      </c>
      <c r="K241" s="592">
        <f t="shared" si="94"/>
        <v>45901</v>
      </c>
      <c r="L241" s="592">
        <f t="shared" si="94"/>
        <v>45931</v>
      </c>
      <c r="M241" s="592">
        <f>M69</f>
        <v>45962</v>
      </c>
      <c r="N241" s="592">
        <f t="shared" si="94"/>
        <v>45992</v>
      </c>
    </row>
    <row r="242" spans="1:15" ht="16" thickBot="1">
      <c r="B242" s="610" t="s">
        <v>38</v>
      </c>
      <c r="C242" s="4" t="s">
        <v>444</v>
      </c>
      <c r="D242" s="4" t="s">
        <v>444</v>
      </c>
      <c r="E242" s="4" t="s">
        <v>444</v>
      </c>
      <c r="F242" s="4" t="s">
        <v>444</v>
      </c>
      <c r="G242" s="4" t="s">
        <v>444</v>
      </c>
      <c r="H242" s="4" t="s">
        <v>444</v>
      </c>
      <c r="I242" s="4" t="s">
        <v>444</v>
      </c>
      <c r="J242" s="4" t="s">
        <v>444</v>
      </c>
      <c r="K242" s="4" t="s">
        <v>444</v>
      </c>
      <c r="L242" s="4" t="s">
        <v>444</v>
      </c>
      <c r="M242" s="4" t="s">
        <v>444</v>
      </c>
      <c r="N242" s="4" t="s">
        <v>444</v>
      </c>
    </row>
    <row r="243" spans="1:15">
      <c r="A243" s="13" t="s">
        <v>1464</v>
      </c>
      <c r="B243" s="628" t="s">
        <v>714</v>
      </c>
      <c r="C243" s="611">
        <v>22825</v>
      </c>
      <c r="D243" s="611"/>
      <c r="E243" s="611">
        <v>5448</v>
      </c>
      <c r="F243" s="611">
        <v>2648</v>
      </c>
      <c r="G243" s="611">
        <v>41043</v>
      </c>
      <c r="H243" s="1601">
        <v>41625</v>
      </c>
      <c r="I243" s="611">
        <v>31219</v>
      </c>
      <c r="J243" s="611">
        <v>654</v>
      </c>
      <c r="K243" s="611">
        <v>12426</v>
      </c>
      <c r="L243" s="611">
        <v>25321</v>
      </c>
      <c r="M243" s="611">
        <v>38341</v>
      </c>
      <c r="N243" s="620">
        <v>30256</v>
      </c>
    </row>
    <row r="244" spans="1:15">
      <c r="A244" s="13" t="s">
        <v>1464</v>
      </c>
      <c r="B244" s="628" t="s">
        <v>715</v>
      </c>
      <c r="C244" s="611">
        <v>19669</v>
      </c>
      <c r="D244" s="611"/>
      <c r="E244" s="611"/>
      <c r="F244" s="611"/>
      <c r="G244" s="611">
        <v>6481</v>
      </c>
      <c r="H244" s="611">
        <v>0</v>
      </c>
      <c r="I244" s="611">
        <v>6432</v>
      </c>
      <c r="J244" s="2453">
        <v>102136</v>
      </c>
      <c r="K244" s="611">
        <v>6350</v>
      </c>
      <c r="L244" s="611">
        <v>8383</v>
      </c>
      <c r="M244" s="611">
        <v>0</v>
      </c>
      <c r="N244" s="620">
        <v>5046</v>
      </c>
    </row>
    <row r="245" spans="1:15" ht="15">
      <c r="A245" s="2331" t="s">
        <v>1464</v>
      </c>
      <c r="B245" s="628" t="s">
        <v>716</v>
      </c>
      <c r="C245" s="611" t="s">
        <v>717</v>
      </c>
      <c r="D245" s="611"/>
      <c r="E245" s="611"/>
      <c r="F245" s="611">
        <v>-650</v>
      </c>
      <c r="G245" s="611">
        <v>2465</v>
      </c>
      <c r="H245" s="611">
        <v>0</v>
      </c>
      <c r="I245" s="611"/>
      <c r="J245" s="611"/>
      <c r="K245" s="611">
        <v>0</v>
      </c>
      <c r="L245" s="611">
        <v>0</v>
      </c>
      <c r="M245" s="611">
        <v>0</v>
      </c>
      <c r="N245" s="620">
        <v>1191</v>
      </c>
      <c r="O245" s="13" t="s">
        <v>1465</v>
      </c>
    </row>
    <row r="246" spans="1:15" ht="15" thickBot="1">
      <c r="A246" s="2331" t="s">
        <v>1462</v>
      </c>
      <c r="B246" s="628" t="s">
        <v>718</v>
      </c>
      <c r="C246" s="611">
        <v>9871</v>
      </c>
      <c r="D246" s="611">
        <v>12450</v>
      </c>
      <c r="E246" s="611">
        <v>13381</v>
      </c>
      <c r="F246" s="611">
        <v>10677</v>
      </c>
      <c r="G246" s="611">
        <v>11337</v>
      </c>
      <c r="H246" s="611">
        <v>14411</v>
      </c>
      <c r="I246" s="611">
        <v>10231</v>
      </c>
      <c r="J246" s="611">
        <v>13584</v>
      </c>
      <c r="K246" s="611">
        <v>19679</v>
      </c>
      <c r="L246" s="611">
        <v>10100</v>
      </c>
      <c r="M246" s="611">
        <v>10242</v>
      </c>
      <c r="N246" s="620">
        <v>13563</v>
      </c>
      <c r="O246" s="13" t="s">
        <v>1465</v>
      </c>
    </row>
    <row r="247" spans="1:15" ht="15" thickBot="1">
      <c r="B247" s="629" t="s">
        <v>31</v>
      </c>
      <c r="C247" s="2437">
        <f>SUM(C243:C246)</f>
        <v>52365</v>
      </c>
      <c r="D247" s="2433">
        <f t="shared" ref="D247:N247" si="95">SUM(D243:D246)</f>
        <v>12450</v>
      </c>
      <c r="E247" s="2433">
        <f t="shared" si="95"/>
        <v>18829</v>
      </c>
      <c r="F247" s="2433">
        <f>SUM(F243:F246)</f>
        <v>12675</v>
      </c>
      <c r="G247" s="2433">
        <f>SUM(G243:G246)</f>
        <v>61326</v>
      </c>
      <c r="H247" s="2433">
        <f>SUM(H243:H246)</f>
        <v>56036</v>
      </c>
      <c r="I247" s="2435">
        <f t="shared" si="95"/>
        <v>47882</v>
      </c>
      <c r="J247" s="2433">
        <f t="shared" si="95"/>
        <v>116374</v>
      </c>
      <c r="K247" s="2433">
        <f t="shared" si="95"/>
        <v>38455</v>
      </c>
      <c r="L247" s="2433">
        <f t="shared" si="95"/>
        <v>43804</v>
      </c>
      <c r="M247" s="2433">
        <f t="shared" si="95"/>
        <v>48583</v>
      </c>
      <c r="N247" s="2433">
        <f t="shared" si="95"/>
        <v>50056</v>
      </c>
    </row>
    <row r="248" spans="1:15">
      <c r="B248" s="579"/>
    </row>
    <row r="249" spans="1:15" ht="15" thickBot="1">
      <c r="B249" s="579"/>
    </row>
    <row r="250" spans="1:15" ht="15" thickBot="1">
      <c r="B250" s="591" t="s">
        <v>719</v>
      </c>
      <c r="C250" s="592">
        <f t="shared" ref="C250:N250" si="96">C69</f>
        <v>45658</v>
      </c>
      <c r="D250" s="592">
        <f t="shared" si="96"/>
        <v>45689</v>
      </c>
      <c r="E250" s="592">
        <f t="shared" si="96"/>
        <v>45717</v>
      </c>
      <c r="F250" s="592">
        <f t="shared" si="96"/>
        <v>45748</v>
      </c>
      <c r="G250" s="592">
        <f t="shared" si="96"/>
        <v>45778</v>
      </c>
      <c r="H250" s="592">
        <f t="shared" si="96"/>
        <v>45809</v>
      </c>
      <c r="I250" s="592">
        <f t="shared" si="96"/>
        <v>45839</v>
      </c>
      <c r="J250" s="592">
        <f t="shared" si="96"/>
        <v>45870</v>
      </c>
      <c r="K250" s="592">
        <f t="shared" si="96"/>
        <v>45901</v>
      </c>
      <c r="L250" s="592">
        <f t="shared" si="96"/>
        <v>45931</v>
      </c>
      <c r="M250" s="592">
        <f>M69</f>
        <v>45962</v>
      </c>
      <c r="N250" s="592">
        <f t="shared" si="96"/>
        <v>45992</v>
      </c>
    </row>
    <row r="251" spans="1:15" ht="16" thickBot="1">
      <c r="B251" s="593" t="s">
        <v>38</v>
      </c>
      <c r="C251" s="4" t="s">
        <v>444</v>
      </c>
      <c r="D251" s="4" t="s">
        <v>444</v>
      </c>
      <c r="E251" s="4" t="s">
        <v>444</v>
      </c>
      <c r="F251" s="4" t="s">
        <v>444</v>
      </c>
      <c r="G251" s="4" t="s">
        <v>444</v>
      </c>
      <c r="H251" s="4" t="s">
        <v>444</v>
      </c>
      <c r="I251" s="1862" t="s">
        <v>444</v>
      </c>
      <c r="J251" s="4" t="s">
        <v>444</v>
      </c>
      <c r="K251" s="4" t="s">
        <v>444</v>
      </c>
      <c r="L251" s="4" t="s">
        <v>444</v>
      </c>
      <c r="M251" s="4" t="s">
        <v>444</v>
      </c>
      <c r="N251" s="4" t="s">
        <v>444</v>
      </c>
    </row>
    <row r="252" spans="1:15" ht="15" thickBot="1">
      <c r="A252" s="13" t="s">
        <v>1466</v>
      </c>
      <c r="B252" s="617" t="s">
        <v>720</v>
      </c>
      <c r="C252" s="611"/>
      <c r="D252" s="611"/>
      <c r="E252" s="611"/>
      <c r="F252" s="611"/>
      <c r="G252" s="611"/>
      <c r="H252" s="619"/>
      <c r="I252" s="627"/>
      <c r="J252" s="611"/>
      <c r="K252" s="611"/>
      <c r="L252" s="611">
        <v>0</v>
      </c>
      <c r="M252" s="611">
        <v>0</v>
      </c>
      <c r="N252" s="620"/>
    </row>
    <row r="253" spans="1:15" ht="15" thickBot="1">
      <c r="A253" s="13" t="s">
        <v>1466</v>
      </c>
      <c r="B253" s="617" t="s">
        <v>721</v>
      </c>
      <c r="C253" s="611"/>
      <c r="D253" s="611"/>
      <c r="E253" s="611"/>
      <c r="F253" s="611"/>
      <c r="G253" s="611"/>
      <c r="H253" s="611"/>
      <c r="I253" s="611"/>
      <c r="J253" s="611"/>
      <c r="K253" s="611"/>
      <c r="L253" s="611">
        <v>0</v>
      </c>
      <c r="M253" s="611">
        <v>0</v>
      </c>
      <c r="N253" s="620"/>
    </row>
    <row r="254" spans="1:15">
      <c r="A254" s="13" t="s">
        <v>1466</v>
      </c>
      <c r="B254" s="2058" t="s">
        <v>722</v>
      </c>
      <c r="C254" s="2059"/>
      <c r="D254" s="2059"/>
      <c r="E254" s="2059">
        <v>14000</v>
      </c>
      <c r="F254" s="2059"/>
      <c r="G254" s="2059"/>
      <c r="H254" s="2059">
        <v>14000</v>
      </c>
      <c r="I254" s="2060"/>
      <c r="J254" s="2059">
        <v>28000</v>
      </c>
      <c r="K254" s="2059">
        <v>28000</v>
      </c>
      <c r="L254" s="2059">
        <v>28000</v>
      </c>
      <c r="M254" s="2059">
        <v>147722</v>
      </c>
      <c r="N254" s="2053"/>
    </row>
    <row r="255" spans="1:15" ht="15" thickBot="1">
      <c r="A255" s="13" t="s">
        <v>1466</v>
      </c>
      <c r="B255" s="2054" t="s">
        <v>1670</v>
      </c>
      <c r="C255" s="2055"/>
      <c r="D255" s="2055"/>
      <c r="E255" s="2055"/>
      <c r="F255" s="2055"/>
      <c r="G255" s="2055"/>
      <c r="H255" s="2055"/>
      <c r="I255" s="2056"/>
      <c r="J255" s="2055">
        <v>444152</v>
      </c>
      <c r="K255" s="2055"/>
      <c r="L255" s="2055">
        <v>124335</v>
      </c>
      <c r="M255" s="2055">
        <v>0</v>
      </c>
      <c r="N255" s="2057">
        <v>100000</v>
      </c>
    </row>
    <row r="256" spans="1:15" ht="15" thickBot="1">
      <c r="B256" s="632" t="s">
        <v>31</v>
      </c>
      <c r="C256" s="2439">
        <f>+SUM(C252:C254)</f>
        <v>0</v>
      </c>
      <c r="D256" s="2439">
        <f>+SUM(D252:D253)</f>
        <v>0</v>
      </c>
      <c r="E256" s="2439">
        <f t="shared" ref="E256:M256" si="97">+SUM(E252:E254)</f>
        <v>14000</v>
      </c>
      <c r="F256" s="2439">
        <f t="shared" si="97"/>
        <v>0</v>
      </c>
      <c r="G256" s="2439">
        <f t="shared" si="97"/>
        <v>0</v>
      </c>
      <c r="H256" s="2439">
        <f t="shared" si="97"/>
        <v>14000</v>
      </c>
      <c r="I256" s="2440">
        <f t="shared" si="97"/>
        <v>0</v>
      </c>
      <c r="J256" s="2439">
        <f>+SUM(J252:J255)</f>
        <v>472152</v>
      </c>
      <c r="K256" s="2439">
        <f t="shared" si="97"/>
        <v>28000</v>
      </c>
      <c r="L256" s="2439">
        <f>+SUM(L252:L255)</f>
        <v>152335</v>
      </c>
      <c r="M256" s="2439">
        <f t="shared" si="97"/>
        <v>147722</v>
      </c>
      <c r="N256" s="2439">
        <f>+SUM(N252:N255)</f>
        <v>100000</v>
      </c>
    </row>
    <row r="257" spans="2:14">
      <c r="C257" s="633"/>
      <c r="D257" s="634"/>
      <c r="E257" s="634"/>
      <c r="F257" s="634"/>
      <c r="G257" s="634"/>
      <c r="H257" s="634"/>
      <c r="I257" s="1864"/>
      <c r="J257" s="634"/>
      <c r="K257" s="634"/>
      <c r="L257" s="634"/>
      <c r="M257" s="634"/>
      <c r="N257" s="634"/>
    </row>
    <row r="258" spans="2:14" ht="15" thickBot="1">
      <c r="B258" s="579"/>
      <c r="I258" s="1863"/>
    </row>
    <row r="259" spans="2:14" ht="15" thickBot="1">
      <c r="B259" s="591" t="s">
        <v>723</v>
      </c>
      <c r="C259" s="592">
        <f t="shared" ref="C259:N259" si="98">C69</f>
        <v>45658</v>
      </c>
      <c r="D259" s="592">
        <f t="shared" si="98"/>
        <v>45689</v>
      </c>
      <c r="E259" s="592">
        <f t="shared" si="98"/>
        <v>45717</v>
      </c>
      <c r="F259" s="592">
        <f t="shared" si="98"/>
        <v>45748</v>
      </c>
      <c r="G259" s="592">
        <f t="shared" si="98"/>
        <v>45778</v>
      </c>
      <c r="H259" s="592">
        <f t="shared" si="98"/>
        <v>45809</v>
      </c>
      <c r="I259" s="592">
        <f t="shared" si="98"/>
        <v>45839</v>
      </c>
      <c r="J259" s="592">
        <f t="shared" si="98"/>
        <v>45870</v>
      </c>
      <c r="K259" s="592">
        <f t="shared" si="98"/>
        <v>45901</v>
      </c>
      <c r="L259" s="592">
        <f t="shared" si="98"/>
        <v>45931</v>
      </c>
      <c r="M259" s="592">
        <f>M69</f>
        <v>45962</v>
      </c>
      <c r="N259" s="592">
        <f t="shared" si="98"/>
        <v>45992</v>
      </c>
    </row>
    <row r="260" spans="2:14" ht="15" thickBot="1">
      <c r="B260" s="635" t="s">
        <v>644</v>
      </c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1"/>
    </row>
    <row r="261" spans="2:14" ht="15" thickBot="1">
      <c r="B261" s="615" t="s">
        <v>31</v>
      </c>
      <c r="C261" s="2441">
        <f>SUM(C260:C260)</f>
        <v>0</v>
      </c>
      <c r="D261" s="2441">
        <f>SUM(D260:D260)</f>
        <v>0</v>
      </c>
      <c r="E261" s="2441">
        <f t="shared" ref="E261:N261" si="99">SUM(E260:E260)</f>
        <v>0</v>
      </c>
      <c r="F261" s="2442">
        <f t="shared" si="99"/>
        <v>0</v>
      </c>
      <c r="G261" s="2442">
        <f t="shared" si="99"/>
        <v>0</v>
      </c>
      <c r="H261" s="2442">
        <f t="shared" si="99"/>
        <v>0</v>
      </c>
      <c r="I261" s="2443">
        <f t="shared" si="99"/>
        <v>0</v>
      </c>
      <c r="J261" s="2442">
        <f t="shared" si="99"/>
        <v>0</v>
      </c>
      <c r="K261" s="2442">
        <f t="shared" si="99"/>
        <v>0</v>
      </c>
      <c r="L261" s="2442">
        <f t="shared" si="99"/>
        <v>0</v>
      </c>
      <c r="M261" s="2442">
        <f t="shared" si="99"/>
        <v>0</v>
      </c>
      <c r="N261" s="2442">
        <f t="shared" si="99"/>
        <v>0</v>
      </c>
    </row>
    <row r="262" spans="2:14" ht="15" thickBot="1">
      <c r="B262" s="636"/>
      <c r="C262" s="637"/>
      <c r="D262" s="637"/>
      <c r="E262" s="637"/>
      <c r="I262" s="1863"/>
    </row>
    <row r="263" spans="2:14" ht="15" thickBot="1">
      <c r="B263" s="638" t="s">
        <v>724</v>
      </c>
      <c r="C263" s="639">
        <f t="shared" ref="C263:N263" si="100">SUM(C142)</f>
        <v>42586</v>
      </c>
      <c r="D263" s="639">
        <f t="shared" si="100"/>
        <v>54522</v>
      </c>
      <c r="E263" s="639">
        <f t="shared" si="100"/>
        <v>44643</v>
      </c>
      <c r="F263" s="639">
        <f t="shared" si="100"/>
        <v>57883</v>
      </c>
      <c r="G263" s="639">
        <f t="shared" si="100"/>
        <v>65149</v>
      </c>
      <c r="H263" s="639">
        <f t="shared" si="100"/>
        <v>65599</v>
      </c>
      <c r="I263" s="639">
        <f t="shared" si="100"/>
        <v>95103</v>
      </c>
      <c r="J263" s="639">
        <f t="shared" si="100"/>
        <v>83035</v>
      </c>
      <c r="K263" s="639">
        <f t="shared" si="100"/>
        <v>39310</v>
      </c>
      <c r="L263" s="639">
        <f t="shared" si="100"/>
        <v>37732</v>
      </c>
      <c r="M263" s="639">
        <f t="shared" si="100"/>
        <v>91774</v>
      </c>
      <c r="N263" s="639">
        <f t="shared" si="100"/>
        <v>156380</v>
      </c>
    </row>
    <row r="264" spans="2:14" ht="15" thickBot="1">
      <c r="B264" s="640" t="s">
        <v>725</v>
      </c>
      <c r="C264" s="641">
        <f t="shared" ref="C264:N264" si="101">SUM(C182)</f>
        <v>6366</v>
      </c>
      <c r="D264" s="641">
        <f t="shared" si="101"/>
        <v>2679</v>
      </c>
      <c r="E264" s="641">
        <f t="shared" si="101"/>
        <v>7822</v>
      </c>
      <c r="F264" s="641">
        <f>SUM(F182)</f>
        <v>33321.300000000003</v>
      </c>
      <c r="G264" s="641">
        <f>SUM(G182)-1</f>
        <v>25105</v>
      </c>
      <c r="H264" s="641">
        <f t="shared" si="101"/>
        <v>58015</v>
      </c>
      <c r="I264" s="641">
        <f t="shared" si="101"/>
        <v>70365</v>
      </c>
      <c r="J264" s="641">
        <f t="shared" si="101"/>
        <v>79631</v>
      </c>
      <c r="K264" s="641">
        <f t="shared" si="101"/>
        <v>29992</v>
      </c>
      <c r="L264" s="641">
        <f t="shared" si="101"/>
        <v>18251</v>
      </c>
      <c r="M264" s="641">
        <f t="shared" si="101"/>
        <v>8314.64</v>
      </c>
      <c r="N264" s="641">
        <f t="shared" si="101"/>
        <v>21319</v>
      </c>
    </row>
    <row r="265" spans="2:14" ht="15" thickBot="1">
      <c r="B265" s="640" t="str">
        <f>+B184</f>
        <v>GASTOS OPERACIONALES</v>
      </c>
      <c r="C265" s="641">
        <f t="shared" ref="C265:N265" si="102">C223</f>
        <v>4852.8500000000004</v>
      </c>
      <c r="D265" s="641">
        <f t="shared" si="102"/>
        <v>-153</v>
      </c>
      <c r="E265" s="641">
        <f t="shared" si="102"/>
        <v>4112</v>
      </c>
      <c r="F265" s="641">
        <f t="shared" si="102"/>
        <v>5313</v>
      </c>
      <c r="G265" s="642">
        <f t="shared" si="102"/>
        <v>2038</v>
      </c>
      <c r="H265" s="641">
        <f t="shared" si="102"/>
        <v>459</v>
      </c>
      <c r="I265" s="641">
        <f t="shared" si="102"/>
        <v>2551</v>
      </c>
      <c r="J265" s="641">
        <f t="shared" si="102"/>
        <v>21976</v>
      </c>
      <c r="K265" s="641">
        <f t="shared" si="102"/>
        <v>7735</v>
      </c>
      <c r="L265" s="641">
        <f t="shared" si="102"/>
        <v>2422</v>
      </c>
      <c r="M265" s="641">
        <f t="shared" si="102"/>
        <v>2242</v>
      </c>
      <c r="N265" s="641">
        <f t="shared" si="102"/>
        <v>0</v>
      </c>
    </row>
    <row r="266" spans="2:14" ht="15" thickBot="1">
      <c r="B266" s="640" t="str">
        <f>+B225</f>
        <v>GASTOS ADMINISTRACION</v>
      </c>
      <c r="C266" s="641">
        <f t="shared" ref="C266:N266" si="103">C233</f>
        <v>10833</v>
      </c>
      <c r="D266" s="641">
        <f t="shared" si="103"/>
        <v>9388</v>
      </c>
      <c r="E266" s="641">
        <f t="shared" si="103"/>
        <v>13122</v>
      </c>
      <c r="F266" s="641">
        <f t="shared" si="103"/>
        <v>13095</v>
      </c>
      <c r="G266" s="641">
        <f t="shared" si="103"/>
        <v>14238</v>
      </c>
      <c r="H266" s="641">
        <f t="shared" si="103"/>
        <v>21058</v>
      </c>
      <c r="I266" s="641">
        <f t="shared" si="103"/>
        <v>13297</v>
      </c>
      <c r="J266" s="641">
        <f t="shared" si="103"/>
        <v>20882</v>
      </c>
      <c r="K266" s="641">
        <f t="shared" si="103"/>
        <v>15045</v>
      </c>
      <c r="L266" s="641">
        <f t="shared" si="103"/>
        <v>16352</v>
      </c>
      <c r="M266" s="641">
        <f t="shared" si="103"/>
        <v>13240</v>
      </c>
      <c r="N266" s="641">
        <f t="shared" si="103"/>
        <v>21232</v>
      </c>
    </row>
    <row r="267" spans="2:14" ht="15" thickBot="1">
      <c r="B267" s="640" t="str">
        <f>+B235</f>
        <v>ACTIVOS</v>
      </c>
      <c r="C267" s="641">
        <f t="shared" ref="C267:N267" si="104">C239</f>
        <v>14954</v>
      </c>
      <c r="D267" s="641">
        <f t="shared" si="104"/>
        <v>2711</v>
      </c>
      <c r="E267" s="641">
        <f t="shared" si="104"/>
        <v>9675</v>
      </c>
      <c r="F267" s="641">
        <f t="shared" si="104"/>
        <v>17383</v>
      </c>
      <c r="G267" s="642">
        <f t="shared" si="104"/>
        <v>11056</v>
      </c>
      <c r="H267" s="641">
        <f t="shared" si="104"/>
        <v>8453</v>
      </c>
      <c r="I267" s="641">
        <f t="shared" si="104"/>
        <v>7808</v>
      </c>
      <c r="J267" s="641">
        <f t="shared" si="104"/>
        <v>6464</v>
      </c>
      <c r="K267" s="641">
        <f t="shared" si="104"/>
        <v>15336</v>
      </c>
      <c r="L267" s="641">
        <f t="shared" si="104"/>
        <v>23317</v>
      </c>
      <c r="M267" s="641">
        <f t="shared" si="104"/>
        <v>13325</v>
      </c>
      <c r="N267" s="641">
        <f t="shared" si="104"/>
        <v>21627</v>
      </c>
    </row>
    <row r="268" spans="2:14" ht="15" thickBot="1">
      <c r="B268" s="640" t="s">
        <v>134</v>
      </c>
      <c r="C268" s="641">
        <f t="shared" ref="C268:N268" si="105">SUM(C247)</f>
        <v>52365</v>
      </c>
      <c r="D268" s="641">
        <f t="shared" si="105"/>
        <v>12450</v>
      </c>
      <c r="E268" s="641">
        <f t="shared" si="105"/>
        <v>18829</v>
      </c>
      <c r="F268" s="641">
        <f t="shared" si="105"/>
        <v>12675</v>
      </c>
      <c r="G268" s="641">
        <f t="shared" si="105"/>
        <v>61326</v>
      </c>
      <c r="H268" s="641">
        <f t="shared" si="105"/>
        <v>56036</v>
      </c>
      <c r="I268" s="641">
        <f t="shared" si="105"/>
        <v>47882</v>
      </c>
      <c r="J268" s="641">
        <f t="shared" si="105"/>
        <v>116374</v>
      </c>
      <c r="K268" s="641">
        <f t="shared" si="105"/>
        <v>38455</v>
      </c>
      <c r="L268" s="641">
        <f t="shared" si="105"/>
        <v>43804</v>
      </c>
      <c r="M268" s="641">
        <f t="shared" si="105"/>
        <v>48583</v>
      </c>
      <c r="N268" s="641">
        <f t="shared" si="105"/>
        <v>50056</v>
      </c>
    </row>
    <row r="269" spans="2:14" ht="15" thickBot="1">
      <c r="B269" s="643" t="s">
        <v>726</v>
      </c>
      <c r="C269" s="2444">
        <f t="shared" ref="C269:N269" si="106">SUM(C263:C268)</f>
        <v>131956.85</v>
      </c>
      <c r="D269" s="2444">
        <f t="shared" si="106"/>
        <v>81597</v>
      </c>
      <c r="E269" s="2444">
        <f t="shared" si="106"/>
        <v>98203</v>
      </c>
      <c r="F269" s="2444">
        <f t="shared" si="106"/>
        <v>139670.29999999999</v>
      </c>
      <c r="G269" s="2444">
        <f>SUM(G263:G268)+1</f>
        <v>178913</v>
      </c>
      <c r="H269" s="2444">
        <f t="shared" si="106"/>
        <v>209620</v>
      </c>
      <c r="I269" s="2444">
        <f>SUM(I263:I268)</f>
        <v>237006</v>
      </c>
      <c r="J269" s="2444">
        <f t="shared" si="106"/>
        <v>328362</v>
      </c>
      <c r="K269" s="2444">
        <f t="shared" si="106"/>
        <v>145873</v>
      </c>
      <c r="L269" s="2444">
        <f t="shared" si="106"/>
        <v>141878</v>
      </c>
      <c r="M269" s="2444">
        <f t="shared" si="106"/>
        <v>177478.64</v>
      </c>
      <c r="N269" s="2444">
        <f t="shared" si="106"/>
        <v>270614</v>
      </c>
    </row>
    <row r="270" spans="2:14" ht="16.5" customHeight="1" thickTop="1" thickBot="1">
      <c r="B270" s="638" t="str">
        <f>+B250</f>
        <v>CUENTA CORRIENTE EE.RR</v>
      </c>
      <c r="C270" s="639">
        <f t="shared" ref="C270:M270" si="107">SUM(C256)</f>
        <v>0</v>
      </c>
      <c r="D270" s="639">
        <f t="shared" si="107"/>
        <v>0</v>
      </c>
      <c r="E270" s="639">
        <f t="shared" si="107"/>
        <v>14000</v>
      </c>
      <c r="F270" s="639">
        <f t="shared" si="107"/>
        <v>0</v>
      </c>
      <c r="G270" s="639">
        <f t="shared" si="107"/>
        <v>0</v>
      </c>
      <c r="H270" s="639">
        <f t="shared" si="107"/>
        <v>14000</v>
      </c>
      <c r="I270" s="639">
        <f t="shared" si="107"/>
        <v>0</v>
      </c>
      <c r="J270" s="639">
        <f t="shared" si="107"/>
        <v>472152</v>
      </c>
      <c r="K270" s="639">
        <f t="shared" si="107"/>
        <v>28000</v>
      </c>
      <c r="L270" s="639">
        <f t="shared" si="107"/>
        <v>152335</v>
      </c>
      <c r="M270" s="639">
        <f t="shared" si="107"/>
        <v>147722</v>
      </c>
      <c r="N270" s="639">
        <f>SUM(N256)</f>
        <v>100000</v>
      </c>
    </row>
    <row r="271" spans="2:14" ht="15.75" customHeight="1" thickBot="1">
      <c r="B271" s="644" t="s">
        <v>723</v>
      </c>
      <c r="C271" s="645">
        <f t="shared" ref="C271:N271" si="108">SUM(C261)</f>
        <v>0</v>
      </c>
      <c r="D271" s="645">
        <f t="shared" si="108"/>
        <v>0</v>
      </c>
      <c r="E271" s="645">
        <f t="shared" si="108"/>
        <v>0</v>
      </c>
      <c r="F271" s="645">
        <f t="shared" si="108"/>
        <v>0</v>
      </c>
      <c r="G271" s="645">
        <f t="shared" si="108"/>
        <v>0</v>
      </c>
      <c r="H271" s="645">
        <f t="shared" si="108"/>
        <v>0</v>
      </c>
      <c r="I271" s="645">
        <f t="shared" si="108"/>
        <v>0</v>
      </c>
      <c r="J271" s="645">
        <f t="shared" si="108"/>
        <v>0</v>
      </c>
      <c r="K271" s="645">
        <f t="shared" si="108"/>
        <v>0</v>
      </c>
      <c r="L271" s="645">
        <f t="shared" si="108"/>
        <v>0</v>
      </c>
      <c r="M271" s="645">
        <f t="shared" si="108"/>
        <v>0</v>
      </c>
      <c r="N271" s="645">
        <f t="shared" si="108"/>
        <v>0</v>
      </c>
    </row>
    <row r="272" spans="2:14" ht="15" customHeight="1" thickTop="1" thickBot="1">
      <c r="B272" s="646" t="s">
        <v>727</v>
      </c>
      <c r="C272" s="2445">
        <f>SUM(C269:C271)</f>
        <v>131956.85</v>
      </c>
      <c r="D272" s="2445">
        <f>SUM(D269:D271)</f>
        <v>81597</v>
      </c>
      <c r="E272" s="2445">
        <f t="shared" ref="E272:N272" si="109">SUM(E269:E271)</f>
        <v>112203</v>
      </c>
      <c r="F272" s="2445">
        <f t="shared" si="109"/>
        <v>139670.29999999999</v>
      </c>
      <c r="G272" s="2445">
        <f>SUM(G269:G271)</f>
        <v>178913</v>
      </c>
      <c r="H272" s="2445">
        <f t="shared" si="109"/>
        <v>223620</v>
      </c>
      <c r="I272" s="2445">
        <f t="shared" si="109"/>
        <v>237006</v>
      </c>
      <c r="J272" s="2445">
        <f t="shared" si="109"/>
        <v>800514</v>
      </c>
      <c r="K272" s="2445">
        <f t="shared" si="109"/>
        <v>173873</v>
      </c>
      <c r="L272" s="2445">
        <f t="shared" si="109"/>
        <v>294213</v>
      </c>
      <c r="M272" s="2445">
        <f t="shared" si="109"/>
        <v>325200.64000000001</v>
      </c>
      <c r="N272" s="2445">
        <f t="shared" si="109"/>
        <v>370614</v>
      </c>
    </row>
    <row r="273" spans="2:14" ht="24" customHeight="1" thickBot="1">
      <c r="C273" s="637"/>
      <c r="D273" s="637"/>
      <c r="E273" s="637"/>
      <c r="I273" s="1865"/>
    </row>
    <row r="274" spans="2:14" ht="15" thickBot="1">
      <c r="B274" s="647" t="s">
        <v>728</v>
      </c>
      <c r="C274" s="648">
        <f t="shared" ref="C274:N274" si="110">SUM(C103-C272)</f>
        <v>3798.1499999999942</v>
      </c>
      <c r="D274" s="1424">
        <f t="shared" si="110"/>
        <v>-2643</v>
      </c>
      <c r="E274" s="648">
        <f t="shared" si="110"/>
        <v>65135</v>
      </c>
      <c r="F274" s="1484">
        <f t="shared" si="110"/>
        <v>-1064.2999999999884</v>
      </c>
      <c r="G274" s="1424">
        <f>SUM(G103-G272)</f>
        <v>-4999</v>
      </c>
      <c r="H274" s="648">
        <f t="shared" si="110"/>
        <v>42095</v>
      </c>
      <c r="I274" s="648">
        <f t="shared" si="110"/>
        <v>48879</v>
      </c>
      <c r="J274" s="648">
        <f>SUM(J103-J272)</f>
        <v>-32506</v>
      </c>
      <c r="K274" s="648">
        <f t="shared" si="110"/>
        <v>-38704</v>
      </c>
      <c r="L274" s="648">
        <f t="shared" si="110"/>
        <v>13353</v>
      </c>
      <c r="M274" s="648">
        <f>SUM(M103-M272)</f>
        <v>-123997.64000000001</v>
      </c>
      <c r="N274" s="648">
        <f t="shared" si="110"/>
        <v>-25297</v>
      </c>
    </row>
    <row r="275" spans="2:14" ht="21.75" customHeight="1" thickBot="1">
      <c r="C275" s="587"/>
      <c r="D275" s="587"/>
      <c r="E275" s="587"/>
      <c r="F275" s="587"/>
      <c r="G275" s="587"/>
      <c r="H275" s="587"/>
      <c r="I275" s="1866"/>
      <c r="J275" s="587"/>
      <c r="K275" s="587"/>
      <c r="L275" s="587"/>
      <c r="M275" s="587"/>
      <c r="N275" s="587"/>
    </row>
    <row r="276" spans="2:14" ht="15" thickBot="1">
      <c r="B276" s="593" t="s">
        <v>729</v>
      </c>
      <c r="C276" s="649">
        <f>+C70+C274</f>
        <v>140565.84351264618</v>
      </c>
      <c r="D276" s="649">
        <f>+D70+D274</f>
        <v>137922.84351264618</v>
      </c>
      <c r="E276" s="649">
        <f>+E70+E274</f>
        <v>203057.84351264618</v>
      </c>
      <c r="F276" s="649">
        <f>SUM(E276+F274)</f>
        <v>201993.5435126462</v>
      </c>
      <c r="G276" s="649">
        <f>SUM(F276+G274)</f>
        <v>196994.5435126462</v>
      </c>
      <c r="H276" s="649">
        <f t="shared" ref="H276:N276" si="111">+H70+H274</f>
        <v>239089.5435126462</v>
      </c>
      <c r="I276" s="1867">
        <f t="shared" si="111"/>
        <v>287968.54351264623</v>
      </c>
      <c r="J276" s="2091">
        <f>+J70+J274</f>
        <v>255462.54351264623</v>
      </c>
      <c r="K276" s="649">
        <f t="shared" si="111"/>
        <v>216758.54351264623</v>
      </c>
      <c r="L276" s="649">
        <f t="shared" si="111"/>
        <v>230111.54351264623</v>
      </c>
      <c r="M276" s="649">
        <f>+M70+M274</f>
        <v>106113.90351264621</v>
      </c>
      <c r="N276" s="649">
        <f t="shared" si="111"/>
        <v>80816.903512646211</v>
      </c>
    </row>
    <row r="277" spans="2:14">
      <c r="D277" s="587"/>
      <c r="E277" s="587"/>
      <c r="F277" s="587"/>
      <c r="G277" s="587"/>
      <c r="H277" s="587"/>
      <c r="I277" s="587"/>
      <c r="J277" s="587"/>
      <c r="K277" s="587"/>
      <c r="L277" s="587"/>
      <c r="M277" s="587"/>
      <c r="N277" s="587"/>
    </row>
    <row r="278" spans="2:14" ht="18" customHeight="1">
      <c r="C278" s="622"/>
      <c r="D278" s="622"/>
      <c r="E278" s="637"/>
      <c r="F278" s="622"/>
    </row>
    <row r="279" spans="2:14">
      <c r="D279" s="622"/>
      <c r="E279" s="637"/>
      <c r="F279" s="622"/>
      <c r="G279" s="622"/>
      <c r="H279" s="622"/>
      <c r="I279" s="622"/>
      <c r="J279" s="622"/>
      <c r="K279" s="622"/>
      <c r="L279" s="622"/>
      <c r="M279" s="622"/>
      <c r="N279" s="622"/>
    </row>
    <row r="280" spans="2:14">
      <c r="E280" s="637"/>
      <c r="L280" s="622"/>
      <c r="M280" s="622"/>
      <c r="N280" s="622"/>
    </row>
    <row r="281" spans="2:14">
      <c r="E281" s="637"/>
      <c r="L281" s="622"/>
      <c r="M281" s="622"/>
      <c r="N281" s="622"/>
    </row>
    <row r="282" spans="2:14">
      <c r="E282" s="622"/>
    </row>
    <row r="283" spans="2:14">
      <c r="E283" s="622"/>
    </row>
  </sheetData>
  <phoneticPr fontId="12" type="noConversion"/>
  <conditionalFormatting sqref="F89:J89">
    <cfRule type="cellIs" dxfId="335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E03-3014-44B0-82C2-9D85E589514F}">
  <sheetPr codeName="Hoja15"/>
  <dimension ref="A1:W285"/>
  <sheetViews>
    <sheetView topLeftCell="A105" zoomScale="80" zoomScaleNormal="80" workbookViewId="0">
      <selection activeCell="D284" sqref="D284"/>
    </sheetView>
  </sheetViews>
  <sheetFormatPr baseColWidth="10" defaultColWidth="9.1640625" defaultRowHeight="15"/>
  <cols>
    <col min="1" max="1" width="13.1640625" bestFit="1" customWidth="1"/>
    <col min="2" max="2" width="54.83203125" customWidth="1"/>
    <col min="3" max="3" width="12.5" customWidth="1"/>
    <col min="4" max="4" width="13" style="654" customWidth="1"/>
    <col min="5" max="5" width="13.5" style="654" customWidth="1"/>
    <col min="6" max="6" width="13" customWidth="1"/>
    <col min="7" max="7" width="14.1640625" customWidth="1"/>
    <col min="8" max="8" width="12.83203125" customWidth="1"/>
    <col min="9" max="9" width="12.5" customWidth="1"/>
    <col min="10" max="10" width="13" customWidth="1"/>
    <col min="11" max="11" width="13.5" bestFit="1" customWidth="1"/>
    <col min="12" max="14" width="12.5" bestFit="1" customWidth="1"/>
    <col min="15" max="15" width="14.83203125" customWidth="1"/>
    <col min="16" max="21" width="15.1640625" customWidth="1"/>
    <col min="22" max="22" width="15.5" customWidth="1"/>
    <col min="23" max="23" width="27" bestFit="1" customWidth="1"/>
    <col min="24" max="24" width="15.5" bestFit="1" customWidth="1"/>
    <col min="25" max="25" width="16.5" bestFit="1" customWidth="1"/>
  </cols>
  <sheetData>
    <row r="1" spans="2:16">
      <c r="B1" s="561" t="s">
        <v>756</v>
      </c>
      <c r="C1" s="13"/>
      <c r="D1" s="13"/>
      <c r="E1" s="13"/>
    </row>
    <row r="2" spans="2:16">
      <c r="B2" s="13"/>
      <c r="C2" s="13"/>
      <c r="D2" s="13"/>
      <c r="E2" s="13"/>
    </row>
    <row r="3" spans="2:16">
      <c r="B3" s="448">
        <v>2025</v>
      </c>
      <c r="C3" s="449"/>
      <c r="D3" s="449"/>
      <c r="E3" s="449"/>
    </row>
    <row r="4" spans="2:16">
      <c r="B4" s="448"/>
      <c r="C4" s="447"/>
      <c r="D4" s="447"/>
      <c r="E4" s="447"/>
    </row>
    <row r="5" spans="2:16" ht="16" thickBot="1">
      <c r="B5" s="450"/>
      <c r="C5" s="451"/>
      <c r="D5" s="451"/>
      <c r="E5" s="451"/>
    </row>
    <row r="6" spans="2:16" ht="16" thickBot="1">
      <c r="B6" s="452" t="s">
        <v>619</v>
      </c>
      <c r="C6" s="453" t="s">
        <v>505</v>
      </c>
      <c r="D6" s="453" t="s">
        <v>505</v>
      </c>
      <c r="E6" s="453" t="s">
        <v>505</v>
      </c>
      <c r="F6" s="453" t="s">
        <v>505</v>
      </c>
      <c r="G6" s="453" t="s">
        <v>505</v>
      </c>
      <c r="H6" s="453" t="s">
        <v>505</v>
      </c>
      <c r="I6" s="453" t="s">
        <v>505</v>
      </c>
      <c r="J6" s="453" t="s">
        <v>505</v>
      </c>
      <c r="K6" s="453" t="s">
        <v>505</v>
      </c>
      <c r="L6" s="453" t="s">
        <v>505</v>
      </c>
      <c r="M6" s="453" t="s">
        <v>505</v>
      </c>
      <c r="N6" s="2513" t="s">
        <v>504</v>
      </c>
      <c r="O6" s="2514"/>
      <c r="P6" s="2515"/>
    </row>
    <row r="7" spans="2:16" ht="16" thickBot="1">
      <c r="B7" s="448"/>
      <c r="C7" s="446"/>
      <c r="D7" s="446"/>
      <c r="E7" s="446"/>
      <c r="F7" s="446"/>
    </row>
    <row r="8" spans="2:16" ht="16" thickBot="1">
      <c r="B8" s="454" t="s">
        <v>1</v>
      </c>
      <c r="C8" s="455">
        <v>45658</v>
      </c>
      <c r="D8" s="455">
        <v>45689</v>
      </c>
      <c r="E8" s="455">
        <v>45717</v>
      </c>
      <c r="F8" s="455">
        <v>45748</v>
      </c>
      <c r="G8" s="455">
        <v>45778</v>
      </c>
      <c r="H8" s="455">
        <v>45809</v>
      </c>
      <c r="I8" s="455">
        <v>45839</v>
      </c>
      <c r="J8" s="455">
        <v>45870</v>
      </c>
      <c r="K8" s="455">
        <v>45901</v>
      </c>
      <c r="L8" s="455">
        <v>45931</v>
      </c>
      <c r="M8" s="455">
        <v>45962</v>
      </c>
      <c r="N8" s="455">
        <v>45992</v>
      </c>
      <c r="O8" s="1663" t="s">
        <v>1785</v>
      </c>
      <c r="P8" s="1663" t="s">
        <v>1799</v>
      </c>
    </row>
    <row r="9" spans="2:16" ht="16" thickBot="1">
      <c r="B9" s="456" t="s">
        <v>606</v>
      </c>
      <c r="C9" s="457">
        <f>+C59</f>
        <v>9622.33</v>
      </c>
      <c r="D9" s="457">
        <f>+D59+D60</f>
        <v>61532.33</v>
      </c>
      <c r="E9" s="458">
        <f>+D49</f>
        <v>78523.33</v>
      </c>
      <c r="F9" s="1442">
        <f>+E49</f>
        <v>140475.33000000002</v>
      </c>
      <c r="G9" s="1442">
        <f>+F49</f>
        <v>159282.63</v>
      </c>
      <c r="H9" s="1442">
        <f>+G49</f>
        <v>21432.630000000005</v>
      </c>
      <c r="I9" s="1442">
        <f t="shared" ref="I9:N9" si="0">+H49</f>
        <v>-744.36999999999534</v>
      </c>
      <c r="J9" s="1442">
        <f t="shared" si="0"/>
        <v>-2576.3699999999953</v>
      </c>
      <c r="K9" s="1442">
        <f t="shared" si="0"/>
        <v>68039.63</v>
      </c>
      <c r="L9" s="1442">
        <f t="shared" si="0"/>
        <v>179973.63</v>
      </c>
      <c r="M9" s="1442">
        <f t="shared" si="0"/>
        <v>426650.63</v>
      </c>
      <c r="N9" s="1442">
        <f t="shared" si="0"/>
        <v>283579.63</v>
      </c>
      <c r="O9" s="458">
        <f>+C9</f>
        <v>9622.33</v>
      </c>
      <c r="P9" s="458">
        <f>+C9</f>
        <v>9622.33</v>
      </c>
    </row>
    <row r="10" spans="2:16" ht="16" thickBot="1">
      <c r="B10" s="456" t="s">
        <v>939</v>
      </c>
      <c r="C10" s="1791"/>
      <c r="D10" s="457"/>
      <c r="E10" s="458"/>
      <c r="F10" s="1442"/>
      <c r="G10" s="1442"/>
      <c r="H10" s="1442"/>
      <c r="I10" s="1442"/>
      <c r="J10" s="1442"/>
      <c r="K10" s="1442"/>
      <c r="L10" s="1442"/>
      <c r="M10" s="1442"/>
      <c r="N10" s="1442"/>
      <c r="O10" s="1790">
        <f>SUM(C10:N10)</f>
        <v>0</v>
      </c>
      <c r="P10" s="1790">
        <f>+SUM(C10:G10)</f>
        <v>0</v>
      </c>
    </row>
    <row r="11" spans="2:16" ht="16" thickBot="1">
      <c r="B11" s="460"/>
      <c r="C11" s="461"/>
      <c r="D11" s="461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461"/>
      <c r="P11" s="461"/>
    </row>
    <row r="12" spans="2:16" ht="16" thickBot="1">
      <c r="B12" s="462" t="s">
        <v>627</v>
      </c>
      <c r="C12" s="1727">
        <f>+C102-C66-C67</f>
        <v>80502</v>
      </c>
      <c r="D12" s="1727">
        <f>+D63+D64</f>
        <v>59683</v>
      </c>
      <c r="E12" s="1727">
        <f>+E63+E64</f>
        <v>42494</v>
      </c>
      <c r="F12" s="1727"/>
      <c r="G12" s="1727">
        <f>+G63+G64</f>
        <v>0</v>
      </c>
      <c r="H12" s="1727"/>
      <c r="I12" s="1727"/>
      <c r="J12" s="1727"/>
      <c r="K12" s="1727"/>
      <c r="L12" s="1727">
        <f>+M63+M64</f>
        <v>0</v>
      </c>
      <c r="M12" s="1727">
        <f>+N63+N64</f>
        <v>0</v>
      </c>
      <c r="N12" s="1727">
        <f>+O63+O64</f>
        <v>0</v>
      </c>
      <c r="O12" s="463">
        <f>SUM(C12:N12)</f>
        <v>182679</v>
      </c>
      <c r="P12" s="463">
        <f>+SUM(C12:K12)</f>
        <v>182679</v>
      </c>
    </row>
    <row r="13" spans="2:16" ht="16" thickBot="1">
      <c r="B13" s="462" t="s">
        <v>626</v>
      </c>
      <c r="C13" s="1727"/>
      <c r="D13" s="1727"/>
      <c r="E13" s="1727">
        <f>+E75</f>
        <v>53828</v>
      </c>
      <c r="F13" s="1727">
        <f t="shared" ref="F13:L13" si="1">+F102</f>
        <v>97209.7</v>
      </c>
      <c r="G13" s="1727">
        <f t="shared" si="1"/>
        <v>37074</v>
      </c>
      <c r="H13" s="1727">
        <f t="shared" si="1"/>
        <v>66563</v>
      </c>
      <c r="I13" s="1727">
        <f t="shared" si="1"/>
        <v>47717</v>
      </c>
      <c r="J13" s="1727">
        <f t="shared" si="1"/>
        <v>119652</v>
      </c>
      <c r="K13" s="1727">
        <f t="shared" si="1"/>
        <v>203588</v>
      </c>
      <c r="L13" s="1727">
        <f t="shared" si="1"/>
        <v>325062</v>
      </c>
      <c r="M13" s="1727">
        <f t="shared" ref="M13:N13" si="2">+M102</f>
        <v>239603</v>
      </c>
      <c r="N13" s="1727">
        <f t="shared" si="2"/>
        <v>224116.50999999998</v>
      </c>
      <c r="O13" s="463">
        <f>SUM(C13:N13)</f>
        <v>1414413.21</v>
      </c>
      <c r="P13" s="463">
        <f>+SUM(C13:K13)</f>
        <v>625631.69999999995</v>
      </c>
    </row>
    <row r="14" spans="2:16" ht="16" thickBot="1">
      <c r="B14" s="462" t="s">
        <v>886</v>
      </c>
      <c r="C14" s="463">
        <f>SUM(C12:C12)</f>
        <v>80502</v>
      </c>
      <c r="D14" s="463">
        <f t="shared" ref="D14:N14" si="3">SUM(D12:D13)</f>
        <v>59683</v>
      </c>
      <c r="E14" s="463">
        <f t="shared" si="3"/>
        <v>96322</v>
      </c>
      <c r="F14" s="463">
        <f t="shared" si="3"/>
        <v>97209.7</v>
      </c>
      <c r="G14" s="463">
        <f>SUM(G12:G13)</f>
        <v>37074</v>
      </c>
      <c r="H14" s="463">
        <f t="shared" si="3"/>
        <v>66563</v>
      </c>
      <c r="I14" s="463">
        <f t="shared" si="3"/>
        <v>47717</v>
      </c>
      <c r="J14" s="463">
        <f t="shared" si="3"/>
        <v>119652</v>
      </c>
      <c r="K14" s="463">
        <f t="shared" si="3"/>
        <v>203588</v>
      </c>
      <c r="L14" s="463">
        <f t="shared" si="3"/>
        <v>325062</v>
      </c>
      <c r="M14" s="463">
        <f t="shared" si="3"/>
        <v>239603</v>
      </c>
      <c r="N14" s="463">
        <f t="shared" si="3"/>
        <v>224116.50999999998</v>
      </c>
      <c r="O14" s="463">
        <f>SUM(O12:O13)</f>
        <v>1597092.21</v>
      </c>
      <c r="P14" s="463">
        <f>SUM(P12:P13)</f>
        <v>808310.7</v>
      </c>
    </row>
    <row r="15" spans="2:16" ht="16" thickBot="1">
      <c r="B15" s="464"/>
      <c r="C15" s="450"/>
      <c r="D15" s="450"/>
      <c r="E15" s="450"/>
      <c r="F15" s="450"/>
      <c r="G15" s="450"/>
      <c r="H15" s="450"/>
      <c r="I15" s="450"/>
      <c r="J15" s="450"/>
      <c r="K15" s="450"/>
      <c r="L15" s="450"/>
      <c r="M15" s="450"/>
      <c r="N15" s="450"/>
      <c r="O15" s="450"/>
      <c r="P15" s="450"/>
    </row>
    <row r="16" spans="2:16" ht="16" thickBot="1">
      <c r="B16" s="465" t="s">
        <v>600</v>
      </c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/>
      <c r="O16" s="450"/>
      <c r="P16" s="450"/>
    </row>
    <row r="17" spans="2:23" ht="16" thickBot="1">
      <c r="B17" s="466" t="s">
        <v>7</v>
      </c>
      <c r="C17" s="467">
        <f>+C129-C23</f>
        <v>8226</v>
      </c>
      <c r="D17" s="467">
        <f t="shared" ref="D17:I17" si="4">+D129-D23</f>
        <v>3998</v>
      </c>
      <c r="E17" s="467">
        <f t="shared" si="4"/>
        <v>4011</v>
      </c>
      <c r="F17" s="467">
        <f t="shared" si="4"/>
        <v>6840</v>
      </c>
      <c r="G17" s="467">
        <f t="shared" si="4"/>
        <v>9160</v>
      </c>
      <c r="H17" s="467">
        <f t="shared" si="4"/>
        <v>9219</v>
      </c>
      <c r="I17" s="467">
        <f t="shared" si="4"/>
        <v>14471</v>
      </c>
      <c r="J17" s="467">
        <f t="shared" ref="J17:K17" si="5">+J129-J23</f>
        <v>5110</v>
      </c>
      <c r="K17" s="467">
        <f t="shared" si="5"/>
        <v>60115</v>
      </c>
      <c r="L17" s="467">
        <f t="shared" ref="L17" si="6">+L129-L23</f>
        <v>942</v>
      </c>
      <c r="M17" s="467">
        <f t="shared" ref="M17:N17" si="7">+M129-M23</f>
        <v>5356</v>
      </c>
      <c r="N17" s="467">
        <f t="shared" si="7"/>
        <v>5940</v>
      </c>
      <c r="O17" s="467">
        <f>SUM(C17:N17)</f>
        <v>133388</v>
      </c>
      <c r="P17" s="467">
        <f>+SUM(C17:K17)</f>
        <v>121150</v>
      </c>
      <c r="Q17" s="843">
        <v>10224</v>
      </c>
      <c r="R17" s="843">
        <v>4867</v>
      </c>
      <c r="S17" s="843">
        <v>5083</v>
      </c>
      <c r="T17" s="843">
        <v>7905</v>
      </c>
      <c r="U17" s="843">
        <v>10228</v>
      </c>
      <c r="V17" s="843">
        <v>11019</v>
      </c>
      <c r="W17" s="1876">
        <v>15351</v>
      </c>
    </row>
    <row r="18" spans="2:23" ht="16" thickBot="1">
      <c r="B18" s="468" t="s">
        <v>8</v>
      </c>
      <c r="C18" s="469">
        <f>+C152</f>
        <v>5700</v>
      </c>
      <c r="D18" s="469">
        <f t="shared" ref="D18:H18" si="8">+D152</f>
        <v>8711</v>
      </c>
      <c r="E18" s="469">
        <f t="shared" si="8"/>
        <v>13627</v>
      </c>
      <c r="F18" s="469">
        <f t="shared" si="8"/>
        <v>27276</v>
      </c>
      <c r="G18" s="469">
        <f t="shared" si="8"/>
        <v>13539</v>
      </c>
      <c r="H18" s="469">
        <f t="shared" si="8"/>
        <v>29391</v>
      </c>
      <c r="I18" s="469">
        <f t="shared" ref="I18:J18" si="9">+I152</f>
        <v>5260</v>
      </c>
      <c r="J18" s="469">
        <f t="shared" si="9"/>
        <v>4915</v>
      </c>
      <c r="K18" s="469">
        <f t="shared" ref="K18:L18" si="10">+K152</f>
        <v>4977</v>
      </c>
      <c r="L18" s="469">
        <f t="shared" si="10"/>
        <v>4518</v>
      </c>
      <c r="M18" s="469">
        <f t="shared" ref="M18:N18" si="11">+M152</f>
        <v>36414</v>
      </c>
      <c r="N18" s="469">
        <f t="shared" si="11"/>
        <v>4876</v>
      </c>
      <c r="O18" s="469">
        <f>SUM(C18:N18)</f>
        <v>159204</v>
      </c>
      <c r="P18" s="469">
        <f>+SUM(C18:K18)</f>
        <v>113396</v>
      </c>
      <c r="Q18" s="22">
        <v>5700</v>
      </c>
      <c r="R18" s="22">
        <v>8711</v>
      </c>
      <c r="S18" s="22">
        <v>13627</v>
      </c>
      <c r="T18" s="22">
        <v>27276</v>
      </c>
      <c r="U18" s="22">
        <v>13539</v>
      </c>
      <c r="V18" s="22">
        <v>29391</v>
      </c>
      <c r="W18" s="22">
        <v>5025</v>
      </c>
    </row>
    <row r="19" spans="2:23" ht="16" thickBot="1">
      <c r="B19" s="468" t="s">
        <v>9</v>
      </c>
      <c r="C19" s="469">
        <f t="shared" ref="C19:H19" si="12">+C219</f>
        <v>3531</v>
      </c>
      <c r="D19" s="469">
        <f t="shared" si="12"/>
        <v>9163</v>
      </c>
      <c r="E19" s="469">
        <f t="shared" si="12"/>
        <v>1231</v>
      </c>
      <c r="F19" s="469">
        <f t="shared" si="12"/>
        <v>7513.4</v>
      </c>
      <c r="G19" s="469">
        <f t="shared" si="12"/>
        <v>5019</v>
      </c>
      <c r="H19" s="469">
        <f t="shared" si="12"/>
        <v>28322</v>
      </c>
      <c r="I19" s="469">
        <f t="shared" ref="I19:J19" si="13">+I219</f>
        <v>3706</v>
      </c>
      <c r="J19" s="469">
        <f t="shared" si="13"/>
        <v>3608</v>
      </c>
      <c r="K19" s="469">
        <f t="shared" ref="K19:L19" si="14">+K219</f>
        <v>3456</v>
      </c>
      <c r="L19" s="469">
        <f t="shared" si="14"/>
        <v>4377</v>
      </c>
      <c r="M19" s="469">
        <f t="shared" ref="M19:N19" si="15">+M219</f>
        <v>1589</v>
      </c>
      <c r="N19" s="469">
        <f t="shared" si="15"/>
        <v>7000</v>
      </c>
      <c r="O19" s="469">
        <f>SUM(C19:N19)</f>
        <v>78515.399999999994</v>
      </c>
      <c r="P19" s="469">
        <f>+SUM(C19:K19)</f>
        <v>65549.399999999994</v>
      </c>
      <c r="Q19" s="843">
        <v>3531</v>
      </c>
      <c r="R19" s="843">
        <v>9163</v>
      </c>
      <c r="S19" s="843">
        <v>1231</v>
      </c>
      <c r="T19" s="843">
        <v>7513.4</v>
      </c>
      <c r="U19" s="843">
        <v>5019</v>
      </c>
      <c r="V19" s="843">
        <v>28322</v>
      </c>
      <c r="W19" s="1878">
        <v>3706</v>
      </c>
    </row>
    <row r="20" spans="2:23" ht="16" thickBot="1">
      <c r="B20" s="462" t="s">
        <v>11</v>
      </c>
      <c r="C20" s="463">
        <f t="shared" ref="C20:O20" si="16">SUM(C17:C19)</f>
        <v>17457</v>
      </c>
      <c r="D20" s="463">
        <f t="shared" si="16"/>
        <v>21872</v>
      </c>
      <c r="E20" s="463">
        <f t="shared" si="16"/>
        <v>18869</v>
      </c>
      <c r="F20" s="463">
        <f t="shared" si="16"/>
        <v>41629.4</v>
      </c>
      <c r="G20" s="463">
        <f t="shared" si="16"/>
        <v>27718</v>
      </c>
      <c r="H20" s="463">
        <f t="shared" si="16"/>
        <v>66932</v>
      </c>
      <c r="I20" s="463">
        <f t="shared" si="16"/>
        <v>23437</v>
      </c>
      <c r="J20" s="463">
        <f t="shared" si="16"/>
        <v>13633</v>
      </c>
      <c r="K20" s="463">
        <f t="shared" si="16"/>
        <v>68548</v>
      </c>
      <c r="L20" s="463">
        <f t="shared" si="16"/>
        <v>9837</v>
      </c>
      <c r="M20" s="463">
        <f t="shared" si="16"/>
        <v>43359</v>
      </c>
      <c r="N20" s="463">
        <f t="shared" si="16"/>
        <v>17816</v>
      </c>
      <c r="O20" s="463">
        <f t="shared" si="16"/>
        <v>371107.4</v>
      </c>
      <c r="P20" s="463">
        <f>SUM(P17:P19)</f>
        <v>300095.40000000002</v>
      </c>
      <c r="Q20" s="79">
        <f>SUM(Q17:Q19)</f>
        <v>19455</v>
      </c>
      <c r="R20" s="79">
        <f t="shared" ref="R20:W20" si="17">SUM(R17:R19)</f>
        <v>22741</v>
      </c>
      <c r="S20" s="79">
        <f t="shared" si="17"/>
        <v>19941</v>
      </c>
      <c r="T20" s="79">
        <f t="shared" si="17"/>
        <v>42694.400000000001</v>
      </c>
      <c r="U20" s="79">
        <f t="shared" si="17"/>
        <v>28786</v>
      </c>
      <c r="V20" s="79">
        <f t="shared" si="17"/>
        <v>68732</v>
      </c>
      <c r="W20" s="79">
        <f t="shared" si="17"/>
        <v>24082</v>
      </c>
    </row>
    <row r="21" spans="2:23" ht="16" thickBot="1">
      <c r="B21" s="445"/>
      <c r="C21" s="470"/>
      <c r="D21" s="470"/>
      <c r="E21" s="470"/>
      <c r="F21" s="470"/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23">
        <f>SUM(Q20-C20)</f>
        <v>1998</v>
      </c>
      <c r="R21" s="423">
        <f t="shared" ref="R21:V21" si="18">SUM(R20-D20)</f>
        <v>869</v>
      </c>
      <c r="S21" s="423">
        <f t="shared" si="18"/>
        <v>1072</v>
      </c>
      <c r="T21" s="423">
        <f t="shared" si="18"/>
        <v>1065</v>
      </c>
      <c r="U21" s="423">
        <f t="shared" si="18"/>
        <v>1068</v>
      </c>
      <c r="V21" s="423">
        <f t="shared" si="18"/>
        <v>1800</v>
      </c>
    </row>
    <row r="22" spans="2:23" ht="16" thickBot="1">
      <c r="B22" s="474" t="s">
        <v>601</v>
      </c>
      <c r="C22" s="470"/>
      <c r="D22" s="470"/>
      <c r="E22" s="470"/>
      <c r="F22" s="470"/>
      <c r="G22" s="470"/>
      <c r="H22" s="470"/>
      <c r="I22" s="470"/>
      <c r="J22" s="470"/>
      <c r="K22" s="470"/>
      <c r="L22" s="470"/>
      <c r="M22" s="470"/>
      <c r="N22" s="470"/>
      <c r="O22" s="470"/>
      <c r="P22" s="470"/>
    </row>
    <row r="23" spans="2:23">
      <c r="B23" s="439" t="s">
        <v>614</v>
      </c>
      <c r="C23" s="467">
        <f>+C119+C120</f>
        <v>1998</v>
      </c>
      <c r="D23" s="467">
        <f t="shared" ref="D23:I23" si="19">+D119+D120</f>
        <v>869</v>
      </c>
      <c r="E23" s="467">
        <f t="shared" si="19"/>
        <v>1072</v>
      </c>
      <c r="F23" s="467">
        <f t="shared" si="19"/>
        <v>1065</v>
      </c>
      <c r="G23" s="467">
        <f t="shared" si="19"/>
        <v>1068</v>
      </c>
      <c r="H23" s="467">
        <f t="shared" si="19"/>
        <v>1800</v>
      </c>
      <c r="I23" s="467">
        <f t="shared" si="19"/>
        <v>880</v>
      </c>
      <c r="J23" s="467">
        <f t="shared" ref="J23:K23" si="20">+J119+J120</f>
        <v>1178</v>
      </c>
      <c r="K23" s="467">
        <f t="shared" si="20"/>
        <v>1452</v>
      </c>
      <c r="L23" s="467">
        <f t="shared" ref="L23:M23" si="21">+L119+L120</f>
        <v>2251</v>
      </c>
      <c r="M23" s="467">
        <f t="shared" si="21"/>
        <v>1962</v>
      </c>
      <c r="N23" s="467">
        <f t="shared" ref="N23" si="22">+N119+N120</f>
        <v>1221</v>
      </c>
      <c r="O23" s="472">
        <f>SUM(C23:N23)</f>
        <v>16816</v>
      </c>
      <c r="P23" s="472">
        <f>+SUM(C23:K23)</f>
        <v>11382</v>
      </c>
    </row>
    <row r="24" spans="2:23" ht="16" thickBot="1">
      <c r="B24" s="440" t="s">
        <v>13</v>
      </c>
      <c r="C24" s="469">
        <f t="shared" ref="C24:I24" si="23">+C227</f>
        <v>1568</v>
      </c>
      <c r="D24" s="469">
        <f t="shared" si="23"/>
        <v>2220</v>
      </c>
      <c r="E24" s="469">
        <f t="shared" si="23"/>
        <v>6484</v>
      </c>
      <c r="F24" s="469">
        <f t="shared" si="23"/>
        <v>9310</v>
      </c>
      <c r="G24" s="469">
        <f t="shared" si="23"/>
        <v>4543</v>
      </c>
      <c r="H24" s="469">
        <f t="shared" si="23"/>
        <v>7554</v>
      </c>
      <c r="I24" s="469">
        <f t="shared" si="23"/>
        <v>6702</v>
      </c>
      <c r="J24" s="469">
        <f t="shared" ref="J24:K24" si="24">+J227</f>
        <v>6664</v>
      </c>
      <c r="K24" s="469">
        <f t="shared" si="24"/>
        <v>7323</v>
      </c>
      <c r="L24" s="469">
        <f t="shared" ref="L24:M24" si="25">+L227</f>
        <v>1961</v>
      </c>
      <c r="M24" s="469">
        <f t="shared" si="25"/>
        <v>2650</v>
      </c>
      <c r="N24" s="469">
        <f t="shared" ref="N24" si="26">+N227</f>
        <v>3964</v>
      </c>
      <c r="O24" s="473">
        <f>SUM(C24:N24)</f>
        <v>60943</v>
      </c>
      <c r="P24" s="473">
        <f>+SUM(C24:K24)</f>
        <v>52368</v>
      </c>
    </row>
    <row r="25" spans="2:23" ht="16" thickBot="1">
      <c r="B25" s="462" t="s">
        <v>613</v>
      </c>
      <c r="C25" s="463">
        <f>SUM(C23:C24)</f>
        <v>3566</v>
      </c>
      <c r="D25" s="463">
        <f>SUM(D23:D24)</f>
        <v>3089</v>
      </c>
      <c r="E25" s="463">
        <f>SUM(E23:E24)</f>
        <v>7556</v>
      </c>
      <c r="F25" s="463">
        <f>SUM(F23:F24)</f>
        <v>10375</v>
      </c>
      <c r="G25" s="463">
        <f>SUM(G23:G24)</f>
        <v>5611</v>
      </c>
      <c r="H25" s="463">
        <f t="shared" ref="H25:N25" si="27">SUM(H23:H24)</f>
        <v>9354</v>
      </c>
      <c r="I25" s="463">
        <f t="shared" si="27"/>
        <v>7582</v>
      </c>
      <c r="J25" s="463">
        <f t="shared" si="27"/>
        <v>7842</v>
      </c>
      <c r="K25" s="463">
        <f t="shared" si="27"/>
        <v>8775</v>
      </c>
      <c r="L25" s="463">
        <f t="shared" si="27"/>
        <v>4212</v>
      </c>
      <c r="M25" s="463">
        <f t="shared" si="27"/>
        <v>4612</v>
      </c>
      <c r="N25" s="463">
        <f t="shared" si="27"/>
        <v>5185</v>
      </c>
      <c r="O25" s="463">
        <f>SUM(O23:O24)</f>
        <v>77759</v>
      </c>
      <c r="P25" s="463">
        <f>SUM(P23:P24)</f>
        <v>63750</v>
      </c>
    </row>
    <row r="26" spans="2:23" ht="16" thickBot="1">
      <c r="B26" s="445"/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</row>
    <row r="27" spans="2:23" ht="16" thickBot="1">
      <c r="B27" s="475" t="s">
        <v>732</v>
      </c>
      <c r="C27" s="476">
        <v>0</v>
      </c>
      <c r="D27" s="476">
        <f>+D232</f>
        <v>2851</v>
      </c>
      <c r="E27" s="476">
        <v>0</v>
      </c>
      <c r="F27" s="476">
        <v>0</v>
      </c>
      <c r="G27" s="476">
        <v>0</v>
      </c>
      <c r="H27" s="476">
        <v>0</v>
      </c>
      <c r="I27" s="476"/>
      <c r="J27" s="476"/>
      <c r="K27" s="476"/>
      <c r="L27" s="476"/>
      <c r="M27" s="476"/>
      <c r="N27" s="476"/>
      <c r="O27" s="463">
        <f>SUM(C27:N27)</f>
        <v>2851</v>
      </c>
      <c r="P27" s="463">
        <f>+SUM(C27:K27)</f>
        <v>2851</v>
      </c>
    </row>
    <row r="28" spans="2:23" ht="16" thickBot="1"/>
    <row r="29" spans="2:23" ht="16" thickBot="1">
      <c r="B29" s="456" t="s">
        <v>1020</v>
      </c>
      <c r="C29" s="471">
        <f>SUM(C14-C20-C25-C27)</f>
        <v>59479</v>
      </c>
      <c r="D29" s="471">
        <f t="shared" ref="D29:N29" si="28">SUM(D14-D20-D25-D27)</f>
        <v>31871</v>
      </c>
      <c r="E29" s="471">
        <f t="shared" si="28"/>
        <v>69897</v>
      </c>
      <c r="F29" s="471">
        <f t="shared" si="28"/>
        <v>45205.299999999996</v>
      </c>
      <c r="G29" s="471">
        <f t="shared" si="28"/>
        <v>3745</v>
      </c>
      <c r="H29" s="1941">
        <f t="shared" si="28"/>
        <v>-9723</v>
      </c>
      <c r="I29" s="471">
        <f t="shared" si="28"/>
        <v>16698</v>
      </c>
      <c r="J29" s="471">
        <f t="shared" si="28"/>
        <v>98177</v>
      </c>
      <c r="K29" s="471">
        <f t="shared" si="28"/>
        <v>126265</v>
      </c>
      <c r="L29" s="471">
        <f t="shared" si="28"/>
        <v>311013</v>
      </c>
      <c r="M29" s="471">
        <f t="shared" si="28"/>
        <v>191632</v>
      </c>
      <c r="N29" s="471">
        <f t="shared" si="28"/>
        <v>201115.50999999998</v>
      </c>
      <c r="O29" s="471">
        <f>SUM(O14-O20-O25-O27)</f>
        <v>1145374.81</v>
      </c>
      <c r="P29" s="471">
        <f>SUM(P14-P20-P25-P27)</f>
        <v>441614.29999999993</v>
      </c>
    </row>
    <row r="30" spans="2:23" ht="16" thickBot="1">
      <c r="B30" s="445"/>
      <c r="C30" s="470"/>
      <c r="D30" s="470"/>
      <c r="E30" s="470"/>
      <c r="F30" s="470"/>
      <c r="G30" s="470"/>
      <c r="H30" s="470"/>
      <c r="I30" s="470"/>
      <c r="J30" s="470"/>
      <c r="K30" s="470"/>
      <c r="L30" s="470"/>
      <c r="M30" s="470"/>
      <c r="N30" s="470"/>
      <c r="O30" s="470"/>
      <c r="P30" s="470"/>
    </row>
    <row r="31" spans="2:23" ht="16" thickBot="1">
      <c r="B31" s="474" t="s">
        <v>5</v>
      </c>
      <c r="C31" s="479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1"/>
    </row>
    <row r="32" spans="2:23">
      <c r="B32" s="480" t="s">
        <v>1381</v>
      </c>
      <c r="C32" s="1733"/>
      <c r="D32" s="1733"/>
      <c r="E32" s="1733"/>
      <c r="F32" s="1733"/>
      <c r="G32" s="1733">
        <f t="shared" ref="G32:L32" si="29">+G110</f>
        <v>1526</v>
      </c>
      <c r="H32" s="1733">
        <f t="shared" si="29"/>
        <v>0</v>
      </c>
      <c r="I32" s="1733">
        <f t="shared" si="29"/>
        <v>0</v>
      </c>
      <c r="J32" s="1733">
        <f t="shared" si="29"/>
        <v>0</v>
      </c>
      <c r="K32" s="1733">
        <f t="shared" si="29"/>
        <v>0</v>
      </c>
      <c r="L32" s="1733">
        <f t="shared" si="29"/>
        <v>1803</v>
      </c>
      <c r="M32" s="1733">
        <f t="shared" ref="M32:N32" si="30">+M110</f>
        <v>1622</v>
      </c>
      <c r="N32" s="1733">
        <f t="shared" si="30"/>
        <v>0</v>
      </c>
      <c r="O32" s="481">
        <f>SUM(C32:N32)</f>
        <v>4951</v>
      </c>
      <c r="P32" s="481">
        <f>+SUM(C32:K32)</f>
        <v>1526</v>
      </c>
    </row>
    <row r="33" spans="2:16" ht="16" thickBot="1">
      <c r="B33" s="754" t="s">
        <v>762</v>
      </c>
      <c r="C33" s="1734">
        <f>+C66+C67</f>
        <v>6388</v>
      </c>
      <c r="D33" s="1734">
        <f>+D68</f>
        <v>363</v>
      </c>
      <c r="E33" s="1734"/>
      <c r="F33" s="1734"/>
      <c r="G33" s="1734"/>
      <c r="H33" s="1734"/>
      <c r="I33" s="1734"/>
      <c r="J33" s="1734"/>
      <c r="K33" s="1734"/>
      <c r="L33" s="1732"/>
      <c r="M33" s="1732"/>
      <c r="N33" s="1732"/>
      <c r="O33" s="757">
        <f>SUM(C33:N33)</f>
        <v>6751</v>
      </c>
      <c r="P33" s="757">
        <f>+SUM(C33:K33)</f>
        <v>6751</v>
      </c>
    </row>
    <row r="34" spans="2:16" ht="16" thickBot="1">
      <c r="B34" s="493" t="s">
        <v>5</v>
      </c>
      <c r="C34" s="494">
        <f t="shared" ref="C34:O34" si="31">SUM(C32:C33)</f>
        <v>6388</v>
      </c>
      <c r="D34" s="494">
        <f t="shared" si="31"/>
        <v>363</v>
      </c>
      <c r="E34" s="494">
        <f t="shared" si="31"/>
        <v>0</v>
      </c>
      <c r="F34" s="494">
        <f t="shared" si="31"/>
        <v>0</v>
      </c>
      <c r="G34" s="494">
        <f t="shared" si="31"/>
        <v>1526</v>
      </c>
      <c r="H34" s="494">
        <f t="shared" si="31"/>
        <v>0</v>
      </c>
      <c r="I34" s="494">
        <f t="shared" si="31"/>
        <v>0</v>
      </c>
      <c r="J34" s="494">
        <f t="shared" ref="J34" si="32">SUM(J32:J33)</f>
        <v>0</v>
      </c>
      <c r="K34" s="476">
        <f t="shared" si="31"/>
        <v>0</v>
      </c>
      <c r="L34" s="476">
        <f t="shared" si="31"/>
        <v>1803</v>
      </c>
      <c r="M34" s="476">
        <f t="shared" si="31"/>
        <v>1622</v>
      </c>
      <c r="N34" s="476">
        <f t="shared" si="31"/>
        <v>0</v>
      </c>
      <c r="O34" s="1455">
        <f t="shared" si="31"/>
        <v>11702</v>
      </c>
      <c r="P34" s="1455">
        <f>SUM(P32:P33)</f>
        <v>8277</v>
      </c>
    </row>
    <row r="35" spans="2:16" ht="16" thickBot="1">
      <c r="B35" s="445"/>
      <c r="C35" s="461"/>
      <c r="D35" s="461"/>
      <c r="E35" s="461"/>
      <c r="F35" s="461"/>
      <c r="G35" s="461"/>
      <c r="H35" s="461"/>
      <c r="I35" s="461"/>
      <c r="J35" s="461"/>
      <c r="K35" s="461"/>
      <c r="L35" s="461"/>
      <c r="M35" s="461"/>
      <c r="N35" s="461"/>
      <c r="O35" s="461"/>
      <c r="P35" s="461"/>
    </row>
    <row r="36" spans="2:16" ht="16" thickBot="1">
      <c r="B36" s="462" t="s">
        <v>616</v>
      </c>
      <c r="C36" s="461"/>
      <c r="D36" s="461"/>
      <c r="E36" s="461"/>
      <c r="F36" s="461"/>
      <c r="G36" s="461"/>
      <c r="H36" s="461"/>
      <c r="I36" s="461"/>
      <c r="J36" s="461"/>
      <c r="K36" s="461"/>
      <c r="L36" s="461"/>
      <c r="M36" s="461"/>
      <c r="N36" s="461"/>
      <c r="O36" s="461"/>
      <c r="P36" s="461"/>
    </row>
    <row r="37" spans="2:16" ht="16" thickBot="1">
      <c r="B37" s="480" t="s">
        <v>15</v>
      </c>
      <c r="C37" s="550">
        <f t="shared" ref="C37:I37" si="33">+C246</f>
        <v>13957</v>
      </c>
      <c r="D37" s="550">
        <f t="shared" si="33"/>
        <v>15243</v>
      </c>
      <c r="E37" s="550">
        <f t="shared" si="33"/>
        <v>7945</v>
      </c>
      <c r="F37" s="550">
        <f t="shared" si="33"/>
        <v>26398</v>
      </c>
      <c r="G37" s="550">
        <f t="shared" si="33"/>
        <v>9411</v>
      </c>
      <c r="H37" s="550">
        <f t="shared" si="33"/>
        <v>12454</v>
      </c>
      <c r="I37" s="550">
        <f t="shared" si="33"/>
        <v>18530</v>
      </c>
      <c r="J37" s="550">
        <f t="shared" ref="J37:N37" si="34">+J246</f>
        <v>27561</v>
      </c>
      <c r="K37" s="550">
        <f t="shared" si="34"/>
        <v>21983</v>
      </c>
      <c r="L37" s="550">
        <f t="shared" si="34"/>
        <v>67960</v>
      </c>
      <c r="M37" s="550">
        <f t="shared" si="34"/>
        <v>58112</v>
      </c>
      <c r="N37" s="550">
        <f t="shared" si="34"/>
        <v>95607</v>
      </c>
      <c r="O37" s="550">
        <f>SUM(C37:N37)</f>
        <v>375161</v>
      </c>
      <c r="P37" s="550">
        <f>+SUM(C37:K37)</f>
        <v>153482</v>
      </c>
    </row>
    <row r="38" spans="2:16" ht="16" thickBot="1">
      <c r="B38" s="560" t="s">
        <v>631</v>
      </c>
      <c r="C38" s="558">
        <f t="shared" ref="C38:O38" si="35">SUM(C37:C37)</f>
        <v>13957</v>
      </c>
      <c r="D38" s="558">
        <f t="shared" si="35"/>
        <v>15243</v>
      </c>
      <c r="E38" s="559">
        <f t="shared" si="35"/>
        <v>7945</v>
      </c>
      <c r="F38" s="559">
        <f t="shared" si="35"/>
        <v>26398</v>
      </c>
      <c r="G38" s="559">
        <f t="shared" si="35"/>
        <v>9411</v>
      </c>
      <c r="H38" s="559">
        <f t="shared" si="35"/>
        <v>12454</v>
      </c>
      <c r="I38" s="559">
        <f t="shared" si="35"/>
        <v>18530</v>
      </c>
      <c r="J38" s="559">
        <f t="shared" ref="J38" si="36">SUM(J37:J37)</f>
        <v>27561</v>
      </c>
      <c r="K38" s="559">
        <f t="shared" si="35"/>
        <v>21983</v>
      </c>
      <c r="L38" s="559">
        <f t="shared" si="35"/>
        <v>67960</v>
      </c>
      <c r="M38" s="559">
        <f t="shared" si="35"/>
        <v>58112</v>
      </c>
      <c r="N38" s="559">
        <f t="shared" si="35"/>
        <v>95607</v>
      </c>
      <c r="O38" s="559">
        <f t="shared" si="35"/>
        <v>375161</v>
      </c>
      <c r="P38" s="559">
        <f>SUM(P37:P37)</f>
        <v>153482</v>
      </c>
    </row>
    <row r="39" spans="2:16" ht="16" thickBot="1">
      <c r="B39" s="444"/>
      <c r="C39" s="444"/>
      <c r="D39" s="444"/>
      <c r="E39" s="444"/>
      <c r="F39" s="444"/>
      <c r="G39" s="444"/>
      <c r="H39" s="444"/>
      <c r="I39" s="444"/>
      <c r="J39" s="444"/>
      <c r="K39" s="444"/>
      <c r="L39" s="444"/>
      <c r="M39" s="444"/>
      <c r="N39" s="444"/>
      <c r="O39" s="444"/>
      <c r="P39" s="444"/>
    </row>
    <row r="40" spans="2:16" ht="16" thickBot="1">
      <c r="B40" s="496" t="s">
        <v>617</v>
      </c>
      <c r="C40" s="497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</row>
    <row r="41" spans="2:16">
      <c r="B41" s="441" t="s">
        <v>1258</v>
      </c>
      <c r="C41" s="1544"/>
      <c r="D41" s="1545"/>
      <c r="E41" s="1545"/>
      <c r="F41" s="1545"/>
      <c r="G41" s="1545">
        <f>+G253</f>
        <v>133710</v>
      </c>
      <c r="H41" s="1545">
        <f t="shared" ref="H41:M41" si="37">+H253</f>
        <v>0</v>
      </c>
      <c r="I41" s="1545">
        <f t="shared" si="37"/>
        <v>0</v>
      </c>
      <c r="J41" s="1545">
        <f t="shared" si="37"/>
        <v>0</v>
      </c>
      <c r="K41" s="1545">
        <f t="shared" si="37"/>
        <v>0</v>
      </c>
      <c r="L41" s="1545">
        <f t="shared" si="37"/>
        <v>0</v>
      </c>
      <c r="M41" s="1545">
        <f t="shared" si="37"/>
        <v>278213</v>
      </c>
      <c r="N41" s="1545">
        <f>+N253</f>
        <v>0</v>
      </c>
      <c r="O41" s="1545">
        <f>SUM(C41:N41)</f>
        <v>411923</v>
      </c>
      <c r="P41" s="1545">
        <f>+SUM(C41:K41)</f>
        <v>133710</v>
      </c>
    </row>
    <row r="42" spans="2:16" ht="16" thickBot="1">
      <c r="B42" s="442" t="s">
        <v>609</v>
      </c>
      <c r="C42" s="443"/>
      <c r="D42" s="443"/>
      <c r="E42" s="443"/>
      <c r="F42" s="443"/>
      <c r="G42" s="443"/>
      <c r="H42" s="443"/>
      <c r="I42" s="443"/>
      <c r="J42" s="443"/>
      <c r="K42" s="443"/>
      <c r="L42" s="443"/>
      <c r="M42" s="443"/>
      <c r="N42" s="443"/>
      <c r="O42" s="443">
        <f>SUM(C42:N42)</f>
        <v>0</v>
      </c>
      <c r="P42" s="443">
        <f>+SUM(C42:K42)</f>
        <v>0</v>
      </c>
    </row>
    <row r="43" spans="2:16" ht="16" thickBot="1">
      <c r="B43" s="560" t="s">
        <v>608</v>
      </c>
      <c r="C43" s="558">
        <f t="shared" ref="C43:P43" si="38">SUM(C41:C42)</f>
        <v>0</v>
      </c>
      <c r="D43" s="558">
        <f t="shared" si="38"/>
        <v>0</v>
      </c>
      <c r="E43" s="558">
        <f t="shared" si="38"/>
        <v>0</v>
      </c>
      <c r="F43" s="558">
        <f t="shared" si="38"/>
        <v>0</v>
      </c>
      <c r="G43" s="558">
        <f t="shared" si="38"/>
        <v>133710</v>
      </c>
      <c r="H43" s="558">
        <f t="shared" si="38"/>
        <v>0</v>
      </c>
      <c r="I43" s="558">
        <f t="shared" si="38"/>
        <v>0</v>
      </c>
      <c r="J43" s="558">
        <f t="shared" si="38"/>
        <v>0</v>
      </c>
      <c r="K43" s="558">
        <f t="shared" si="38"/>
        <v>0</v>
      </c>
      <c r="L43" s="558">
        <f t="shared" si="38"/>
        <v>0</v>
      </c>
      <c r="M43" s="558">
        <f t="shared" si="38"/>
        <v>278213</v>
      </c>
      <c r="N43" s="558">
        <f t="shared" si="38"/>
        <v>0</v>
      </c>
      <c r="O43" s="558">
        <f t="shared" si="38"/>
        <v>411923</v>
      </c>
      <c r="P43" s="558">
        <f t="shared" si="38"/>
        <v>133710</v>
      </c>
    </row>
    <row r="44" spans="2:16" ht="16" thickBot="1">
      <c r="B44" s="498"/>
      <c r="C44" s="499"/>
      <c r="D44" s="499"/>
      <c r="E44" s="499"/>
      <c r="F44" s="1441"/>
      <c r="G44" s="1441"/>
      <c r="H44" s="1441"/>
      <c r="I44" s="1441"/>
      <c r="J44" s="1441"/>
      <c r="K44" s="1441"/>
      <c r="L44" s="1441"/>
      <c r="M44" s="1441"/>
      <c r="N44" s="1441"/>
      <c r="O44" s="499"/>
      <c r="P44" s="499"/>
    </row>
    <row r="45" spans="2:16" ht="16" thickBot="1">
      <c r="B45" s="475" t="s">
        <v>618</v>
      </c>
      <c r="C45" s="500">
        <f>SUM(C29+C34-C38-C43)</f>
        <v>51910</v>
      </c>
      <c r="D45" s="500">
        <f t="shared" ref="D45:N45" si="39">SUM(D29+D34-D38-D43)</f>
        <v>16991</v>
      </c>
      <c r="E45" s="500">
        <f t="shared" si="39"/>
        <v>61952</v>
      </c>
      <c r="F45" s="500">
        <f t="shared" si="39"/>
        <v>18807.299999999996</v>
      </c>
      <c r="G45" s="753">
        <f t="shared" si="39"/>
        <v>-137850</v>
      </c>
      <c r="H45" s="753">
        <f>SUM(H29+H34-H38-H43)</f>
        <v>-22177</v>
      </c>
      <c r="I45" s="753">
        <f>SUM(I29+I34-I38-I43)</f>
        <v>-1832</v>
      </c>
      <c r="J45" s="1836">
        <f>SUM(J29+J34-J38-J43)</f>
        <v>70616</v>
      </c>
      <c r="K45" s="1836">
        <f>SUM(K29+K34-K38-K43)</f>
        <v>104282</v>
      </c>
      <c r="L45" s="500">
        <f t="shared" si="39"/>
        <v>244856</v>
      </c>
      <c r="M45" s="500">
        <f>SUM(M29+M34-M38-M43)</f>
        <v>-143071</v>
      </c>
      <c r="N45" s="500">
        <f t="shared" si="39"/>
        <v>105508.50999999998</v>
      </c>
      <c r="O45" s="500">
        <f>SUM(O29+O34-O38-O43)</f>
        <v>369992.81000000006</v>
      </c>
      <c r="P45" s="500">
        <f>SUM(P29+P34-P38-P43)</f>
        <v>162699.29999999993</v>
      </c>
    </row>
    <row r="46" spans="2:16">
      <c r="B46" s="444"/>
      <c r="C46" s="446"/>
      <c r="D46" s="446"/>
      <c r="E46" s="446"/>
      <c r="F46" s="446"/>
      <c r="G46" s="446"/>
      <c r="H46" s="446"/>
      <c r="I46" s="446"/>
      <c r="J46" s="446"/>
      <c r="K46" s="446"/>
      <c r="L46" s="446"/>
      <c r="M46" s="446"/>
      <c r="N46" s="446"/>
      <c r="O46" s="446"/>
      <c r="P46" s="446"/>
    </row>
    <row r="47" spans="2:16">
      <c r="B47" s="2489" t="s">
        <v>1924</v>
      </c>
      <c r="C47" s="446"/>
      <c r="D47" s="446"/>
      <c r="E47" s="446"/>
      <c r="F47" s="446"/>
      <c r="G47" s="446"/>
      <c r="H47" s="446"/>
      <c r="I47" s="446"/>
      <c r="J47" s="446"/>
      <c r="K47" s="446">
        <f>+K274</f>
        <v>7652</v>
      </c>
      <c r="L47" s="446">
        <f>+L274</f>
        <v>1821</v>
      </c>
      <c r="M47" s="446"/>
      <c r="N47" s="446"/>
      <c r="O47" s="446">
        <f>SUM(C47:N47)</f>
        <v>9473</v>
      </c>
      <c r="P47" s="446"/>
    </row>
    <row r="48" spans="2:16" ht="16" thickBot="1">
      <c r="B48" s="444"/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  <c r="O48" s="446"/>
      <c r="P48" s="446"/>
    </row>
    <row r="49" spans="2:16" ht="16" thickBot="1">
      <c r="B49" s="475" t="s">
        <v>622</v>
      </c>
      <c r="C49" s="500">
        <f>SUM(C9+C45)</f>
        <v>61532.33</v>
      </c>
      <c r="D49" s="500">
        <f t="shared" ref="D49:J49" si="40">SUM(C49+D45)</f>
        <v>78523.33</v>
      </c>
      <c r="E49" s="500">
        <f t="shared" si="40"/>
        <v>140475.33000000002</v>
      </c>
      <c r="F49" s="500">
        <f t="shared" si="40"/>
        <v>159282.63</v>
      </c>
      <c r="G49" s="500">
        <f t="shared" si="40"/>
        <v>21432.630000000005</v>
      </c>
      <c r="H49" s="753">
        <f t="shared" si="40"/>
        <v>-744.36999999999534</v>
      </c>
      <c r="I49" s="753">
        <f t="shared" si="40"/>
        <v>-2576.3699999999953</v>
      </c>
      <c r="J49" s="500">
        <f t="shared" si="40"/>
        <v>68039.63</v>
      </c>
      <c r="K49" s="1938">
        <f>SUM(K45+J49+K47)</f>
        <v>179973.63</v>
      </c>
      <c r="L49" s="500">
        <f>SUM(L45+K49+L47)</f>
        <v>426650.63</v>
      </c>
      <c r="M49" s="500">
        <f t="shared" ref="M49" si="41">SUM(M45+L49)</f>
        <v>283579.63</v>
      </c>
      <c r="N49" s="500">
        <f>SUM(N45+M49)</f>
        <v>389088.14</v>
      </c>
      <c r="O49" s="500">
        <f>SUM(O45+O9+O47)</f>
        <v>389088.14000000007</v>
      </c>
      <c r="P49" s="2230">
        <f>SUM(P9+P45)-39</f>
        <v>172282.62999999992</v>
      </c>
    </row>
    <row r="50" spans="2:16">
      <c r="B50" s="448"/>
      <c r="C50" s="446">
        <f>SUM(C276)</f>
        <v>61532.33</v>
      </c>
      <c r="D50" s="446">
        <f>SUM(D276)</f>
        <v>78523.33</v>
      </c>
      <c r="E50" s="446">
        <f>SUM(E276)</f>
        <v>140475.33000000002</v>
      </c>
      <c r="F50" s="446">
        <f>SUM(F276)</f>
        <v>159282.63</v>
      </c>
      <c r="G50" s="1575">
        <f>+G276</f>
        <v>21432.630000000005</v>
      </c>
      <c r="H50" s="1896">
        <f>+H276</f>
        <v>-744.36999999999534</v>
      </c>
      <c r="I50" s="1896">
        <f>+I276</f>
        <v>-2576.3699999999953</v>
      </c>
      <c r="J50" s="446">
        <f>+J276</f>
        <v>68039.63</v>
      </c>
      <c r="K50" s="446">
        <f>+K276</f>
        <v>179973.63</v>
      </c>
      <c r="L50" s="1575"/>
      <c r="M50" s="446"/>
      <c r="N50" s="446"/>
      <c r="O50" s="446"/>
    </row>
    <row r="51" spans="2:16">
      <c r="B51" s="501"/>
      <c r="C51" s="502"/>
      <c r="D51" s="502"/>
      <c r="E51" s="502"/>
      <c r="F51" s="502"/>
      <c r="G51" s="502"/>
      <c r="H51" s="502"/>
      <c r="I51" s="502"/>
      <c r="J51" s="502"/>
      <c r="K51" s="502"/>
      <c r="L51" s="502"/>
      <c r="M51" s="502"/>
      <c r="N51" s="502"/>
      <c r="O51" s="502"/>
      <c r="P51" s="502"/>
    </row>
    <row r="52" spans="2:16">
      <c r="B52" s="444"/>
      <c r="C52" s="446"/>
      <c r="D52" s="446"/>
      <c r="E52" s="446"/>
      <c r="F52" s="446"/>
      <c r="G52" s="446"/>
      <c r="H52" s="656"/>
      <c r="I52" s="446"/>
      <c r="J52" s="446"/>
      <c r="K52" s="446"/>
      <c r="L52" s="446"/>
      <c r="M52" s="446"/>
      <c r="N52" s="446"/>
    </row>
    <row r="53" spans="2:16">
      <c r="B53" s="448"/>
      <c r="C53" s="446"/>
      <c r="D53" s="446"/>
      <c r="E53" s="446"/>
      <c r="F53" s="446"/>
      <c r="G53" s="446"/>
      <c r="H53" s="446"/>
      <c r="I53" s="446"/>
      <c r="J53" s="2">
        <f>SUM(J49-J50)</f>
        <v>0</v>
      </c>
      <c r="P53" s="2"/>
    </row>
    <row r="54" spans="2:16">
      <c r="C54" s="654"/>
      <c r="E54"/>
    </row>
    <row r="55" spans="2:16">
      <c r="C55" s="654"/>
      <c r="E55"/>
    </row>
    <row r="56" spans="2:16">
      <c r="C56" s="797" t="s">
        <v>632</v>
      </c>
      <c r="D56" s="797" t="s">
        <v>632</v>
      </c>
      <c r="E56" s="797" t="s">
        <v>632</v>
      </c>
      <c r="F56" s="797" t="s">
        <v>632</v>
      </c>
      <c r="G56" s="797" t="s">
        <v>632</v>
      </c>
      <c r="H56" s="797" t="s">
        <v>632</v>
      </c>
      <c r="I56" s="797" t="s">
        <v>632</v>
      </c>
      <c r="J56" s="797" t="s">
        <v>632</v>
      </c>
      <c r="K56" s="797" t="s">
        <v>632</v>
      </c>
      <c r="L56" s="797" t="s">
        <v>632</v>
      </c>
      <c r="M56" s="797" t="s">
        <v>632</v>
      </c>
      <c r="N56" s="797" t="s">
        <v>632</v>
      </c>
    </row>
    <row r="57" spans="2:16" ht="16" thickBot="1">
      <c r="B57" s="796"/>
      <c r="C57" s="798" t="s">
        <v>887</v>
      </c>
      <c r="D57" s="797" t="s">
        <v>887</v>
      </c>
      <c r="E57" s="797"/>
      <c r="F57" s="797"/>
      <c r="G57" s="797"/>
      <c r="H57" s="797"/>
      <c r="I57" s="797"/>
      <c r="J57" s="797"/>
      <c r="K57" s="797"/>
      <c r="L57" s="797"/>
      <c r="M57" s="797"/>
      <c r="N57" s="797"/>
    </row>
    <row r="58" spans="2:16" ht="16" thickBot="1">
      <c r="B58" s="797"/>
      <c r="C58" s="799" t="s">
        <v>888</v>
      </c>
      <c r="D58" s="800">
        <v>45689</v>
      </c>
      <c r="E58" s="800">
        <v>45717</v>
      </c>
      <c r="F58" s="799" t="s">
        <v>889</v>
      </c>
      <c r="G58" s="800">
        <v>45778</v>
      </c>
      <c r="H58" s="800">
        <v>45809</v>
      </c>
      <c r="I58" s="800">
        <v>45839</v>
      </c>
      <c r="J58" s="799" t="s">
        <v>890</v>
      </c>
      <c r="K58" s="800">
        <v>45901</v>
      </c>
      <c r="L58" s="800">
        <v>45931</v>
      </c>
      <c r="M58" s="800">
        <v>45962</v>
      </c>
      <c r="N58" s="799" t="s">
        <v>891</v>
      </c>
    </row>
    <row r="59" spans="2:16" ht="16" thickBot="1">
      <c r="B59" s="796"/>
      <c r="C59" s="801">
        <v>9622.33</v>
      </c>
      <c r="D59" s="801">
        <f>+C276</f>
        <v>61532.33</v>
      </c>
      <c r="E59" s="801">
        <f>+D276</f>
        <v>78523.33</v>
      </c>
      <c r="F59" s="801">
        <f>+E276</f>
        <v>140475.33000000002</v>
      </c>
      <c r="G59" s="801">
        <f>+F276</f>
        <v>159282.63</v>
      </c>
      <c r="H59" s="801">
        <f>+G276</f>
        <v>21432.630000000005</v>
      </c>
      <c r="I59" s="801">
        <f t="shared" ref="I59:N59" si="42">+H59</f>
        <v>21432.630000000005</v>
      </c>
      <c r="J59" s="801">
        <f t="shared" si="42"/>
        <v>21432.630000000005</v>
      </c>
      <c r="K59" s="801">
        <f t="shared" si="42"/>
        <v>21432.630000000005</v>
      </c>
      <c r="L59" s="801">
        <f t="shared" si="42"/>
        <v>21432.630000000005</v>
      </c>
      <c r="M59" s="801">
        <f t="shared" si="42"/>
        <v>21432.630000000005</v>
      </c>
      <c r="N59" s="801">
        <f t="shared" si="42"/>
        <v>21432.630000000005</v>
      </c>
    </row>
    <row r="60" spans="2:16" ht="16" thickBot="1">
      <c r="B60" s="802"/>
      <c r="C60" s="797"/>
      <c r="D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</row>
    <row r="61" spans="2:16" ht="16" thickBot="1">
      <c r="B61" s="803"/>
      <c r="C61" s="804" t="s">
        <v>888</v>
      </c>
      <c r="D61" s="805">
        <v>45689</v>
      </c>
      <c r="E61" s="805">
        <v>45717</v>
      </c>
      <c r="F61" s="805">
        <v>45748</v>
      </c>
      <c r="G61" s="805">
        <v>45778</v>
      </c>
      <c r="H61" s="805">
        <v>45809</v>
      </c>
      <c r="I61" s="805">
        <v>45839</v>
      </c>
      <c r="J61" s="805">
        <v>45870</v>
      </c>
      <c r="K61" s="805">
        <v>45901</v>
      </c>
      <c r="L61" s="805">
        <v>45931</v>
      </c>
      <c r="M61" s="805">
        <v>45962</v>
      </c>
      <c r="N61" s="805">
        <v>45992</v>
      </c>
    </row>
    <row r="62" spans="2:16" ht="23.25" customHeight="1">
      <c r="B62" s="806" t="s">
        <v>892</v>
      </c>
      <c r="C62" s="807" t="s">
        <v>444</v>
      </c>
      <c r="D62" s="807" t="s">
        <v>444</v>
      </c>
      <c r="E62" s="807" t="s">
        <v>444</v>
      </c>
      <c r="F62" s="807" t="s">
        <v>444</v>
      </c>
      <c r="G62" s="807" t="s">
        <v>444</v>
      </c>
      <c r="H62" s="807" t="s">
        <v>444</v>
      </c>
      <c r="I62" s="807" t="s">
        <v>444</v>
      </c>
      <c r="J62" s="807" t="s">
        <v>444</v>
      </c>
      <c r="K62" s="807" t="s">
        <v>444</v>
      </c>
      <c r="L62" s="807" t="s">
        <v>444</v>
      </c>
      <c r="M62" s="807" t="s">
        <v>444</v>
      </c>
      <c r="N62" s="807" t="s">
        <v>444</v>
      </c>
    </row>
    <row r="63" spans="2:16">
      <c r="B63" s="808" t="s">
        <v>893</v>
      </c>
      <c r="C63" s="812">
        <v>43029</v>
      </c>
      <c r="D63" s="809">
        <v>24924</v>
      </c>
      <c r="E63" s="809">
        <v>18635</v>
      </c>
      <c r="F63" s="809">
        <v>21389.7</v>
      </c>
      <c r="G63" s="810"/>
      <c r="H63" s="809">
        <v>8469</v>
      </c>
      <c r="I63" s="810">
        <v>5070</v>
      </c>
      <c r="J63" s="810"/>
      <c r="K63" s="810"/>
      <c r="L63" s="809"/>
      <c r="M63" s="810"/>
      <c r="N63" s="811"/>
    </row>
    <row r="64" spans="2:16" ht="15.75" customHeight="1">
      <c r="B64" s="808" t="s">
        <v>894</v>
      </c>
      <c r="C64" s="812">
        <v>28019</v>
      </c>
      <c r="D64" s="809">
        <v>34759</v>
      </c>
      <c r="E64" s="809">
        <v>23859</v>
      </c>
      <c r="F64" s="809">
        <v>18747</v>
      </c>
      <c r="G64" s="810"/>
      <c r="H64" s="809">
        <v>12369</v>
      </c>
      <c r="I64" s="810"/>
      <c r="J64" s="810"/>
      <c r="K64" s="810"/>
      <c r="L64" s="809"/>
      <c r="M64" s="810"/>
      <c r="N64" s="811"/>
    </row>
    <row r="65" spans="2:14">
      <c r="B65" s="1549" t="s">
        <v>895</v>
      </c>
      <c r="C65" s="812">
        <v>9454</v>
      </c>
      <c r="D65" s="810"/>
      <c r="E65" s="810"/>
      <c r="F65" s="809"/>
      <c r="G65" s="809">
        <v>8092</v>
      </c>
      <c r="H65" s="810"/>
      <c r="I65" s="810"/>
      <c r="J65" s="810"/>
      <c r="K65" s="810"/>
      <c r="L65" s="809"/>
      <c r="M65" s="810"/>
      <c r="N65" s="811"/>
    </row>
    <row r="66" spans="2:14">
      <c r="B66" s="808" t="s">
        <v>893</v>
      </c>
      <c r="C66" s="812">
        <v>3378</v>
      </c>
      <c r="D66" s="810"/>
      <c r="E66" s="810"/>
      <c r="F66" s="809"/>
      <c r="G66" s="813"/>
      <c r="H66" s="810"/>
      <c r="I66" s="810"/>
      <c r="J66" s="810">
        <v>10944</v>
      </c>
      <c r="K66" s="810"/>
      <c r="L66" s="809"/>
      <c r="M66" s="810"/>
      <c r="N66" s="811"/>
    </row>
    <row r="67" spans="2:14">
      <c r="B67" s="2092" t="s">
        <v>894</v>
      </c>
      <c r="C67" s="809">
        <v>3010</v>
      </c>
      <c r="D67" s="810"/>
      <c r="E67" s="810"/>
      <c r="F67" s="809">
        <v>2805</v>
      </c>
      <c r="G67" s="810"/>
      <c r="H67" s="810"/>
      <c r="I67" s="810"/>
      <c r="J67" s="810"/>
      <c r="K67" s="810"/>
      <c r="L67" s="809"/>
      <c r="M67" s="810"/>
      <c r="N67" s="811"/>
    </row>
    <row r="68" spans="2:14">
      <c r="B68" s="906" t="s">
        <v>896</v>
      </c>
      <c r="C68" s="810"/>
      <c r="D68" s="810">
        <v>363</v>
      </c>
      <c r="E68" s="810"/>
      <c r="F68" s="809"/>
      <c r="G68" s="810"/>
      <c r="H68" s="810"/>
      <c r="I68" s="810"/>
      <c r="J68" s="810"/>
      <c r="K68" s="810"/>
      <c r="L68" s="809"/>
      <c r="M68" s="810"/>
      <c r="N68" s="811"/>
    </row>
    <row r="69" spans="2:14">
      <c r="B69" s="2093" t="s">
        <v>1691</v>
      </c>
      <c r="C69" s="2061"/>
      <c r="D69" s="2061"/>
      <c r="E69" s="2061"/>
      <c r="F69" s="2062"/>
      <c r="G69" s="2061"/>
      <c r="H69" s="2061"/>
      <c r="I69" s="2061"/>
      <c r="J69" s="2061">
        <v>49243</v>
      </c>
      <c r="K69" s="2061"/>
      <c r="L69" s="2062"/>
      <c r="M69" s="810"/>
      <c r="N69" s="2063"/>
    </row>
    <row r="70" spans="2:14">
      <c r="B70" s="2093" t="s">
        <v>1692</v>
      </c>
      <c r="C70" s="2061"/>
      <c r="D70" s="2061"/>
      <c r="E70" s="2061"/>
      <c r="F70" s="2062"/>
      <c r="G70" s="2061"/>
      <c r="H70" s="2061"/>
      <c r="I70" s="2061"/>
      <c r="J70" s="2061">
        <v>19467</v>
      </c>
      <c r="K70" s="2061"/>
      <c r="L70" s="2062"/>
      <c r="M70" s="810"/>
      <c r="N70" s="2063"/>
    </row>
    <row r="71" spans="2:14">
      <c r="B71" s="2093" t="s">
        <v>1693</v>
      </c>
      <c r="C71" s="2061"/>
      <c r="D71" s="2061"/>
      <c r="E71" s="2061"/>
      <c r="F71" s="2062"/>
      <c r="G71" s="2061"/>
      <c r="H71" s="2061"/>
      <c r="I71" s="2061"/>
      <c r="J71" s="2061">
        <v>39998</v>
      </c>
      <c r="K71" s="2061"/>
      <c r="L71" s="2062"/>
      <c r="M71" s="810"/>
      <c r="N71" s="2063"/>
    </row>
    <row r="72" spans="2:14">
      <c r="B72" s="2228" t="s">
        <v>1798</v>
      </c>
      <c r="C72" s="2225"/>
      <c r="D72" s="2225"/>
      <c r="E72" s="2225"/>
      <c r="F72" s="2226"/>
      <c r="G72" s="2225"/>
      <c r="H72" s="2225">
        <v>95</v>
      </c>
      <c r="I72" s="2225"/>
      <c r="J72" s="2225"/>
      <c r="K72" s="2225"/>
      <c r="L72" s="2226"/>
      <c r="M72" s="810"/>
      <c r="N72" s="2227"/>
    </row>
    <row r="73" spans="2:14">
      <c r="B73" s="906" t="s">
        <v>1672</v>
      </c>
      <c r="C73" s="2061"/>
      <c r="D73" s="2061"/>
      <c r="E73" s="2061"/>
      <c r="F73" s="2062"/>
      <c r="G73" s="2061"/>
      <c r="H73" s="2061"/>
      <c r="I73" s="2061"/>
      <c r="J73" s="2061"/>
      <c r="K73" s="2061"/>
      <c r="L73" s="2062"/>
      <c r="M73" s="810"/>
      <c r="N73" s="2063"/>
    </row>
    <row r="74" spans="2:14">
      <c r="B74" s="2094" t="s">
        <v>1673</v>
      </c>
      <c r="C74" s="2061"/>
      <c r="D74" s="2061"/>
      <c r="E74" s="2061"/>
      <c r="F74" s="2062"/>
      <c r="G74" s="2061"/>
      <c r="H74" s="2061"/>
      <c r="I74" s="2061"/>
      <c r="J74" s="2061"/>
      <c r="K74" s="2061"/>
      <c r="L74" s="2062"/>
      <c r="M74" s="810"/>
      <c r="N74" s="2063"/>
    </row>
    <row r="75" spans="2:14">
      <c r="B75" s="2095" t="s">
        <v>897</v>
      </c>
      <c r="C75" s="813"/>
      <c r="D75" s="810"/>
      <c r="E75" s="809">
        <v>53828</v>
      </c>
      <c r="F75" s="809">
        <v>54268</v>
      </c>
      <c r="G75" s="809">
        <v>28982</v>
      </c>
      <c r="H75" s="809">
        <v>45630</v>
      </c>
      <c r="I75" s="810">
        <v>42647</v>
      </c>
      <c r="J75" s="810"/>
      <c r="K75" s="810"/>
      <c r="L75" s="809"/>
      <c r="M75" s="810"/>
      <c r="N75" s="811"/>
    </row>
    <row r="76" spans="2:14">
      <c r="B76" s="2223" t="s">
        <v>1793</v>
      </c>
      <c r="C76" s="2229"/>
      <c r="D76" s="2225"/>
      <c r="E76" s="2226"/>
      <c r="F76" s="2226"/>
      <c r="G76" s="2226"/>
      <c r="H76" s="2226"/>
      <c r="I76" s="2225"/>
      <c r="J76" s="2225"/>
      <c r="K76" s="2225">
        <v>28549</v>
      </c>
      <c r="L76" s="2226"/>
      <c r="M76" s="810"/>
      <c r="N76" s="2227"/>
    </row>
    <row r="77" spans="2:14">
      <c r="B77" s="2224" t="s">
        <v>1794</v>
      </c>
      <c r="C77" s="2229"/>
      <c r="D77" s="2225"/>
      <c r="E77" s="2226"/>
      <c r="F77" s="2226"/>
      <c r="G77" s="2226"/>
      <c r="H77" s="2226"/>
      <c r="I77" s="2225"/>
      <c r="J77" s="2225"/>
      <c r="K77" s="2225">
        <v>74221</v>
      </c>
      <c r="L77" s="2226"/>
      <c r="M77" s="810"/>
      <c r="N77" s="2227"/>
    </row>
    <row r="78" spans="2:14">
      <c r="B78" s="2224" t="s">
        <v>1795</v>
      </c>
      <c r="C78" s="2229"/>
      <c r="D78" s="2225"/>
      <c r="E78" s="2226"/>
      <c r="F78" s="2226"/>
      <c r="G78" s="2226"/>
      <c r="H78" s="2226"/>
      <c r="I78" s="2225"/>
      <c r="J78" s="2225"/>
      <c r="K78" s="2225">
        <v>33779</v>
      </c>
      <c r="L78" s="2226"/>
      <c r="M78" s="810"/>
      <c r="N78" s="2227"/>
    </row>
    <row r="79" spans="2:14">
      <c r="B79" s="2224" t="s">
        <v>1796</v>
      </c>
      <c r="C79" s="2229"/>
      <c r="D79" s="2225"/>
      <c r="E79" s="2226"/>
      <c r="F79" s="2226"/>
      <c r="G79" s="2226"/>
      <c r="H79" s="2226"/>
      <c r="I79" s="2225"/>
      <c r="J79" s="2225"/>
      <c r="K79" s="2225">
        <v>61585</v>
      </c>
      <c r="L79" s="2226"/>
      <c r="M79" s="810"/>
      <c r="N79" s="2227"/>
    </row>
    <row r="80" spans="2:14">
      <c r="B80" s="2224" t="s">
        <v>1797</v>
      </c>
      <c r="C80" s="2229"/>
      <c r="D80" s="2225"/>
      <c r="E80" s="2226"/>
      <c r="F80" s="2226"/>
      <c r="G80" s="2226"/>
      <c r="H80" s="2226"/>
      <c r="I80" s="2225"/>
      <c r="J80" s="2225"/>
      <c r="K80" s="2225">
        <v>4141</v>
      </c>
      <c r="L80" s="2226"/>
      <c r="M80" s="810"/>
      <c r="N80" s="2227"/>
    </row>
    <row r="81" spans="2:14">
      <c r="B81" s="2224" t="s">
        <v>1797</v>
      </c>
      <c r="C81" s="2229"/>
      <c r="D81" s="2225"/>
      <c r="E81" s="2226"/>
      <c r="F81" s="2226"/>
      <c r="G81" s="2226"/>
      <c r="H81" s="2226"/>
      <c r="I81" s="2225"/>
      <c r="J81" s="2225"/>
      <c r="K81" s="2225">
        <v>1313</v>
      </c>
      <c r="L81" s="2226"/>
      <c r="M81" s="810"/>
      <c r="N81" s="2227"/>
    </row>
    <row r="82" spans="2:14">
      <c r="B82" s="2379" t="s">
        <v>1851</v>
      </c>
      <c r="C82" s="2380"/>
      <c r="D82" s="2381"/>
      <c r="E82" s="2382"/>
      <c r="F82" s="2382"/>
      <c r="G82" s="2382"/>
      <c r="H82" s="2382"/>
      <c r="I82" s="2381"/>
      <c r="J82" s="2381"/>
      <c r="K82" s="2381"/>
      <c r="L82" s="2382">
        <v>101471</v>
      </c>
      <c r="M82" s="810">
        <v>27834</v>
      </c>
      <c r="N82" s="2383"/>
    </row>
    <row r="83" spans="2:14">
      <c r="B83" s="2379" t="s">
        <v>1852</v>
      </c>
      <c r="C83" s="2380"/>
      <c r="D83" s="2381"/>
      <c r="E83" s="2382"/>
      <c r="F83" s="2382"/>
      <c r="G83" s="2382"/>
      <c r="H83" s="2382"/>
      <c r="I83" s="2381"/>
      <c r="J83" s="2381"/>
      <c r="K83" s="2381"/>
      <c r="L83" s="2382">
        <v>32562</v>
      </c>
      <c r="M83" s="810">
        <v>24115</v>
      </c>
      <c r="N83" s="2383"/>
    </row>
    <row r="84" spans="2:14">
      <c r="B84" s="2379" t="s">
        <v>1853</v>
      </c>
      <c r="C84" s="2380"/>
      <c r="D84" s="2381"/>
      <c r="E84" s="2382"/>
      <c r="F84" s="2382"/>
      <c r="G84" s="2382"/>
      <c r="H84" s="2382"/>
      <c r="I84" s="2381"/>
      <c r="J84" s="2381"/>
      <c r="K84" s="2381"/>
      <c r="L84" s="2382">
        <v>36943</v>
      </c>
      <c r="M84" s="810">
        <v>14517</v>
      </c>
      <c r="N84" s="2383"/>
    </row>
    <row r="85" spans="2:14">
      <c r="B85" s="2379" t="s">
        <v>1854</v>
      </c>
      <c r="C85" s="2380"/>
      <c r="D85" s="2381"/>
      <c r="E85" s="2382"/>
      <c r="F85" s="2382"/>
      <c r="G85" s="2382"/>
      <c r="H85" s="2382"/>
      <c r="I85" s="2381"/>
      <c r="J85" s="2381"/>
      <c r="K85" s="2381"/>
      <c r="L85" s="2382">
        <v>33471</v>
      </c>
      <c r="M85" s="810">
        <v>36818</v>
      </c>
      <c r="N85" s="2383"/>
    </row>
    <row r="86" spans="2:14">
      <c r="B86" s="2379" t="s">
        <v>1855</v>
      </c>
      <c r="C86" s="2380"/>
      <c r="D86" s="2381"/>
      <c r="E86" s="2382"/>
      <c r="F86" s="2382"/>
      <c r="G86" s="2382"/>
      <c r="H86" s="2382"/>
      <c r="I86" s="2381"/>
      <c r="J86" s="2381"/>
      <c r="K86" s="2381"/>
      <c r="L86" s="2382">
        <v>58240</v>
      </c>
      <c r="M86" s="810">
        <v>32689</v>
      </c>
      <c r="N86" s="2383"/>
    </row>
    <row r="87" spans="2:14">
      <c r="B87" s="2379" t="s">
        <v>1856</v>
      </c>
      <c r="C87" s="2380"/>
      <c r="D87" s="2381"/>
      <c r="E87" s="2382"/>
      <c r="F87" s="2382"/>
      <c r="G87" s="2382"/>
      <c r="H87" s="2382"/>
      <c r="I87" s="2381"/>
      <c r="J87" s="2381"/>
      <c r="K87" s="2381"/>
      <c r="L87" s="2382">
        <v>20836</v>
      </c>
      <c r="M87" s="810"/>
      <c r="N87" s="2383"/>
    </row>
    <row r="88" spans="2:14">
      <c r="B88" s="2379" t="s">
        <v>1857</v>
      </c>
      <c r="C88" s="2380"/>
      <c r="D88" s="2381"/>
      <c r="E88" s="2382"/>
      <c r="F88" s="2382"/>
      <c r="G88" s="2382"/>
      <c r="H88" s="2382"/>
      <c r="I88" s="2381"/>
      <c r="J88" s="2381"/>
      <c r="K88" s="2381"/>
      <c r="L88" s="2382">
        <v>22525</v>
      </c>
      <c r="M88" s="810"/>
      <c r="N88" s="2383"/>
    </row>
    <row r="89" spans="2:14">
      <c r="B89" s="2379" t="s">
        <v>1858</v>
      </c>
      <c r="C89" s="2380"/>
      <c r="D89" s="2381"/>
      <c r="E89" s="2382"/>
      <c r="F89" s="2382"/>
      <c r="G89" s="2382"/>
      <c r="H89" s="2382"/>
      <c r="I89" s="2381"/>
      <c r="J89" s="2381"/>
      <c r="K89" s="2381"/>
      <c r="L89" s="2382">
        <v>19014</v>
      </c>
      <c r="M89" s="810">
        <v>16252</v>
      </c>
      <c r="N89" s="2383"/>
    </row>
    <row r="90" spans="2:14">
      <c r="B90" s="2379" t="s">
        <v>1894</v>
      </c>
      <c r="C90" s="2454"/>
      <c r="D90" s="1486"/>
      <c r="E90" s="1487"/>
      <c r="F90" s="1487"/>
      <c r="G90" s="1487"/>
      <c r="H90" s="1487"/>
      <c r="I90" s="1486"/>
      <c r="J90" s="1486"/>
      <c r="K90" s="1486"/>
      <c r="L90" s="1487"/>
      <c r="M90" s="810">
        <v>60156</v>
      </c>
      <c r="N90" s="1488"/>
    </row>
    <row r="91" spans="2:14">
      <c r="B91" s="2379" t="s">
        <v>1895</v>
      </c>
      <c r="C91" s="2454"/>
      <c r="D91" s="1486"/>
      <c r="E91" s="1487"/>
      <c r="F91" s="1487"/>
      <c r="G91" s="1487"/>
      <c r="H91" s="1487"/>
      <c r="I91" s="1486"/>
      <c r="J91" s="1486"/>
      <c r="K91" s="1486"/>
      <c r="L91" s="1487"/>
      <c r="M91" s="810">
        <v>27222</v>
      </c>
      <c r="N91" s="1488"/>
    </row>
    <row r="92" spans="2:14">
      <c r="B92" s="2379" t="s">
        <v>1915</v>
      </c>
      <c r="C92" s="2454"/>
      <c r="D92" s="1486"/>
      <c r="E92" s="1487"/>
      <c r="F92" s="1487"/>
      <c r="G92" s="1487"/>
      <c r="H92" s="1487"/>
      <c r="I92" s="1486"/>
      <c r="J92" s="1486"/>
      <c r="K92" s="1486"/>
      <c r="L92" s="1487"/>
      <c r="M92" s="1486"/>
      <c r="N92" s="1488">
        <v>231.36</v>
      </c>
    </row>
    <row r="93" spans="2:14">
      <c r="B93" s="2379" t="s">
        <v>1916</v>
      </c>
      <c r="C93" s="2454"/>
      <c r="D93" s="1486"/>
      <c r="E93" s="1487"/>
      <c r="F93" s="1487"/>
      <c r="G93" s="1487"/>
      <c r="H93" s="1487"/>
      <c r="I93" s="1486"/>
      <c r="J93" s="1486"/>
      <c r="K93" s="1486"/>
      <c r="L93" s="1487"/>
      <c r="M93" s="1486"/>
      <c r="N93" s="1488">
        <v>30746.47</v>
      </c>
    </row>
    <row r="94" spans="2:14">
      <c r="B94" s="2379" t="s">
        <v>1917</v>
      </c>
      <c r="C94" s="2454"/>
      <c r="D94" s="1486"/>
      <c r="E94" s="1487"/>
      <c r="F94" s="1487"/>
      <c r="G94" s="1487"/>
      <c r="H94" s="1487"/>
      <c r="I94" s="1486"/>
      <c r="J94" s="1486"/>
      <c r="K94" s="1486"/>
      <c r="L94" s="1487"/>
      <c r="M94" s="1486"/>
      <c r="N94" s="1488">
        <v>10682.92</v>
      </c>
    </row>
    <row r="95" spans="2:14">
      <c r="B95" s="2379" t="s">
        <v>1918</v>
      </c>
      <c r="C95" s="2454"/>
      <c r="D95" s="1486"/>
      <c r="E95" s="1487"/>
      <c r="F95" s="1487"/>
      <c r="G95" s="1487"/>
      <c r="H95" s="1487"/>
      <c r="I95" s="1486"/>
      <c r="J95" s="1486"/>
      <c r="K95" s="1486"/>
      <c r="L95" s="1487"/>
      <c r="M95" s="1486"/>
      <c r="N95" s="1488">
        <v>50010.87</v>
      </c>
    </row>
    <row r="96" spans="2:14">
      <c r="B96" s="2379" t="s">
        <v>1919</v>
      </c>
      <c r="C96" s="2454"/>
      <c r="D96" s="1486"/>
      <c r="E96" s="1487"/>
      <c r="F96" s="1487"/>
      <c r="G96" s="1487"/>
      <c r="H96" s="1487"/>
      <c r="I96" s="1486"/>
      <c r="J96" s="1486"/>
      <c r="K96" s="1486"/>
      <c r="L96" s="1487"/>
      <c r="M96" s="1486"/>
      <c r="N96" s="1488">
        <v>132207.60999999999</v>
      </c>
    </row>
    <row r="97" spans="2:16">
      <c r="B97" s="2379" t="s">
        <v>1920</v>
      </c>
      <c r="C97" s="2454"/>
      <c r="D97" s="1486"/>
      <c r="E97" s="1487"/>
      <c r="F97" s="1487"/>
      <c r="G97" s="1487"/>
      <c r="H97" s="1487"/>
      <c r="I97" s="1486"/>
      <c r="J97" s="1486"/>
      <c r="K97" s="1486"/>
      <c r="L97" s="1487"/>
      <c r="M97" s="1486"/>
      <c r="N97" s="1488"/>
    </row>
    <row r="98" spans="2:16">
      <c r="B98" s="2379" t="s">
        <v>1921</v>
      </c>
      <c r="C98" s="2454"/>
      <c r="D98" s="1486"/>
      <c r="E98" s="1487"/>
      <c r="F98" s="1487"/>
      <c r="G98" s="1487"/>
      <c r="H98" s="1487"/>
      <c r="I98" s="1486"/>
      <c r="J98" s="1486"/>
      <c r="K98" s="1486"/>
      <c r="L98" s="1487"/>
      <c r="M98" s="1486"/>
      <c r="N98" s="1488">
        <v>237.28</v>
      </c>
    </row>
    <row r="99" spans="2:16">
      <c r="B99" s="906" t="s">
        <v>1677</v>
      </c>
      <c r="C99" s="2069"/>
      <c r="D99" s="1868"/>
      <c r="E99" s="1883"/>
      <c r="F99" s="1883"/>
      <c r="G99" s="1883"/>
      <c r="H99" s="1883"/>
      <c r="I99" s="1868"/>
      <c r="J99" s="1868"/>
      <c r="K99" s="1868"/>
      <c r="L99" s="1883"/>
      <c r="M99" s="810"/>
      <c r="N99" s="2063"/>
    </row>
    <row r="100" spans="2:16">
      <c r="B100" s="906" t="s">
        <v>1452</v>
      </c>
      <c r="C100" s="813"/>
      <c r="D100" s="810"/>
      <c r="E100" s="809"/>
      <c r="F100" s="809"/>
      <c r="G100" s="809"/>
      <c r="H100" s="810"/>
      <c r="I100" s="810"/>
      <c r="J100" s="810"/>
      <c r="K100" s="810"/>
      <c r="L100" s="809"/>
      <c r="M100" s="810"/>
      <c r="N100" s="811"/>
    </row>
    <row r="101" spans="2:16">
      <c r="B101" s="906" t="s">
        <v>1453</v>
      </c>
      <c r="C101" s="813"/>
      <c r="D101" s="810"/>
      <c r="E101" s="809"/>
      <c r="F101" s="809"/>
      <c r="G101" s="809"/>
      <c r="H101" s="810"/>
      <c r="I101" s="810"/>
      <c r="J101" s="810"/>
      <c r="K101" s="810"/>
      <c r="L101" s="809"/>
      <c r="M101" s="810"/>
      <c r="N101" s="811"/>
    </row>
    <row r="102" spans="2:16" ht="16" thickBot="1">
      <c r="B102" s="814"/>
      <c r="C102" s="1425">
        <f>SUM(C63:C101)</f>
        <v>86890</v>
      </c>
      <c r="D102" s="1425">
        <f t="shared" ref="D102:N102" si="43">SUM(D63:D101)</f>
        <v>60046</v>
      </c>
      <c r="E102" s="1425">
        <f t="shared" si="43"/>
        <v>96322</v>
      </c>
      <c r="F102" s="1425">
        <f t="shared" si="43"/>
        <v>97209.7</v>
      </c>
      <c r="G102" s="1425">
        <f t="shared" si="43"/>
        <v>37074</v>
      </c>
      <c r="H102" s="1425">
        <f>SUM(H63:H101)</f>
        <v>66563</v>
      </c>
      <c r="I102" s="1425">
        <f t="shared" si="43"/>
        <v>47717</v>
      </c>
      <c r="J102" s="1425">
        <f t="shared" si="43"/>
        <v>119652</v>
      </c>
      <c r="K102" s="1425">
        <f t="shared" si="43"/>
        <v>203588</v>
      </c>
      <c r="L102" s="1425">
        <f t="shared" si="43"/>
        <v>325062</v>
      </c>
      <c r="M102" s="1425">
        <f t="shared" si="43"/>
        <v>239603</v>
      </c>
      <c r="N102" s="1425">
        <f t="shared" si="43"/>
        <v>224116.50999999998</v>
      </c>
      <c r="O102" s="79"/>
    </row>
    <row r="103" spans="2:16">
      <c r="B103" s="815"/>
      <c r="C103" s="905"/>
      <c r="D103" s="905"/>
      <c r="E103" s="905"/>
      <c r="F103" s="797"/>
      <c r="G103" s="874"/>
      <c r="H103" s="797"/>
      <c r="I103" s="797"/>
      <c r="J103" s="797"/>
      <c r="K103" s="797"/>
      <c r="L103" s="797"/>
      <c r="M103" s="797"/>
      <c r="N103" s="797"/>
    </row>
    <row r="104" spans="2:16" ht="16" thickBot="1">
      <c r="B104" s="815"/>
      <c r="C104" s="797"/>
      <c r="D104" s="797"/>
      <c r="E104" s="797"/>
      <c r="F104" s="797"/>
      <c r="G104" s="797"/>
      <c r="H104" s="797"/>
      <c r="I104" s="797"/>
      <c r="J104" s="797"/>
      <c r="K104" s="797"/>
      <c r="L104" s="797"/>
      <c r="M104" s="797"/>
      <c r="N104" s="797"/>
    </row>
    <row r="105" spans="2:16" ht="16" thickBot="1">
      <c r="B105" s="804" t="s">
        <v>32</v>
      </c>
      <c r="C105" s="816" t="s">
        <v>888</v>
      </c>
      <c r="D105" s="805">
        <v>45689</v>
      </c>
      <c r="E105" s="805">
        <v>45717</v>
      </c>
      <c r="F105" s="804" t="s">
        <v>889</v>
      </c>
      <c r="G105" s="805">
        <v>45778</v>
      </c>
      <c r="H105" s="805">
        <v>45809</v>
      </c>
      <c r="I105" s="805">
        <v>45839</v>
      </c>
      <c r="J105" s="804" t="s">
        <v>890</v>
      </c>
      <c r="K105" s="805">
        <v>45901</v>
      </c>
      <c r="L105" s="805">
        <v>45931</v>
      </c>
      <c r="M105" s="805">
        <v>45962</v>
      </c>
      <c r="N105" s="804" t="s">
        <v>891</v>
      </c>
    </row>
    <row r="106" spans="2:16" ht="16">
      <c r="B106" s="806" t="s">
        <v>22</v>
      </c>
      <c r="C106" s="807" t="s">
        <v>444</v>
      </c>
      <c r="D106" s="807" t="s">
        <v>444</v>
      </c>
      <c r="E106" s="807" t="s">
        <v>444</v>
      </c>
      <c r="F106" s="807" t="s">
        <v>444</v>
      </c>
      <c r="G106" s="807" t="s">
        <v>444</v>
      </c>
      <c r="H106" s="807" t="s">
        <v>444</v>
      </c>
      <c r="I106" s="807" t="s">
        <v>444</v>
      </c>
      <c r="J106" s="807" t="s">
        <v>444</v>
      </c>
      <c r="K106" s="807" t="s">
        <v>444</v>
      </c>
      <c r="L106" s="807" t="s">
        <v>444</v>
      </c>
      <c r="M106" s="807" t="s">
        <v>444</v>
      </c>
      <c r="N106" s="807" t="s">
        <v>444</v>
      </c>
    </row>
    <row r="107" spans="2:16">
      <c r="B107" s="1870" t="s">
        <v>1367</v>
      </c>
      <c r="C107" s="817"/>
      <c r="D107" s="810"/>
      <c r="E107" s="810"/>
      <c r="F107" s="810"/>
      <c r="G107" s="810">
        <v>26</v>
      </c>
      <c r="H107" s="810"/>
      <c r="I107" s="810"/>
      <c r="J107" s="810"/>
      <c r="K107" s="810"/>
      <c r="L107" s="810"/>
      <c r="M107" s="810"/>
      <c r="N107" s="811"/>
    </row>
    <row r="108" spans="2:16">
      <c r="B108" s="1870" t="s">
        <v>1368</v>
      </c>
      <c r="C108" s="817"/>
      <c r="D108" s="810"/>
      <c r="E108" s="810"/>
      <c r="F108" s="810"/>
      <c r="G108" s="810">
        <v>1500</v>
      </c>
      <c r="H108" s="810"/>
      <c r="I108" s="810"/>
      <c r="J108" s="810"/>
      <c r="K108" s="810"/>
      <c r="L108" s="810"/>
      <c r="M108" s="810"/>
      <c r="N108" s="811"/>
    </row>
    <row r="109" spans="2:16">
      <c r="B109" s="1870" t="s">
        <v>1859</v>
      </c>
      <c r="C109" s="1868"/>
      <c r="D109" s="1868"/>
      <c r="E109" s="1868"/>
      <c r="F109" s="1868"/>
      <c r="G109" s="1868"/>
      <c r="H109" s="1868"/>
      <c r="I109" s="1868"/>
      <c r="J109" s="1868"/>
      <c r="K109" s="1868"/>
      <c r="L109" s="1868">
        <v>1803</v>
      </c>
      <c r="M109" s="1868">
        <v>1622</v>
      </c>
      <c r="N109" s="1871"/>
    </row>
    <row r="110" spans="2:16" ht="16" thickBot="1">
      <c r="B110" s="860" t="s">
        <v>31</v>
      </c>
      <c r="C110" s="1869">
        <f t="shared" ref="C110:G110" si="44">SUM(C107:C109)</f>
        <v>0</v>
      </c>
      <c r="D110" s="1869">
        <f t="shared" si="44"/>
        <v>0</v>
      </c>
      <c r="E110" s="1869">
        <f t="shared" si="44"/>
        <v>0</v>
      </c>
      <c r="F110" s="1869">
        <f t="shared" si="44"/>
        <v>0</v>
      </c>
      <c r="G110" s="1869">
        <f t="shared" si="44"/>
        <v>1526</v>
      </c>
      <c r="H110" s="1869">
        <f>SUM(H107:H109)</f>
        <v>0</v>
      </c>
      <c r="I110" s="1869">
        <f t="shared" ref="I110:N110" si="45">SUM(I107:I109)</f>
        <v>0</v>
      </c>
      <c r="J110" s="1869">
        <f t="shared" si="45"/>
        <v>0</v>
      </c>
      <c r="K110" s="1869">
        <f t="shared" si="45"/>
        <v>0</v>
      </c>
      <c r="L110" s="1869">
        <f t="shared" si="45"/>
        <v>1803</v>
      </c>
      <c r="M110" s="1869">
        <f t="shared" si="45"/>
        <v>1622</v>
      </c>
      <c r="N110" s="1869">
        <f t="shared" si="45"/>
        <v>0</v>
      </c>
      <c r="P110" s="1837"/>
    </row>
    <row r="111" spans="2:16" ht="16" thickBot="1">
      <c r="B111" s="815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  <c r="N111" s="797"/>
      <c r="P111" s="1837"/>
    </row>
    <row r="112" spans="2:16" ht="16" thickBot="1">
      <c r="B112" s="803" t="s">
        <v>751</v>
      </c>
      <c r="C112" s="804" t="s">
        <v>888</v>
      </c>
      <c r="D112" s="805">
        <v>45689</v>
      </c>
      <c r="E112" s="805">
        <v>45717</v>
      </c>
      <c r="F112" s="804" t="s">
        <v>889</v>
      </c>
      <c r="G112" s="805">
        <v>45778</v>
      </c>
      <c r="H112" s="805">
        <v>45809</v>
      </c>
      <c r="I112" s="805">
        <v>45839</v>
      </c>
      <c r="J112" s="804" t="s">
        <v>890</v>
      </c>
      <c r="K112" s="805">
        <v>45901</v>
      </c>
      <c r="L112" s="805">
        <v>45931</v>
      </c>
      <c r="M112" s="805">
        <v>45962</v>
      </c>
      <c r="N112" s="804" t="s">
        <v>891</v>
      </c>
      <c r="P112" s="1837"/>
    </row>
    <row r="113" spans="1:18" ht="17" thickBot="1">
      <c r="B113" s="861"/>
      <c r="C113" s="818" t="s">
        <v>444</v>
      </c>
      <c r="D113" s="818" t="s">
        <v>444</v>
      </c>
      <c r="E113" s="807" t="s">
        <v>444</v>
      </c>
      <c r="F113" s="807" t="s">
        <v>444</v>
      </c>
      <c r="G113" s="807" t="s">
        <v>444</v>
      </c>
      <c r="H113" s="807" t="s">
        <v>444</v>
      </c>
      <c r="I113" s="807" t="s">
        <v>444</v>
      </c>
      <c r="J113" s="807" t="s">
        <v>444</v>
      </c>
      <c r="K113" s="807" t="s">
        <v>444</v>
      </c>
      <c r="L113" s="807" t="s">
        <v>444</v>
      </c>
      <c r="M113" s="807" t="s">
        <v>444</v>
      </c>
      <c r="N113" s="807" t="s">
        <v>444</v>
      </c>
      <c r="P113" s="1837"/>
    </row>
    <row r="114" spans="1:18" ht="16" thickBot="1">
      <c r="B114" s="803" t="s">
        <v>6</v>
      </c>
      <c r="C114" s="819">
        <f>SUM(C102)</f>
        <v>86890</v>
      </c>
      <c r="D114" s="819">
        <f>SUM(D102)</f>
        <v>60046</v>
      </c>
      <c r="E114" s="819">
        <f>SUM(E102)</f>
        <v>96322</v>
      </c>
      <c r="F114" s="819">
        <f>SUM(F102)</f>
        <v>97209.7</v>
      </c>
      <c r="G114" s="819">
        <f>SUM(G102+G110)</f>
        <v>38600</v>
      </c>
      <c r="H114" s="819">
        <f>SUM(H102+H110)</f>
        <v>66563</v>
      </c>
      <c r="I114" s="819">
        <f>SUM(I102+I110)</f>
        <v>47717</v>
      </c>
      <c r="J114" s="819">
        <f t="shared" ref="J114:N114" si="46">SUM(J102+J110)</f>
        <v>119652</v>
      </c>
      <c r="K114" s="819">
        <f t="shared" si="46"/>
        <v>203588</v>
      </c>
      <c r="L114" s="819">
        <f t="shared" si="46"/>
        <v>326865</v>
      </c>
      <c r="M114" s="819">
        <f t="shared" si="46"/>
        <v>241225</v>
      </c>
      <c r="N114" s="819">
        <f t="shared" si="46"/>
        <v>224116.50999999998</v>
      </c>
      <c r="P114" s="1837"/>
    </row>
    <row r="115" spans="1:18" ht="16" thickBot="1">
      <c r="B115" s="797"/>
      <c r="C115" s="797"/>
      <c r="D115" s="797"/>
      <c r="E115" s="797"/>
      <c r="F115" s="797"/>
      <c r="G115" s="797"/>
      <c r="H115" s="797"/>
      <c r="I115" s="797"/>
      <c r="J115" s="797"/>
      <c r="K115" s="797"/>
      <c r="L115" s="797"/>
      <c r="M115" s="797"/>
      <c r="N115" s="797"/>
      <c r="P115" s="1837"/>
    </row>
    <row r="116" spans="1:18" ht="16" thickBot="1">
      <c r="A116" t="s">
        <v>1467</v>
      </c>
      <c r="B116" s="820" t="s">
        <v>649</v>
      </c>
      <c r="C116" s="821" t="s">
        <v>888</v>
      </c>
      <c r="D116" s="822" t="s">
        <v>1469</v>
      </c>
      <c r="E116" s="822" t="s">
        <v>1470</v>
      </c>
      <c r="F116" s="821" t="s">
        <v>889</v>
      </c>
      <c r="G116" s="822" t="s">
        <v>1472</v>
      </c>
      <c r="H116" s="822" t="s">
        <v>1473</v>
      </c>
      <c r="I116" s="1948" t="s">
        <v>1531</v>
      </c>
      <c r="J116" s="2318" t="s">
        <v>890</v>
      </c>
      <c r="K116" s="2318" t="s">
        <v>1601</v>
      </c>
      <c r="L116" s="2318" t="s">
        <v>1602</v>
      </c>
      <c r="M116" s="2467" t="s">
        <v>1603</v>
      </c>
      <c r="N116" s="2467" t="s">
        <v>891</v>
      </c>
      <c r="P116" s="1837"/>
    </row>
    <row r="117" spans="1:18" ht="17" thickBot="1">
      <c r="B117" s="839" t="s">
        <v>38</v>
      </c>
      <c r="C117" s="824" t="s">
        <v>444</v>
      </c>
      <c r="D117" s="824" t="s">
        <v>444</v>
      </c>
      <c r="E117" s="824" t="s">
        <v>444</v>
      </c>
      <c r="F117" s="824" t="s">
        <v>444</v>
      </c>
      <c r="G117" s="824" t="s">
        <v>444</v>
      </c>
      <c r="H117" s="824" t="s">
        <v>444</v>
      </c>
      <c r="I117" s="1872" t="s">
        <v>444</v>
      </c>
      <c r="J117" s="824" t="s">
        <v>444</v>
      </c>
      <c r="K117" s="824" t="s">
        <v>444</v>
      </c>
      <c r="L117" s="824" t="s">
        <v>444</v>
      </c>
      <c r="M117" s="824" t="s">
        <v>444</v>
      </c>
      <c r="N117" s="824" t="s">
        <v>444</v>
      </c>
      <c r="P117" s="1837"/>
    </row>
    <row r="118" spans="1:18" ht="16" thickBot="1">
      <c r="A118" t="s">
        <v>1462</v>
      </c>
      <c r="B118" s="862" t="s">
        <v>900</v>
      </c>
      <c r="C118" s="825">
        <v>1190</v>
      </c>
      <c r="D118" s="826">
        <v>0</v>
      </c>
      <c r="E118" s="826">
        <v>0</v>
      </c>
      <c r="F118" s="824"/>
      <c r="G118" s="824"/>
      <c r="H118" s="824"/>
      <c r="I118" s="1873"/>
      <c r="J118" s="824"/>
      <c r="K118" s="824"/>
      <c r="L118" s="824">
        <v>0</v>
      </c>
      <c r="M118" s="824">
        <v>4327</v>
      </c>
      <c r="N118" s="824">
        <v>0</v>
      </c>
      <c r="P118" s="1837"/>
    </row>
    <row r="119" spans="1:18" ht="16" thickBot="1">
      <c r="A119" t="s">
        <v>1462</v>
      </c>
      <c r="B119" s="862" t="s">
        <v>901</v>
      </c>
      <c r="C119" s="825">
        <v>1072</v>
      </c>
      <c r="D119" s="826">
        <v>869</v>
      </c>
      <c r="E119" s="825">
        <v>1072</v>
      </c>
      <c r="F119" s="825">
        <v>1065</v>
      </c>
      <c r="G119" s="825">
        <v>1068</v>
      </c>
      <c r="H119" s="824">
        <v>952</v>
      </c>
      <c r="I119" s="1872">
        <v>880</v>
      </c>
      <c r="J119" s="2071">
        <v>1178</v>
      </c>
      <c r="K119" s="824">
        <v>1452</v>
      </c>
      <c r="L119" s="824">
        <v>2251</v>
      </c>
      <c r="M119" s="824">
        <v>1962</v>
      </c>
      <c r="N119" s="824">
        <v>1221</v>
      </c>
      <c r="P119" s="1837"/>
    </row>
    <row r="120" spans="1:18" ht="16" thickBot="1">
      <c r="A120" t="s">
        <v>1462</v>
      </c>
      <c r="B120" s="862" t="s">
        <v>902</v>
      </c>
      <c r="C120" s="826">
        <v>926</v>
      </c>
      <c r="D120" s="826">
        <v>0</v>
      </c>
      <c r="E120" s="826">
        <v>0</v>
      </c>
      <c r="F120" s="825"/>
      <c r="G120" s="825"/>
      <c r="H120" s="824">
        <v>848</v>
      </c>
      <c r="I120" s="1873"/>
      <c r="J120" s="824"/>
      <c r="K120" s="824"/>
      <c r="L120" s="824">
        <v>0</v>
      </c>
      <c r="M120" s="824">
        <v>0</v>
      </c>
      <c r="N120" s="824">
        <v>0</v>
      </c>
      <c r="P120" s="1837"/>
    </row>
    <row r="121" spans="1:18" ht="16" thickBot="1">
      <c r="A121" t="s">
        <v>1462</v>
      </c>
      <c r="B121" s="862" t="s">
        <v>903</v>
      </c>
      <c r="C121" s="825">
        <v>6303</v>
      </c>
      <c r="D121" s="826">
        <v>0</v>
      </c>
      <c r="E121" s="826">
        <v>0</v>
      </c>
      <c r="F121" s="825"/>
      <c r="G121" s="825"/>
      <c r="H121" s="824"/>
      <c r="I121" s="1872"/>
      <c r="J121" s="824"/>
      <c r="K121" s="824"/>
      <c r="L121" s="824">
        <v>0</v>
      </c>
      <c r="M121" s="824">
        <v>0</v>
      </c>
      <c r="N121" s="824">
        <v>4982</v>
      </c>
      <c r="P121" s="1837"/>
    </row>
    <row r="122" spans="1:18" ht="17" thickBot="1">
      <c r="A122" t="s">
        <v>1462</v>
      </c>
      <c r="B122" s="862" t="s">
        <v>904</v>
      </c>
      <c r="C122" s="826" t="s">
        <v>884</v>
      </c>
      <c r="D122" s="826">
        <v>3052</v>
      </c>
      <c r="E122" s="825">
        <v>3052</v>
      </c>
      <c r="F122" s="825">
        <v>4270</v>
      </c>
      <c r="G122" s="825">
        <v>4272</v>
      </c>
      <c r="H122" s="824">
        <v>4720</v>
      </c>
      <c r="I122" s="1873">
        <v>4458</v>
      </c>
      <c r="J122" s="2071">
        <v>4267</v>
      </c>
      <c r="K122" s="2311">
        <v>59099</v>
      </c>
      <c r="L122" s="824">
        <v>0</v>
      </c>
      <c r="M122" s="824">
        <v>0</v>
      </c>
      <c r="N122" s="824">
        <v>0</v>
      </c>
      <c r="P122" s="1837"/>
    </row>
    <row r="123" spans="1:18" ht="16" thickBot="1">
      <c r="A123" t="s">
        <v>1462</v>
      </c>
      <c r="B123" s="862" t="s">
        <v>1253</v>
      </c>
      <c r="C123" s="826"/>
      <c r="D123" s="826"/>
      <c r="E123" s="826"/>
      <c r="F123" s="825">
        <v>1026</v>
      </c>
      <c r="G123" s="825">
        <v>3683</v>
      </c>
      <c r="H123" s="824">
        <v>2945</v>
      </c>
      <c r="I123" s="1872">
        <v>8710</v>
      </c>
      <c r="J123" s="824"/>
      <c r="K123" s="824">
        <v>72</v>
      </c>
      <c r="L123" s="824">
        <v>0</v>
      </c>
      <c r="M123" s="824">
        <v>0</v>
      </c>
      <c r="N123" s="824">
        <v>0</v>
      </c>
      <c r="P123" s="1837"/>
    </row>
    <row r="124" spans="1:18" ht="16" thickBot="1">
      <c r="B124" s="1453" t="s">
        <v>676</v>
      </c>
      <c r="C124" s="1451">
        <f>SUM(C118:C123)</f>
        <v>9491</v>
      </c>
      <c r="D124" s="1451">
        <f t="shared" ref="D124:H124" si="47">SUM(D118:D123)</f>
        <v>3921</v>
      </c>
      <c r="E124" s="1451">
        <f t="shared" si="47"/>
        <v>4124</v>
      </c>
      <c r="F124" s="1451">
        <f t="shared" si="47"/>
        <v>6361</v>
      </c>
      <c r="G124" s="1451">
        <f t="shared" si="47"/>
        <v>9023</v>
      </c>
      <c r="H124" s="1451">
        <f t="shared" si="47"/>
        <v>9465</v>
      </c>
      <c r="I124" s="1875">
        <f>SUM(I118:I123)</f>
        <v>14048</v>
      </c>
      <c r="J124" s="824">
        <f>SUM(J118:J123)</f>
        <v>5445</v>
      </c>
      <c r="K124" s="824">
        <v>60623</v>
      </c>
      <c r="L124" s="824">
        <f>+SUM(L118:L123)</f>
        <v>2251</v>
      </c>
      <c r="M124" s="824">
        <f t="shared" ref="M124:N124" si="48">+SUM(M118:M123)</f>
        <v>6289</v>
      </c>
      <c r="N124" s="824">
        <f t="shared" si="48"/>
        <v>6203</v>
      </c>
      <c r="P124" s="1837"/>
    </row>
    <row r="125" spans="1:18" ht="16" thickBot="1">
      <c r="A125" t="s">
        <v>1462</v>
      </c>
      <c r="B125" s="1454" t="s">
        <v>677</v>
      </c>
      <c r="C125" s="1452">
        <v>733</v>
      </c>
      <c r="D125" s="1452">
        <v>946</v>
      </c>
      <c r="E125" s="1452">
        <v>959</v>
      </c>
      <c r="F125" s="1628">
        <v>1544</v>
      </c>
      <c r="G125" s="1628">
        <v>1205</v>
      </c>
      <c r="H125" s="1452">
        <v>1554</v>
      </c>
      <c r="I125" s="1874">
        <v>1303</v>
      </c>
      <c r="J125" s="2071">
        <v>843</v>
      </c>
      <c r="K125" s="824">
        <v>944</v>
      </c>
      <c r="L125" s="824">
        <v>942</v>
      </c>
      <c r="M125" s="824">
        <v>1029</v>
      </c>
      <c r="N125" s="824">
        <v>958</v>
      </c>
      <c r="P125" s="1837"/>
    </row>
    <row r="126" spans="1:18" ht="16" thickBot="1">
      <c r="B126" s="863"/>
      <c r="C126" s="830"/>
      <c r="D126" s="830"/>
      <c r="E126" s="830"/>
      <c r="F126" s="830"/>
      <c r="G126" s="830"/>
      <c r="H126" s="830"/>
      <c r="I126" s="1875"/>
      <c r="J126" s="830"/>
      <c r="K126" s="830"/>
      <c r="L126" s="830"/>
      <c r="M126" s="830"/>
      <c r="N126" s="830"/>
      <c r="P126" s="1837"/>
    </row>
    <row r="127" spans="1:18" ht="16" thickBot="1">
      <c r="B127" s="1629" t="s">
        <v>68</v>
      </c>
      <c r="C127" s="1630">
        <f t="shared" ref="C127:H127" si="49">SUM(C124:C125)</f>
        <v>10224</v>
      </c>
      <c r="D127" s="1630">
        <f t="shared" si="49"/>
        <v>4867</v>
      </c>
      <c r="E127" s="1630">
        <f t="shared" si="49"/>
        <v>5083</v>
      </c>
      <c r="F127" s="1630">
        <f t="shared" si="49"/>
        <v>7905</v>
      </c>
      <c r="G127" s="1630">
        <f t="shared" si="49"/>
        <v>10228</v>
      </c>
      <c r="H127" s="1630">
        <f t="shared" si="49"/>
        <v>11019</v>
      </c>
      <c r="I127" s="2064">
        <f>SUM(I124:I125)</f>
        <v>15351</v>
      </c>
      <c r="J127" s="2064">
        <f>SUM(J124:J125)</f>
        <v>6288</v>
      </c>
      <c r="K127" s="2064">
        <f>SUM(K124:K125)</f>
        <v>61567</v>
      </c>
      <c r="L127" s="2064">
        <f t="shared" ref="L127:N127" si="50">SUM(L124:L125)</f>
        <v>3193</v>
      </c>
      <c r="M127" s="2064">
        <f t="shared" si="50"/>
        <v>7318</v>
      </c>
      <c r="N127" s="2064">
        <f t="shared" si="50"/>
        <v>7161</v>
      </c>
      <c r="P127" s="1837"/>
    </row>
    <row r="128" spans="1:18" ht="16" thickBot="1">
      <c r="B128" s="831" t="s">
        <v>69</v>
      </c>
      <c r="C128" s="1426"/>
      <c r="D128" s="1426"/>
      <c r="E128" s="1426"/>
      <c r="F128" s="1426"/>
      <c r="G128" s="1426"/>
      <c r="H128" s="832"/>
      <c r="I128" s="1877"/>
      <c r="J128" s="832"/>
      <c r="K128" s="832"/>
      <c r="L128" s="832"/>
      <c r="M128" s="832"/>
      <c r="N128" s="832"/>
      <c r="P128" s="1837"/>
      <c r="R128" s="1837"/>
    </row>
    <row r="129" spans="1:18" ht="16" thickBot="1">
      <c r="B129" s="799" t="s">
        <v>31</v>
      </c>
      <c r="C129" s="843">
        <f t="shared" ref="C129:I129" si="51">SUM(C127:C128)</f>
        <v>10224</v>
      </c>
      <c r="D129" s="843">
        <f t="shared" si="51"/>
        <v>4867</v>
      </c>
      <c r="E129" s="843">
        <f t="shared" si="51"/>
        <v>5083</v>
      </c>
      <c r="F129" s="843">
        <f t="shared" si="51"/>
        <v>7905</v>
      </c>
      <c r="G129" s="843">
        <f t="shared" si="51"/>
        <v>10228</v>
      </c>
      <c r="H129" s="843">
        <f t="shared" si="51"/>
        <v>11019</v>
      </c>
      <c r="I129" s="1876">
        <f t="shared" si="51"/>
        <v>15351</v>
      </c>
      <c r="J129" s="1876">
        <f>SUM(J127:J128)</f>
        <v>6288</v>
      </c>
      <c r="K129" s="1876">
        <f t="shared" ref="K129:N129" si="52">SUM(K127:K128)</f>
        <v>61567</v>
      </c>
      <c r="L129" s="1876">
        <f t="shared" si="52"/>
        <v>3193</v>
      </c>
      <c r="M129" s="1876">
        <f t="shared" si="52"/>
        <v>7318</v>
      </c>
      <c r="N129" s="1876">
        <f t="shared" si="52"/>
        <v>7161</v>
      </c>
      <c r="P129" s="1837"/>
      <c r="R129" s="1837"/>
    </row>
    <row r="130" spans="1:18" ht="16" thickBot="1">
      <c r="B130" s="847"/>
      <c r="C130" s="797"/>
      <c r="D130" s="797"/>
      <c r="E130" s="905"/>
      <c r="F130" s="797"/>
      <c r="G130" s="797"/>
      <c r="H130" s="874"/>
      <c r="I130" s="1879"/>
      <c r="J130" s="797"/>
      <c r="K130" s="797"/>
      <c r="L130" s="797"/>
      <c r="M130" s="797"/>
      <c r="N130" s="797"/>
      <c r="P130" s="1837"/>
      <c r="R130" s="1837"/>
    </row>
    <row r="131" spans="1:18" ht="16" thickBot="1">
      <c r="B131" s="820" t="s">
        <v>678</v>
      </c>
      <c r="C131" s="821" t="s">
        <v>888</v>
      </c>
      <c r="D131" s="822">
        <v>45689</v>
      </c>
      <c r="E131" s="822">
        <v>45717</v>
      </c>
      <c r="F131" s="821" t="s">
        <v>889</v>
      </c>
      <c r="G131" s="822">
        <v>45778</v>
      </c>
      <c r="H131" s="822">
        <v>45809</v>
      </c>
      <c r="I131" s="822">
        <v>45839</v>
      </c>
      <c r="J131" s="821" t="s">
        <v>890</v>
      </c>
      <c r="K131" s="822">
        <v>45901</v>
      </c>
      <c r="L131" s="822">
        <v>45931</v>
      </c>
      <c r="M131" s="822">
        <v>45962</v>
      </c>
      <c r="N131" s="821" t="s">
        <v>891</v>
      </c>
      <c r="P131" s="1837"/>
      <c r="R131" s="1837"/>
    </row>
    <row r="132" spans="1:18" ht="17" thickBot="1">
      <c r="B132" s="834" t="s">
        <v>38</v>
      </c>
      <c r="C132" s="835" t="s">
        <v>444</v>
      </c>
      <c r="D132" s="824" t="s">
        <v>444</v>
      </c>
      <c r="E132" s="824" t="s">
        <v>444</v>
      </c>
      <c r="F132" s="824" t="s">
        <v>444</v>
      </c>
      <c r="G132" s="824" t="s">
        <v>444</v>
      </c>
      <c r="H132" s="824" t="s">
        <v>444</v>
      </c>
      <c r="I132" s="1873" t="s">
        <v>444</v>
      </c>
      <c r="J132" s="824" t="s">
        <v>444</v>
      </c>
      <c r="K132" s="824" t="s">
        <v>444</v>
      </c>
      <c r="L132" s="824" t="s">
        <v>444</v>
      </c>
      <c r="M132" s="824" t="s">
        <v>444</v>
      </c>
      <c r="N132" s="824" t="s">
        <v>444</v>
      </c>
      <c r="P132" s="1837"/>
      <c r="R132" s="1837"/>
    </row>
    <row r="133" spans="1:18" ht="16" thickBot="1">
      <c r="A133" t="s">
        <v>1462</v>
      </c>
      <c r="B133" s="836" t="s">
        <v>905</v>
      </c>
      <c r="C133" s="835">
        <v>209</v>
      </c>
      <c r="D133" s="824">
        <v>229</v>
      </c>
      <c r="E133" s="824">
        <v>297</v>
      </c>
      <c r="F133" s="824">
        <v>225</v>
      </c>
      <c r="G133" s="824">
        <v>225</v>
      </c>
      <c r="H133" s="824">
        <v>249</v>
      </c>
      <c r="I133" s="1872">
        <v>235</v>
      </c>
      <c r="J133" s="2071">
        <v>249</v>
      </c>
      <c r="K133" s="824">
        <v>248</v>
      </c>
      <c r="L133" s="824">
        <v>250</v>
      </c>
      <c r="M133" s="824">
        <v>253</v>
      </c>
      <c r="N133" s="824">
        <v>245</v>
      </c>
      <c r="P133" s="1837"/>
      <c r="R133" s="1837"/>
    </row>
    <row r="134" spans="1:18" ht="16" thickBot="1">
      <c r="A134" t="s">
        <v>1462</v>
      </c>
      <c r="B134" s="1427" t="s">
        <v>1254</v>
      </c>
      <c r="C134" s="835"/>
      <c r="D134" s="824"/>
      <c r="E134" s="824"/>
      <c r="F134" s="1428">
        <v>18006</v>
      </c>
      <c r="G134" s="824"/>
      <c r="H134" s="824"/>
      <c r="I134" s="1873"/>
      <c r="J134" s="824"/>
      <c r="K134" s="824">
        <v>0</v>
      </c>
      <c r="L134" s="824">
        <v>0</v>
      </c>
      <c r="M134" s="824">
        <v>32739</v>
      </c>
      <c r="N134" s="824">
        <v>0</v>
      </c>
      <c r="P134" s="1837"/>
      <c r="R134" s="1837"/>
    </row>
    <row r="135" spans="1:18" ht="16" thickBot="1">
      <c r="A135" s="2461" t="s">
        <v>1462</v>
      </c>
      <c r="B135" s="836" t="s">
        <v>1896</v>
      </c>
      <c r="C135" s="835"/>
      <c r="D135" s="824"/>
      <c r="E135" s="824"/>
      <c r="F135" s="824"/>
      <c r="G135" s="824"/>
      <c r="H135" s="824"/>
      <c r="I135" s="1872"/>
      <c r="J135" s="824"/>
      <c r="K135" s="824"/>
      <c r="L135" s="824"/>
      <c r="M135" s="2492"/>
      <c r="N135" s="824"/>
      <c r="P135" s="1837">
        <v>68217</v>
      </c>
      <c r="R135" s="1837"/>
    </row>
    <row r="136" spans="1:18" ht="16" thickBot="1">
      <c r="B136" s="834" t="s">
        <v>687</v>
      </c>
      <c r="C136" s="1429">
        <v>209</v>
      </c>
      <c r="D136" s="1429">
        <v>229</v>
      </c>
      <c r="E136" s="1429">
        <f>+E133+E134+E135</f>
        <v>297</v>
      </c>
      <c r="F136" s="1431">
        <f>SUM(F133:F135)</f>
        <v>18231</v>
      </c>
      <c r="G136" s="1431">
        <f>SUM(G133:G135)</f>
        <v>225</v>
      </c>
      <c r="H136" s="1431">
        <f>SUM(H133:H135)</f>
        <v>249</v>
      </c>
      <c r="I136" s="1431">
        <f t="shared" ref="I136:N136" si="53">SUM(I133:I135)</f>
        <v>235</v>
      </c>
      <c r="J136" s="1431">
        <f t="shared" si="53"/>
        <v>249</v>
      </c>
      <c r="K136" s="1431">
        <f t="shared" si="53"/>
        <v>248</v>
      </c>
      <c r="L136" s="1431">
        <f t="shared" si="53"/>
        <v>250</v>
      </c>
      <c r="M136" s="1431">
        <f t="shared" si="53"/>
        <v>32992</v>
      </c>
      <c r="N136" s="1431">
        <f t="shared" si="53"/>
        <v>245</v>
      </c>
      <c r="P136" s="1837"/>
      <c r="R136" s="1837"/>
    </row>
    <row r="137" spans="1:18" ht="17" thickBot="1">
      <c r="A137" t="s">
        <v>1465</v>
      </c>
      <c r="B137" s="834" t="s">
        <v>688</v>
      </c>
      <c r="C137" s="1430" t="s">
        <v>717</v>
      </c>
      <c r="D137" s="1430" t="s">
        <v>717</v>
      </c>
      <c r="E137" s="1431">
        <v>3312</v>
      </c>
      <c r="F137" s="1431">
        <v>1507</v>
      </c>
      <c r="G137" s="1431">
        <v>4067</v>
      </c>
      <c r="H137" s="1430">
        <v>2501</v>
      </c>
      <c r="I137" s="1430">
        <v>590</v>
      </c>
      <c r="J137" s="1430"/>
      <c r="K137" s="1430"/>
      <c r="L137" s="1430">
        <v>930</v>
      </c>
      <c r="M137" s="1430">
        <v>0</v>
      </c>
      <c r="N137" s="1430">
        <v>0</v>
      </c>
      <c r="P137" s="1837"/>
      <c r="R137" s="1837"/>
    </row>
    <row r="138" spans="1:18" ht="16" thickBot="1">
      <c r="A138" t="s">
        <v>1463</v>
      </c>
      <c r="B138" s="834" t="s">
        <v>906</v>
      </c>
      <c r="C138" s="1431">
        <v>2101</v>
      </c>
      <c r="D138" s="1431">
        <v>2136</v>
      </c>
      <c r="E138" s="1430">
        <v>0</v>
      </c>
      <c r="F138" s="1431"/>
      <c r="G138" s="1431"/>
      <c r="H138" s="1430"/>
      <c r="I138" s="1430"/>
      <c r="J138" s="1432"/>
      <c r="K138" s="1430"/>
      <c r="L138" s="1430">
        <v>0</v>
      </c>
      <c r="M138" s="1430">
        <v>0</v>
      </c>
      <c r="N138" s="1430">
        <v>0</v>
      </c>
      <c r="P138" s="1837"/>
      <c r="R138" s="1837"/>
    </row>
    <row r="139" spans="1:18" ht="16" thickBot="1">
      <c r="A139" t="s">
        <v>1462</v>
      </c>
      <c r="B139" s="834" t="s">
        <v>907</v>
      </c>
      <c r="C139" s="1431">
        <v>2919</v>
      </c>
      <c r="D139" s="1431">
        <v>2780</v>
      </c>
      <c r="E139" s="1431">
        <v>2835</v>
      </c>
      <c r="F139" s="1431">
        <v>2683</v>
      </c>
      <c r="G139" s="1431">
        <v>2689</v>
      </c>
      <c r="H139" s="1430">
        <v>2967</v>
      </c>
      <c r="I139" s="1430">
        <v>2667</v>
      </c>
      <c r="J139" s="2072">
        <v>2893</v>
      </c>
      <c r="K139" s="1430">
        <v>2801</v>
      </c>
      <c r="L139" s="1430">
        <v>2776</v>
      </c>
      <c r="M139" s="1430">
        <v>2852</v>
      </c>
      <c r="N139" s="1430">
        <v>2743</v>
      </c>
      <c r="P139" s="1837"/>
      <c r="R139" s="1837"/>
    </row>
    <row r="140" spans="1:18" ht="16" thickBot="1">
      <c r="A140" t="s">
        <v>1465</v>
      </c>
      <c r="B140" s="834" t="s">
        <v>908</v>
      </c>
      <c r="C140" s="1430">
        <v>471</v>
      </c>
      <c r="D140" s="1431">
        <v>515</v>
      </c>
      <c r="E140" s="1430">
        <v>515</v>
      </c>
      <c r="F140" s="1431">
        <v>506</v>
      </c>
      <c r="G140" s="1431">
        <v>506</v>
      </c>
      <c r="H140" s="1430">
        <v>2500</v>
      </c>
      <c r="I140" s="1430">
        <v>559</v>
      </c>
      <c r="J140" s="2072">
        <v>518</v>
      </c>
      <c r="K140" s="1430">
        <v>557</v>
      </c>
      <c r="L140" s="1430">
        <v>562</v>
      </c>
      <c r="M140" s="1430">
        <v>570</v>
      </c>
      <c r="N140" s="1430">
        <v>1082</v>
      </c>
      <c r="P140" s="1837"/>
      <c r="R140" s="1837"/>
    </row>
    <row r="141" spans="1:18" ht="16" thickBot="1">
      <c r="A141" t="s">
        <v>1463</v>
      </c>
      <c r="B141" s="834" t="s">
        <v>909</v>
      </c>
      <c r="C141" s="1430"/>
      <c r="D141" s="1431">
        <v>3051</v>
      </c>
      <c r="E141" s="1431">
        <v>3152</v>
      </c>
      <c r="F141" s="1431">
        <v>3000</v>
      </c>
      <c r="G141" s="1431">
        <v>0</v>
      </c>
      <c r="H141" s="1430"/>
      <c r="I141" s="1430"/>
      <c r="J141" s="1432"/>
      <c r="K141" s="1430"/>
      <c r="L141" s="1430">
        <v>0</v>
      </c>
      <c r="M141" s="1430">
        <v>0</v>
      </c>
      <c r="N141" s="1430">
        <v>0</v>
      </c>
      <c r="P141" s="1837"/>
      <c r="R141" s="1837"/>
    </row>
    <row r="142" spans="1:18" ht="16" thickBot="1">
      <c r="A142" t="s">
        <v>1463</v>
      </c>
      <c r="B142" s="834" t="s">
        <v>910</v>
      </c>
      <c r="C142" s="1433"/>
      <c r="D142" s="1430"/>
      <c r="E142" s="1431">
        <v>2372</v>
      </c>
      <c r="F142" s="1431">
        <v>0</v>
      </c>
      <c r="G142" s="1431">
        <v>3000</v>
      </c>
      <c r="H142" s="1430">
        <v>5829</v>
      </c>
      <c r="I142" s="1430"/>
      <c r="J142" s="1432"/>
      <c r="K142" s="1430"/>
      <c r="L142" s="1430">
        <v>0</v>
      </c>
      <c r="M142" s="1430">
        <v>0</v>
      </c>
      <c r="N142" s="1430">
        <v>0</v>
      </c>
      <c r="P142" s="1837"/>
    </row>
    <row r="143" spans="1:18" ht="16" thickBot="1">
      <c r="A143" t="s">
        <v>1463</v>
      </c>
      <c r="B143" s="981" t="s">
        <v>1025</v>
      </c>
      <c r="C143" s="1433"/>
      <c r="D143" s="1430"/>
      <c r="E143" s="1430">
        <v>958</v>
      </c>
      <c r="F143" s="1431">
        <v>959</v>
      </c>
      <c r="G143" s="1431">
        <v>939</v>
      </c>
      <c r="H143" s="1430">
        <v>1037</v>
      </c>
      <c r="I143" s="1430">
        <v>979</v>
      </c>
      <c r="J143" s="1432">
        <v>1033</v>
      </c>
      <c r="K143" s="1430"/>
      <c r="L143" s="1430">
        <v>0</v>
      </c>
      <c r="M143" s="1430">
        <v>0</v>
      </c>
      <c r="N143" s="1430">
        <v>0</v>
      </c>
      <c r="P143" s="1837"/>
    </row>
    <row r="144" spans="1:18" ht="16" thickBot="1">
      <c r="A144" t="s">
        <v>1463</v>
      </c>
      <c r="B144" s="981" t="s">
        <v>1026</v>
      </c>
      <c r="C144" s="1433"/>
      <c r="D144" s="1430"/>
      <c r="E144" s="1430">
        <v>186</v>
      </c>
      <c r="F144" s="1431">
        <v>390</v>
      </c>
      <c r="G144" s="1431">
        <v>500</v>
      </c>
      <c r="H144" s="1430">
        <v>344</v>
      </c>
      <c r="I144" s="1430">
        <v>230</v>
      </c>
      <c r="J144" s="1432">
        <v>222</v>
      </c>
      <c r="K144" s="1430">
        <v>710</v>
      </c>
      <c r="L144" s="1430">
        <v>0</v>
      </c>
      <c r="M144" s="1430">
        <v>0</v>
      </c>
      <c r="N144" s="1430">
        <v>0</v>
      </c>
      <c r="P144" s="1837"/>
    </row>
    <row r="145" spans="1:16" ht="16" thickBot="1">
      <c r="A145" t="s">
        <v>1465</v>
      </c>
      <c r="B145" s="981" t="s">
        <v>1369</v>
      </c>
      <c r="C145" s="1433"/>
      <c r="D145" s="1430"/>
      <c r="E145" s="1430"/>
      <c r="F145" s="1431"/>
      <c r="G145" s="1433">
        <v>1613</v>
      </c>
      <c r="H145" s="1433"/>
      <c r="I145" s="1430"/>
      <c r="J145" s="1430"/>
      <c r="K145" s="1431">
        <v>661</v>
      </c>
      <c r="L145" s="1433">
        <v>0</v>
      </c>
      <c r="M145" s="1433">
        <v>0</v>
      </c>
      <c r="N145" s="1430">
        <v>52</v>
      </c>
      <c r="P145" s="1837"/>
    </row>
    <row r="146" spans="1:16" ht="16" thickBot="1">
      <c r="A146" t="s">
        <v>1463</v>
      </c>
      <c r="B146" s="981" t="s">
        <v>1674</v>
      </c>
      <c r="C146" s="2065"/>
      <c r="D146" s="2066"/>
      <c r="E146" s="2066"/>
      <c r="F146" s="2067"/>
      <c r="G146" s="2065"/>
      <c r="H146" s="2065"/>
      <c r="I146" s="2066"/>
      <c r="J146" s="2066"/>
      <c r="K146" s="2067"/>
      <c r="L146" s="2065">
        <v>0</v>
      </c>
      <c r="M146" s="2065">
        <v>0</v>
      </c>
      <c r="N146" s="2066">
        <v>0</v>
      </c>
      <c r="P146" s="1837"/>
    </row>
    <row r="147" spans="1:16" ht="16" thickBot="1">
      <c r="A147" t="s">
        <v>1463</v>
      </c>
      <c r="B147" s="1880" t="s">
        <v>1494</v>
      </c>
      <c r="C147" s="1433"/>
      <c r="D147" s="1430"/>
      <c r="E147" s="1430"/>
      <c r="F147" s="1431"/>
      <c r="G147" s="1433"/>
      <c r="H147" s="1433">
        <v>810</v>
      </c>
      <c r="I147" s="1430"/>
      <c r="J147" s="1430"/>
      <c r="K147" s="1431"/>
      <c r="L147" s="1433">
        <v>0</v>
      </c>
      <c r="M147" s="1433">
        <v>0</v>
      </c>
      <c r="N147" s="1430">
        <v>754</v>
      </c>
      <c r="P147" s="1837"/>
    </row>
    <row r="148" spans="1:16" ht="16" thickBot="1">
      <c r="A148" t="s">
        <v>1463</v>
      </c>
      <c r="B148" s="1880" t="s">
        <v>1495</v>
      </c>
      <c r="C148" s="1433"/>
      <c r="D148" s="1430"/>
      <c r="E148" s="1430"/>
      <c r="F148" s="1431"/>
      <c r="G148" s="1433"/>
      <c r="H148" s="1433">
        <v>1031</v>
      </c>
      <c r="I148" s="1430"/>
      <c r="J148" s="1430"/>
      <c r="K148" s="1431"/>
      <c r="L148" s="1433">
        <v>0</v>
      </c>
      <c r="M148" s="1433">
        <v>0</v>
      </c>
      <c r="N148" s="1430">
        <v>0</v>
      </c>
      <c r="P148" s="1837"/>
    </row>
    <row r="149" spans="1:16" ht="16" thickBot="1">
      <c r="A149" t="s">
        <v>1463</v>
      </c>
      <c r="B149" s="1880" t="s">
        <v>1496</v>
      </c>
      <c r="C149" s="1433"/>
      <c r="D149" s="1430"/>
      <c r="E149" s="1430"/>
      <c r="F149" s="1431"/>
      <c r="G149" s="1433"/>
      <c r="H149" s="1433">
        <v>12123</v>
      </c>
      <c r="I149" s="1430"/>
      <c r="J149" s="1430"/>
      <c r="K149" s="1431"/>
      <c r="L149" s="1433">
        <v>0</v>
      </c>
      <c r="M149" s="1433">
        <v>0</v>
      </c>
      <c r="N149" s="1430">
        <v>0</v>
      </c>
      <c r="P149" s="1837"/>
    </row>
    <row r="150" spans="1:16" ht="16" thickBot="1">
      <c r="B150" s="1880" t="s">
        <v>1675</v>
      </c>
      <c r="C150" s="1433"/>
      <c r="D150" s="1430"/>
      <c r="E150" s="1430"/>
      <c r="F150" s="1431"/>
      <c r="G150" s="1433"/>
      <c r="H150" s="1433"/>
      <c r="I150" s="1430"/>
      <c r="J150" s="2073"/>
      <c r="K150" s="1431"/>
      <c r="L150" s="1433">
        <v>0</v>
      </c>
      <c r="M150" s="1433">
        <v>0</v>
      </c>
      <c r="N150" s="1430">
        <v>0</v>
      </c>
      <c r="P150" s="1837"/>
    </row>
    <row r="151" spans="1:16" ht="16" thickBot="1">
      <c r="B151" s="2068" t="s">
        <v>1676</v>
      </c>
      <c r="C151" s="1433"/>
      <c r="D151" s="1430"/>
      <c r="E151" s="1430"/>
      <c r="F151" s="1431"/>
      <c r="G151" s="1433"/>
      <c r="H151" s="1433"/>
      <c r="I151" s="1430"/>
      <c r="J151" s="2073"/>
      <c r="K151" s="1431"/>
      <c r="L151" s="1433">
        <v>0</v>
      </c>
      <c r="M151" s="1433">
        <v>0</v>
      </c>
      <c r="N151" s="1430">
        <v>0</v>
      </c>
      <c r="P151" s="1837"/>
    </row>
    <row r="152" spans="1:16" ht="16" thickBot="1">
      <c r="B152" s="864" t="s">
        <v>31</v>
      </c>
      <c r="C152" s="1434">
        <f t="shared" ref="C152:I152" si="54">SUM(C136:C149)</f>
        <v>5700</v>
      </c>
      <c r="D152" s="1434">
        <f t="shared" si="54"/>
        <v>8711</v>
      </c>
      <c r="E152" s="1434">
        <f t="shared" si="54"/>
        <v>13627</v>
      </c>
      <c r="F152" s="1434">
        <f t="shared" si="54"/>
        <v>27276</v>
      </c>
      <c r="G152" s="1434">
        <f t="shared" si="54"/>
        <v>13539</v>
      </c>
      <c r="H152" s="1434">
        <f t="shared" si="54"/>
        <v>29391</v>
      </c>
      <c r="I152" s="1881">
        <f t="shared" si="54"/>
        <v>5260</v>
      </c>
      <c r="J152" s="1881">
        <f>SUM(J136:J151)</f>
        <v>4915</v>
      </c>
      <c r="K152" s="2070">
        <f t="shared" ref="K152:N152" si="55">SUM(K136:K151)</f>
        <v>4977</v>
      </c>
      <c r="L152" s="2070">
        <f t="shared" si="55"/>
        <v>4518</v>
      </c>
      <c r="M152" s="2070">
        <f t="shared" si="55"/>
        <v>36414</v>
      </c>
      <c r="N152" s="2070">
        <f t="shared" si="55"/>
        <v>4876</v>
      </c>
      <c r="P152" s="1837"/>
    </row>
    <row r="153" spans="1:16" ht="16" thickBot="1">
      <c r="B153" s="815"/>
      <c r="C153" s="797"/>
      <c r="D153" s="797"/>
      <c r="E153" s="797"/>
      <c r="F153" s="797"/>
      <c r="G153" s="797"/>
      <c r="H153" s="797"/>
      <c r="I153" s="797"/>
      <c r="J153" s="797"/>
      <c r="K153" s="797"/>
      <c r="L153" s="797"/>
      <c r="M153" s="797"/>
      <c r="N153" s="797"/>
      <c r="P153" s="1837"/>
    </row>
    <row r="154" spans="1:16" ht="16" thickBot="1">
      <c r="B154" s="820" t="s">
        <v>9</v>
      </c>
      <c r="C154" s="821" t="s">
        <v>888</v>
      </c>
      <c r="D154" s="822">
        <v>45689</v>
      </c>
      <c r="E154" s="822">
        <v>45717</v>
      </c>
      <c r="F154" s="821" t="s">
        <v>889</v>
      </c>
      <c r="G154" s="822">
        <v>45778</v>
      </c>
      <c r="H154" s="822">
        <v>45809</v>
      </c>
      <c r="I154" s="822">
        <v>45839</v>
      </c>
      <c r="J154" s="821" t="s">
        <v>890</v>
      </c>
      <c r="K154" s="822">
        <v>45901</v>
      </c>
      <c r="L154" s="822">
        <v>45931</v>
      </c>
      <c r="M154" s="822">
        <v>45962</v>
      </c>
      <c r="N154" s="821" t="s">
        <v>891</v>
      </c>
      <c r="P154" s="1837"/>
    </row>
    <row r="155" spans="1:16" ht="16" thickBot="1">
      <c r="B155" s="863" t="s">
        <v>692</v>
      </c>
      <c r="C155" s="827">
        <f t="shared" ref="C155:F155" si="56">SUM(C156:C167)</f>
        <v>0</v>
      </c>
      <c r="D155" s="827">
        <f t="shared" si="56"/>
        <v>4299</v>
      </c>
      <c r="E155" s="827">
        <f t="shared" si="56"/>
        <v>0</v>
      </c>
      <c r="F155" s="827">
        <f t="shared" si="56"/>
        <v>3329</v>
      </c>
      <c r="G155" s="827">
        <f>SUM(G156:G167)</f>
        <v>3182</v>
      </c>
      <c r="H155" s="827">
        <f>SUM(H156:H167)</f>
        <v>22902</v>
      </c>
      <c r="I155" s="1884">
        <v>0</v>
      </c>
      <c r="J155" s="827">
        <f>SUM(J156:J167)</f>
        <v>994</v>
      </c>
      <c r="K155" s="827">
        <f t="shared" ref="K155:N155" si="57">SUM(K156:K167)</f>
        <v>3378</v>
      </c>
      <c r="L155" s="827">
        <f t="shared" si="57"/>
        <v>4377</v>
      </c>
      <c r="M155" s="827">
        <f t="shared" si="57"/>
        <v>0</v>
      </c>
      <c r="N155" s="827">
        <f t="shared" si="57"/>
        <v>6000</v>
      </c>
      <c r="P155" s="1837"/>
    </row>
    <row r="156" spans="1:16" ht="17" thickBot="1">
      <c r="A156" t="s">
        <v>1465</v>
      </c>
      <c r="B156" s="865" t="s">
        <v>911</v>
      </c>
      <c r="C156" s="817" t="s">
        <v>717</v>
      </c>
      <c r="D156" s="810">
        <v>483</v>
      </c>
      <c r="E156" s="810"/>
      <c r="F156" s="810"/>
      <c r="G156" s="810"/>
      <c r="H156" s="810"/>
      <c r="I156" s="1885"/>
      <c r="J156" s="810"/>
      <c r="K156" s="810"/>
      <c r="L156" s="810"/>
      <c r="M156" s="810"/>
      <c r="N156" s="811"/>
      <c r="P156" s="1837"/>
    </row>
    <row r="157" spans="1:16" ht="16" thickBot="1">
      <c r="A157" t="s">
        <v>1465</v>
      </c>
      <c r="B157" s="865" t="s">
        <v>912</v>
      </c>
      <c r="C157" s="817"/>
      <c r="D157" s="809">
        <v>3089</v>
      </c>
      <c r="E157" s="810"/>
      <c r="F157" s="810"/>
      <c r="G157" s="810"/>
      <c r="H157" s="810"/>
      <c r="I157" s="1886"/>
      <c r="J157" s="810"/>
      <c r="K157" s="810"/>
      <c r="L157" s="810"/>
      <c r="M157" s="810"/>
      <c r="N157" s="811"/>
      <c r="P157" s="1837"/>
    </row>
    <row r="158" spans="1:16" ht="16" thickBot="1">
      <c r="A158" t="s">
        <v>1465</v>
      </c>
      <c r="B158" s="865" t="s">
        <v>913</v>
      </c>
      <c r="C158" s="817"/>
      <c r="D158" s="810">
        <v>727</v>
      </c>
      <c r="E158" s="810"/>
      <c r="F158" s="809"/>
      <c r="G158" s="809"/>
      <c r="H158" s="810"/>
      <c r="I158" s="1885"/>
      <c r="J158" s="810"/>
      <c r="K158" s="810"/>
      <c r="L158" s="810"/>
      <c r="M158" s="810"/>
      <c r="N158" s="811"/>
      <c r="P158" s="1837"/>
    </row>
    <row r="159" spans="1:16" ht="16" thickBot="1">
      <c r="A159" t="s">
        <v>1465</v>
      </c>
      <c r="B159" s="865" t="s">
        <v>1280</v>
      </c>
      <c r="C159" s="817"/>
      <c r="D159" s="810"/>
      <c r="E159" s="810"/>
      <c r="F159" s="809">
        <v>1058</v>
      </c>
      <c r="G159" s="809">
        <v>438</v>
      </c>
      <c r="H159" s="810"/>
      <c r="I159" s="1886"/>
      <c r="J159" s="810"/>
      <c r="K159" s="810"/>
      <c r="L159" s="810"/>
      <c r="M159" s="810"/>
      <c r="N159" s="2063"/>
      <c r="P159" s="1837"/>
    </row>
    <row r="160" spans="1:16" ht="16" thickBot="1">
      <c r="A160" t="s">
        <v>1465</v>
      </c>
      <c r="B160" s="865" t="s">
        <v>1281</v>
      </c>
      <c r="C160" s="817"/>
      <c r="D160" s="810"/>
      <c r="E160" s="810"/>
      <c r="F160" s="809">
        <v>2271</v>
      </c>
      <c r="G160" s="809"/>
      <c r="H160" s="810"/>
      <c r="I160" s="1885"/>
      <c r="J160" s="810"/>
      <c r="K160" s="810"/>
      <c r="L160" s="810"/>
      <c r="M160" s="810"/>
      <c r="N160" s="2063"/>
      <c r="P160" s="1837"/>
    </row>
    <row r="161" spans="1:16" ht="16" thickBot="1">
      <c r="A161" t="s">
        <v>1465</v>
      </c>
      <c r="B161" s="865" t="s">
        <v>1370</v>
      </c>
      <c r="C161" s="1632"/>
      <c r="D161" s="1626"/>
      <c r="E161" s="1626"/>
      <c r="F161" s="1627"/>
      <c r="G161" s="1627">
        <v>850</v>
      </c>
      <c r="H161" s="1626"/>
      <c r="I161" s="1886"/>
      <c r="J161" s="1626"/>
      <c r="K161" s="1626"/>
      <c r="L161" s="1626"/>
      <c r="M161" s="1626"/>
      <c r="N161" s="2063"/>
      <c r="P161" s="1837"/>
    </row>
    <row r="162" spans="1:16" ht="16" thickBot="1">
      <c r="A162" t="s">
        <v>1465</v>
      </c>
      <c r="B162" s="1631" t="s">
        <v>1371</v>
      </c>
      <c r="C162" s="1632"/>
      <c r="D162" s="1626"/>
      <c r="E162" s="1626"/>
      <c r="F162" s="1627"/>
      <c r="G162" s="1627">
        <v>1894</v>
      </c>
      <c r="H162" s="1626"/>
      <c r="I162" s="1885"/>
      <c r="J162" s="1626"/>
      <c r="K162" s="1626"/>
      <c r="L162" s="1626"/>
      <c r="M162" s="1626"/>
      <c r="N162" s="2063"/>
      <c r="P162" s="1837"/>
    </row>
    <row r="163" spans="1:16" ht="16" thickBot="1">
      <c r="A163" t="s">
        <v>1465</v>
      </c>
      <c r="B163" s="1633" t="s">
        <v>1372</v>
      </c>
      <c r="C163" s="1632"/>
      <c r="D163" s="1626"/>
      <c r="E163" s="1626"/>
      <c r="F163" s="1627"/>
      <c r="G163" s="1627"/>
      <c r="H163" s="1626"/>
      <c r="I163" s="1886"/>
      <c r="J163" s="1626"/>
      <c r="K163" s="1626"/>
      <c r="L163" s="1626"/>
      <c r="M163" s="1626"/>
      <c r="N163" s="2063"/>
      <c r="P163" s="1837"/>
    </row>
    <row r="164" spans="1:16" ht="16" thickBot="1">
      <c r="A164" t="s">
        <v>1465</v>
      </c>
      <c r="B164" s="866" t="s">
        <v>1497</v>
      </c>
      <c r="C164" s="1882"/>
      <c r="D164" s="1868"/>
      <c r="E164" s="1868"/>
      <c r="F164" s="1883"/>
      <c r="G164" s="1883"/>
      <c r="H164" s="1868">
        <v>737</v>
      </c>
      <c r="I164" s="1885"/>
      <c r="J164" s="1868"/>
      <c r="K164" s="1868"/>
      <c r="L164" s="1868"/>
      <c r="M164" s="1868"/>
      <c r="N164" s="2063"/>
      <c r="P164" s="1837"/>
    </row>
    <row r="165" spans="1:16" ht="16" thickBot="1">
      <c r="A165" t="s">
        <v>1465</v>
      </c>
      <c r="B165" s="866" t="s">
        <v>1498</v>
      </c>
      <c r="C165" s="1882"/>
      <c r="D165" s="1868"/>
      <c r="E165" s="1868"/>
      <c r="F165" s="1883"/>
      <c r="G165" s="1883"/>
      <c r="H165" s="1868">
        <v>15147</v>
      </c>
      <c r="I165" s="1886"/>
      <c r="J165" s="1868"/>
      <c r="K165" s="1868"/>
      <c r="L165" s="1868"/>
      <c r="M165" s="1868"/>
      <c r="N165" s="2063"/>
      <c r="P165" s="1837"/>
    </row>
    <row r="166" spans="1:16" ht="16" thickBot="1">
      <c r="A166" t="s">
        <v>1465</v>
      </c>
      <c r="B166" s="866" t="s">
        <v>1499</v>
      </c>
      <c r="C166" s="1882"/>
      <c r="D166" s="1868"/>
      <c r="E166" s="1868"/>
      <c r="F166" s="1883"/>
      <c r="G166" s="1883"/>
      <c r="H166" s="1868">
        <v>4639</v>
      </c>
      <c r="I166" s="1885"/>
      <c r="J166" s="1868">
        <v>994</v>
      </c>
      <c r="K166" s="1868"/>
      <c r="L166" s="1868"/>
      <c r="M166" s="1868"/>
      <c r="N166" s="2063"/>
      <c r="P166" s="1837"/>
    </row>
    <row r="167" spans="1:16" ht="16" thickBot="1">
      <c r="A167" t="s">
        <v>1465</v>
      </c>
      <c r="B167" s="866" t="s">
        <v>1500</v>
      </c>
      <c r="C167" s="1882"/>
      <c r="D167" s="1868"/>
      <c r="E167" s="1868"/>
      <c r="F167" s="1883"/>
      <c r="G167" s="1883"/>
      <c r="H167" s="1868">
        <v>2379</v>
      </c>
      <c r="I167" s="1886"/>
      <c r="J167" s="1868"/>
      <c r="K167" s="1868">
        <v>3378</v>
      </c>
      <c r="L167" s="1868">
        <v>4377</v>
      </c>
      <c r="M167" s="1868"/>
      <c r="N167" s="2063">
        <v>6000</v>
      </c>
      <c r="P167" s="1837"/>
    </row>
    <row r="168" spans="1:16" ht="16" thickBot="1">
      <c r="B168" s="863" t="s">
        <v>914</v>
      </c>
      <c r="C168" s="1884">
        <f t="shared" ref="C168:N168" si="58">SUM(C169:C184)</f>
        <v>1537</v>
      </c>
      <c r="D168" s="1884">
        <f t="shared" si="58"/>
        <v>1450</v>
      </c>
      <c r="E168" s="1884">
        <f t="shared" si="58"/>
        <v>699</v>
      </c>
      <c r="F168" s="1884">
        <f t="shared" si="58"/>
        <v>1557</v>
      </c>
      <c r="G168" s="1884">
        <f t="shared" si="58"/>
        <v>768</v>
      </c>
      <c r="H168" s="1884">
        <f t="shared" si="58"/>
        <v>4593</v>
      </c>
      <c r="I168" s="1884">
        <f t="shared" si="58"/>
        <v>3413</v>
      </c>
      <c r="J168" s="1884">
        <f t="shared" si="58"/>
        <v>432</v>
      </c>
      <c r="K168" s="1884">
        <f t="shared" si="58"/>
        <v>78</v>
      </c>
      <c r="L168" s="1884">
        <f t="shared" si="58"/>
        <v>0</v>
      </c>
      <c r="M168" s="1884">
        <f>SUM(M169:M184)</f>
        <v>1000</v>
      </c>
      <c r="N168" s="1884">
        <f t="shared" si="58"/>
        <v>0</v>
      </c>
      <c r="P168" s="1837"/>
    </row>
    <row r="169" spans="1:16" ht="16" thickBot="1">
      <c r="A169" t="s">
        <v>1465</v>
      </c>
      <c r="B169" s="865" t="s">
        <v>915</v>
      </c>
      <c r="C169" s="817">
        <v>380</v>
      </c>
      <c r="D169" s="810"/>
      <c r="E169" s="810"/>
      <c r="F169" s="810"/>
      <c r="G169" s="810"/>
      <c r="H169" s="810"/>
      <c r="I169" s="1886"/>
      <c r="J169" s="810"/>
      <c r="K169" s="810"/>
      <c r="L169" s="810"/>
      <c r="M169" s="810"/>
      <c r="N169" s="2063"/>
      <c r="P169" s="1837"/>
    </row>
    <row r="170" spans="1:16" ht="16" thickBot="1">
      <c r="A170" t="s">
        <v>1465</v>
      </c>
      <c r="B170" s="865" t="s">
        <v>916</v>
      </c>
      <c r="C170" s="817">
        <v>532</v>
      </c>
      <c r="D170" s="810"/>
      <c r="E170" s="810"/>
      <c r="F170" s="810"/>
      <c r="G170" s="810"/>
      <c r="H170" s="810"/>
      <c r="I170" s="1885"/>
      <c r="J170" s="810"/>
      <c r="K170" s="810"/>
      <c r="L170" s="810"/>
      <c r="M170" s="810"/>
      <c r="N170" s="2063"/>
      <c r="P170" s="1837"/>
    </row>
    <row r="171" spans="1:16" ht="16" thickBot="1">
      <c r="A171" t="s">
        <v>1465</v>
      </c>
      <c r="B171" s="865" t="s">
        <v>917</v>
      </c>
      <c r="C171" s="817">
        <v>625</v>
      </c>
      <c r="D171" s="810"/>
      <c r="E171" s="810"/>
      <c r="F171" s="810"/>
      <c r="G171" s="810"/>
      <c r="H171" s="810"/>
      <c r="I171" s="1886"/>
      <c r="J171" s="810"/>
      <c r="K171" s="810"/>
      <c r="L171" s="810"/>
      <c r="M171" s="810"/>
      <c r="N171" s="2063"/>
      <c r="P171" s="1837"/>
    </row>
    <row r="172" spans="1:16" ht="16" thickBot="1">
      <c r="A172" t="s">
        <v>1465</v>
      </c>
      <c r="B172" s="865" t="s">
        <v>918</v>
      </c>
      <c r="C172" s="817"/>
      <c r="D172" s="809">
        <v>1450</v>
      </c>
      <c r="E172" s="810">
        <v>399</v>
      </c>
      <c r="F172" s="810"/>
      <c r="G172" s="810"/>
      <c r="H172" s="810"/>
      <c r="I172" s="1885"/>
      <c r="J172" s="810"/>
      <c r="K172" s="810"/>
      <c r="L172" s="810"/>
      <c r="M172" s="810"/>
      <c r="N172" s="2063"/>
      <c r="P172" s="1837"/>
    </row>
    <row r="173" spans="1:16" ht="16" thickBot="1">
      <c r="A173" t="s">
        <v>1465</v>
      </c>
      <c r="B173" s="866" t="s">
        <v>919</v>
      </c>
      <c r="C173" s="817"/>
      <c r="D173" s="810"/>
      <c r="E173" s="810">
        <v>300</v>
      </c>
      <c r="F173" s="810"/>
      <c r="G173" s="810"/>
      <c r="H173" s="810"/>
      <c r="I173" s="1886"/>
      <c r="J173" s="810"/>
      <c r="K173" s="810"/>
      <c r="L173" s="810"/>
      <c r="M173" s="810"/>
      <c r="N173" s="2063"/>
      <c r="P173" s="1837"/>
    </row>
    <row r="174" spans="1:16" ht="16" thickBot="1">
      <c r="A174" t="s">
        <v>1465</v>
      </c>
      <c r="B174" s="865" t="s">
        <v>1280</v>
      </c>
      <c r="C174" s="817"/>
      <c r="D174" s="809"/>
      <c r="E174" s="810"/>
      <c r="F174" s="809">
        <v>1557</v>
      </c>
      <c r="G174" s="810"/>
      <c r="H174" s="810"/>
      <c r="I174" s="1885"/>
      <c r="J174" s="810"/>
      <c r="K174" s="810"/>
      <c r="L174" s="810"/>
      <c r="M174" s="810"/>
      <c r="N174" s="2063"/>
      <c r="P174" s="1837"/>
    </row>
    <row r="175" spans="1:16" ht="16" thickBot="1">
      <c r="A175" t="s">
        <v>1465</v>
      </c>
      <c r="B175" s="865" t="s">
        <v>1370</v>
      </c>
      <c r="C175" s="1632"/>
      <c r="D175" s="1627"/>
      <c r="E175" s="1626"/>
      <c r="F175" s="1627"/>
      <c r="G175" s="1626">
        <v>340</v>
      </c>
      <c r="H175" s="1626"/>
      <c r="I175" s="1886"/>
      <c r="J175" s="1626"/>
      <c r="K175" s="1626"/>
      <c r="L175" s="1626"/>
      <c r="M175" s="1626"/>
      <c r="N175" s="2063"/>
      <c r="P175" s="1837"/>
    </row>
    <row r="176" spans="1:16" ht="16" thickBot="1">
      <c r="A176" t="s">
        <v>1465</v>
      </c>
      <c r="B176" s="1631" t="s">
        <v>1373</v>
      </c>
      <c r="C176" s="1632"/>
      <c r="D176" s="1627"/>
      <c r="E176" s="1626"/>
      <c r="F176" s="1627"/>
      <c r="G176" s="1626">
        <v>428</v>
      </c>
      <c r="H176" s="1626"/>
      <c r="I176" s="1885"/>
      <c r="J176" s="1626"/>
      <c r="K176" s="1626"/>
      <c r="L176" s="1626"/>
      <c r="M176" s="1626"/>
      <c r="N176" s="2063"/>
      <c r="P176" s="1837"/>
    </row>
    <row r="177" spans="1:16" ht="16" thickBot="1">
      <c r="A177" t="s">
        <v>1465</v>
      </c>
      <c r="B177" s="866" t="s">
        <v>1497</v>
      </c>
      <c r="C177" s="1882"/>
      <c r="D177" s="1883"/>
      <c r="E177" s="1868"/>
      <c r="F177" s="1883"/>
      <c r="G177" s="1868"/>
      <c r="H177" s="1868">
        <v>553</v>
      </c>
      <c r="I177" s="1886">
        <v>1141</v>
      </c>
      <c r="J177" s="1868"/>
      <c r="K177" s="1868"/>
      <c r="L177" s="1868"/>
      <c r="M177" s="1868"/>
      <c r="N177" s="2063"/>
      <c r="P177" s="1837"/>
    </row>
    <row r="178" spans="1:16" ht="16" thickBot="1">
      <c r="A178" t="s">
        <v>1465</v>
      </c>
      <c r="B178" s="866" t="s">
        <v>1498</v>
      </c>
      <c r="C178" s="1882"/>
      <c r="D178" s="1883"/>
      <c r="E178" s="1868"/>
      <c r="F178" s="1883"/>
      <c r="G178" s="1868"/>
      <c r="H178" s="1868">
        <v>3002</v>
      </c>
      <c r="I178" s="1885"/>
      <c r="J178" s="1868"/>
      <c r="K178" s="1868"/>
      <c r="L178" s="1868"/>
      <c r="M178" s="1868"/>
      <c r="N178" s="2063"/>
      <c r="P178" s="1837"/>
    </row>
    <row r="179" spans="1:16" ht="16" thickBot="1">
      <c r="A179" t="s">
        <v>1465</v>
      </c>
      <c r="B179" s="866" t="s">
        <v>1499</v>
      </c>
      <c r="C179" s="1882"/>
      <c r="D179" s="1883"/>
      <c r="E179" s="1868"/>
      <c r="F179" s="1883"/>
      <c r="G179" s="1868"/>
      <c r="H179" s="1868">
        <v>1038</v>
      </c>
      <c r="I179" s="1886"/>
      <c r="J179" s="1868"/>
      <c r="K179" s="1868"/>
      <c r="L179" s="1868"/>
      <c r="M179" s="1868"/>
      <c r="N179" s="2063"/>
      <c r="P179" s="1837"/>
    </row>
    <row r="180" spans="1:16" ht="16" thickBot="1">
      <c r="A180" t="s">
        <v>1465</v>
      </c>
      <c r="B180" s="866" t="s">
        <v>1500</v>
      </c>
      <c r="C180" s="1882"/>
      <c r="D180" s="1883"/>
      <c r="E180" s="1868"/>
      <c r="F180" s="1883"/>
      <c r="G180" s="1868"/>
      <c r="H180" s="1868"/>
      <c r="I180" s="1885">
        <v>2105</v>
      </c>
      <c r="J180" s="1868">
        <v>217</v>
      </c>
      <c r="K180" s="1868"/>
      <c r="L180" s="1868"/>
      <c r="M180" s="1868"/>
      <c r="N180" s="2063"/>
      <c r="P180" s="1837"/>
    </row>
    <row r="181" spans="1:16" ht="16" thickBot="1">
      <c r="A181" t="s">
        <v>1465</v>
      </c>
      <c r="B181" s="866" t="s">
        <v>1501</v>
      </c>
      <c r="C181" s="1882"/>
      <c r="D181" s="1883"/>
      <c r="E181" s="1868"/>
      <c r="F181" s="1883"/>
      <c r="G181" s="1868"/>
      <c r="H181" s="1868"/>
      <c r="I181" s="1886">
        <v>167</v>
      </c>
      <c r="J181" s="1868"/>
      <c r="K181" s="1868"/>
      <c r="L181" s="1868"/>
      <c r="M181" s="1868"/>
      <c r="N181" s="2063"/>
      <c r="P181" s="1837"/>
    </row>
    <row r="182" spans="1:16" ht="16" thickBot="1">
      <c r="A182" t="s">
        <v>1465</v>
      </c>
      <c r="B182" s="865" t="s">
        <v>1694</v>
      </c>
      <c r="C182" s="1882"/>
      <c r="D182" s="1883"/>
      <c r="E182" s="1868"/>
      <c r="F182" s="1883"/>
      <c r="G182" s="1868"/>
      <c r="H182" s="1868"/>
      <c r="I182" s="1885"/>
      <c r="J182" s="1868">
        <v>215</v>
      </c>
      <c r="K182" s="1868"/>
      <c r="L182" s="1868"/>
      <c r="M182" s="1868"/>
      <c r="N182" s="2063"/>
      <c r="P182" s="1837"/>
    </row>
    <row r="183" spans="1:16" ht="16" thickBot="1">
      <c r="A183" t="s">
        <v>1465</v>
      </c>
      <c r="B183" s="865" t="s">
        <v>1897</v>
      </c>
      <c r="C183" s="1632"/>
      <c r="D183" s="1487"/>
      <c r="E183" s="1486"/>
      <c r="F183" s="1487"/>
      <c r="G183" s="1486"/>
      <c r="H183" s="1486"/>
      <c r="I183" s="2455"/>
      <c r="J183" s="1486"/>
      <c r="K183" s="1486">
        <v>78</v>
      </c>
      <c r="L183" s="1486"/>
      <c r="M183" s="1486"/>
      <c r="N183" s="1488"/>
      <c r="P183" s="1837"/>
    </row>
    <row r="184" spans="1:16" ht="16" thickBot="1">
      <c r="A184" t="s">
        <v>1465</v>
      </c>
      <c r="B184" s="865" t="s">
        <v>1898</v>
      </c>
      <c r="C184" s="1632"/>
      <c r="D184" s="1487"/>
      <c r="E184" s="1486"/>
      <c r="F184" s="1487"/>
      <c r="G184" s="1486"/>
      <c r="H184" s="1486"/>
      <c r="I184" s="2455"/>
      <c r="J184" s="1486"/>
      <c r="K184" s="1486"/>
      <c r="L184" s="1486"/>
      <c r="M184" s="1486">
        <v>1000</v>
      </c>
      <c r="N184" s="1488"/>
      <c r="P184" s="1837"/>
    </row>
    <row r="185" spans="1:16" ht="16" thickBot="1">
      <c r="B185" s="863" t="s">
        <v>920</v>
      </c>
      <c r="C185" s="1884">
        <f t="shared" ref="C185:L185" si="59">SUM(C186:C199)</f>
        <v>1971</v>
      </c>
      <c r="D185" s="1884">
        <f t="shared" si="59"/>
        <v>738</v>
      </c>
      <c r="E185" s="1884">
        <f t="shared" si="59"/>
        <v>150</v>
      </c>
      <c r="F185" s="1884">
        <f t="shared" si="59"/>
        <v>1141.4000000000001</v>
      </c>
      <c r="G185" s="1884">
        <f t="shared" si="59"/>
        <v>436</v>
      </c>
      <c r="H185" s="1884">
        <f t="shared" si="59"/>
        <v>0</v>
      </c>
      <c r="I185" s="1884">
        <f t="shared" si="59"/>
        <v>131</v>
      </c>
      <c r="J185" s="1884">
        <f t="shared" si="59"/>
        <v>626</v>
      </c>
      <c r="K185" s="1884">
        <f t="shared" si="59"/>
        <v>0</v>
      </c>
      <c r="L185" s="1884">
        <f t="shared" si="59"/>
        <v>0</v>
      </c>
      <c r="M185" s="1884">
        <f>SUM(M186:M199)</f>
        <v>205</v>
      </c>
      <c r="N185" s="1884">
        <f>SUM(N186:N199)</f>
        <v>0</v>
      </c>
    </row>
    <row r="186" spans="1:16" ht="16" thickBot="1">
      <c r="A186" t="s">
        <v>1465</v>
      </c>
      <c r="B186" s="865" t="s">
        <v>921</v>
      </c>
      <c r="C186" s="817">
        <v>52</v>
      </c>
      <c r="D186" s="810"/>
      <c r="E186" s="810"/>
      <c r="F186" s="810"/>
      <c r="G186" s="810"/>
      <c r="H186" s="810"/>
      <c r="I186" s="1885"/>
      <c r="J186" s="810"/>
      <c r="K186" s="810"/>
      <c r="L186" s="810"/>
      <c r="M186" s="810"/>
      <c r="N186" s="811"/>
    </row>
    <row r="187" spans="1:16" ht="16" thickBot="1">
      <c r="A187" t="s">
        <v>1465</v>
      </c>
      <c r="B187" s="865" t="s">
        <v>922</v>
      </c>
      <c r="C187" s="817">
        <v>827</v>
      </c>
      <c r="D187" s="810"/>
      <c r="E187" s="810"/>
      <c r="F187" s="810"/>
      <c r="G187" s="810"/>
      <c r="H187" s="810"/>
      <c r="I187" s="1886"/>
      <c r="J187" s="810"/>
      <c r="K187" s="810"/>
      <c r="L187" s="810"/>
      <c r="M187" s="810"/>
      <c r="N187" s="811"/>
    </row>
    <row r="188" spans="1:16" ht="16" thickBot="1">
      <c r="A188" t="s">
        <v>1465</v>
      </c>
      <c r="B188" s="865" t="s">
        <v>923</v>
      </c>
      <c r="C188" s="817">
        <v>795</v>
      </c>
      <c r="D188" s="810"/>
      <c r="E188" s="810"/>
      <c r="F188" s="810"/>
      <c r="G188" s="810"/>
      <c r="H188" s="810"/>
      <c r="I188" s="1885"/>
      <c r="J188" s="810">
        <v>350</v>
      </c>
      <c r="K188" s="810"/>
      <c r="L188" s="810"/>
      <c r="M188" s="810"/>
      <c r="N188" s="811"/>
    </row>
    <row r="189" spans="1:16" ht="16" thickBot="1">
      <c r="A189" t="s">
        <v>1465</v>
      </c>
      <c r="B189" s="865" t="s">
        <v>924</v>
      </c>
      <c r="C189" s="817">
        <v>297</v>
      </c>
      <c r="D189" s="810"/>
      <c r="E189" s="810">
        <v>150</v>
      </c>
      <c r="F189" s="810"/>
      <c r="G189" s="810"/>
      <c r="H189" s="810"/>
      <c r="I189" s="1886">
        <v>14</v>
      </c>
      <c r="J189" s="810"/>
      <c r="K189" s="810"/>
      <c r="L189" s="810"/>
      <c r="M189" s="810"/>
      <c r="N189" s="811"/>
    </row>
    <row r="190" spans="1:16" ht="16" thickBot="1">
      <c r="A190" t="s">
        <v>1465</v>
      </c>
      <c r="B190" s="865" t="s">
        <v>925</v>
      </c>
      <c r="C190" s="817"/>
      <c r="D190" s="810">
        <v>145</v>
      </c>
      <c r="E190" s="810"/>
      <c r="F190" s="810"/>
      <c r="G190" s="810"/>
      <c r="H190" s="810"/>
      <c r="I190" s="1885"/>
      <c r="J190" s="810"/>
      <c r="K190" s="810"/>
      <c r="L190" s="810"/>
      <c r="M190" s="810"/>
      <c r="N190" s="811"/>
    </row>
    <row r="191" spans="1:16" ht="16" thickBot="1">
      <c r="A191" t="s">
        <v>1465</v>
      </c>
      <c r="B191" s="865" t="s">
        <v>926</v>
      </c>
      <c r="C191" s="817"/>
      <c r="D191" s="810">
        <v>593</v>
      </c>
      <c r="E191" s="810"/>
      <c r="F191" s="810"/>
      <c r="G191" s="810"/>
      <c r="H191" s="810"/>
      <c r="I191" s="1886"/>
      <c r="J191" s="810"/>
      <c r="K191" s="810"/>
      <c r="L191" s="810"/>
      <c r="M191" s="810"/>
      <c r="N191" s="811"/>
    </row>
    <row r="192" spans="1:16" ht="16" thickBot="1">
      <c r="A192" t="s">
        <v>1465</v>
      </c>
      <c r="B192" s="865" t="s">
        <v>1280</v>
      </c>
      <c r="C192" s="817"/>
      <c r="D192" s="810"/>
      <c r="E192" s="810"/>
      <c r="F192" s="810">
        <v>36.4</v>
      </c>
      <c r="G192" s="810"/>
      <c r="H192" s="810"/>
      <c r="I192" s="1885"/>
      <c r="J192" s="810"/>
      <c r="K192" s="810"/>
      <c r="L192" s="810"/>
      <c r="M192" s="810"/>
      <c r="N192" s="811"/>
    </row>
    <row r="193" spans="1:14" ht="16" thickBot="1">
      <c r="A193" t="s">
        <v>1465</v>
      </c>
      <c r="B193" s="866" t="s">
        <v>1282</v>
      </c>
      <c r="C193" s="840"/>
      <c r="D193" s="841"/>
      <c r="E193" s="841"/>
      <c r="F193" s="841">
        <v>649</v>
      </c>
      <c r="G193" s="841"/>
      <c r="H193" s="841"/>
      <c r="I193" s="1887"/>
      <c r="J193" s="841"/>
      <c r="K193" s="841"/>
      <c r="L193" s="841"/>
      <c r="M193" s="841"/>
      <c r="N193" s="842"/>
    </row>
    <row r="194" spans="1:14" ht="16" thickBot="1">
      <c r="A194" t="s">
        <v>1465</v>
      </c>
      <c r="B194" s="866" t="s">
        <v>1283</v>
      </c>
      <c r="C194" s="840"/>
      <c r="D194" s="841"/>
      <c r="E194" s="841"/>
      <c r="F194" s="841">
        <v>456</v>
      </c>
      <c r="G194" s="841"/>
      <c r="H194" s="841"/>
      <c r="I194" s="1888"/>
      <c r="J194" s="841"/>
      <c r="K194" s="841"/>
      <c r="L194" s="841"/>
      <c r="M194" s="841"/>
      <c r="N194" s="842"/>
    </row>
    <row r="195" spans="1:14" ht="16" thickBot="1">
      <c r="A195" t="s">
        <v>1465</v>
      </c>
      <c r="B195" s="1633" t="s">
        <v>1374</v>
      </c>
      <c r="C195" s="840"/>
      <c r="D195" s="841"/>
      <c r="E195" s="841"/>
      <c r="F195" s="841"/>
      <c r="G195" s="841">
        <v>436</v>
      </c>
      <c r="H195" s="841"/>
      <c r="I195" s="1887"/>
      <c r="J195" s="841"/>
      <c r="K195" s="841"/>
      <c r="L195" s="841"/>
      <c r="M195" s="841"/>
      <c r="N195" s="842"/>
    </row>
    <row r="196" spans="1:14" ht="16" thickBot="1">
      <c r="A196" t="s">
        <v>1465</v>
      </c>
      <c r="B196" s="1633" t="s">
        <v>1499</v>
      </c>
      <c r="C196" s="840"/>
      <c r="D196" s="841"/>
      <c r="E196" s="841"/>
      <c r="F196" s="841"/>
      <c r="G196" s="841"/>
      <c r="H196" s="841"/>
      <c r="I196" s="1888">
        <v>117</v>
      </c>
      <c r="J196" s="841"/>
      <c r="K196" s="841"/>
      <c r="L196" s="841"/>
      <c r="M196" s="841"/>
      <c r="N196" s="842"/>
    </row>
    <row r="197" spans="1:14" ht="16" thickBot="1">
      <c r="A197" t="s">
        <v>1465</v>
      </c>
      <c r="B197" s="866" t="s">
        <v>1695</v>
      </c>
      <c r="C197" s="2096"/>
      <c r="D197" s="2097"/>
      <c r="E197" s="2097"/>
      <c r="F197" s="2097"/>
      <c r="G197" s="2097"/>
      <c r="H197" s="2097"/>
      <c r="I197" s="2098"/>
      <c r="J197" s="2097">
        <v>276</v>
      </c>
      <c r="K197" s="2097"/>
      <c r="L197" s="2097"/>
      <c r="M197" s="2097"/>
      <c r="N197" s="2099"/>
    </row>
    <row r="198" spans="1:14" ht="16" thickBot="1">
      <c r="A198" t="s">
        <v>1465</v>
      </c>
      <c r="B198" s="866" t="s">
        <v>1696</v>
      </c>
      <c r="C198" s="2096"/>
      <c r="D198" s="2097"/>
      <c r="E198" s="2097"/>
      <c r="F198" s="2097"/>
      <c r="G198" s="2097"/>
      <c r="H198" s="2097"/>
      <c r="I198" s="2098"/>
      <c r="J198" s="2097"/>
      <c r="K198" s="2097"/>
      <c r="L198" s="2097"/>
      <c r="M198" s="2097"/>
      <c r="N198" s="2099"/>
    </row>
    <row r="199" spans="1:14" ht="16" thickBot="1">
      <c r="A199" t="s">
        <v>1465</v>
      </c>
      <c r="B199" s="866" t="s">
        <v>1899</v>
      </c>
      <c r="C199" s="2456"/>
      <c r="D199" s="2457"/>
      <c r="E199" s="2457"/>
      <c r="F199" s="2457"/>
      <c r="G199" s="2457"/>
      <c r="H199" s="2457"/>
      <c r="I199" s="2458"/>
      <c r="J199" s="2457"/>
      <c r="K199" s="2457"/>
      <c r="L199" s="2457"/>
      <c r="M199" s="2457">
        <v>205</v>
      </c>
      <c r="N199" s="2459"/>
    </row>
    <row r="200" spans="1:14" ht="16" thickBot="1">
      <c r="B200" s="863" t="s">
        <v>927</v>
      </c>
      <c r="C200" s="828">
        <v>23</v>
      </c>
      <c r="D200" s="827">
        <v>2676</v>
      </c>
      <c r="E200" s="828">
        <f>SUM(E201:E207)</f>
        <v>382</v>
      </c>
      <c r="F200" s="828">
        <f>SUM(F201:F213)</f>
        <v>1486</v>
      </c>
      <c r="G200" s="828">
        <f>SUM(G201:G213)</f>
        <v>633</v>
      </c>
      <c r="H200" s="828">
        <f>SUM(H201:H213)</f>
        <v>827</v>
      </c>
      <c r="I200" s="1889">
        <f>SUM(I201:I213)</f>
        <v>162</v>
      </c>
      <c r="J200" s="1889">
        <f>SUM(J201:J213)</f>
        <v>1556</v>
      </c>
      <c r="K200" s="1889">
        <f t="shared" ref="K200:N200" si="60">SUM(K201:K213)</f>
        <v>0</v>
      </c>
      <c r="L200" s="1889">
        <f t="shared" si="60"/>
        <v>0</v>
      </c>
      <c r="M200" s="1889">
        <f t="shared" si="60"/>
        <v>384</v>
      </c>
      <c r="N200" s="1889">
        <f t="shared" si="60"/>
        <v>1000</v>
      </c>
    </row>
    <row r="201" spans="1:14" ht="16" thickBot="1">
      <c r="A201" t="s">
        <v>1465</v>
      </c>
      <c r="B201" s="865" t="s">
        <v>897</v>
      </c>
      <c r="C201" s="817">
        <v>23</v>
      </c>
      <c r="D201" s="810"/>
      <c r="E201" s="810"/>
      <c r="F201" s="810"/>
      <c r="G201" s="810"/>
      <c r="H201" s="810"/>
      <c r="I201" s="1885"/>
      <c r="J201" s="810"/>
      <c r="K201" s="810"/>
      <c r="L201" s="810"/>
      <c r="M201" s="810"/>
      <c r="N201" s="811"/>
    </row>
    <row r="202" spans="1:14" ht="16" thickBot="1">
      <c r="A202" t="s">
        <v>1465</v>
      </c>
      <c r="B202" s="865" t="s">
        <v>928</v>
      </c>
      <c r="C202" s="817"/>
      <c r="D202" s="810"/>
      <c r="E202" s="810"/>
      <c r="F202" s="810"/>
      <c r="G202" s="810"/>
      <c r="H202" s="810"/>
      <c r="I202" s="1886"/>
      <c r="J202" s="810">
        <v>350</v>
      </c>
      <c r="K202" s="810"/>
      <c r="L202" s="810"/>
      <c r="M202" s="810"/>
      <c r="N202" s="811"/>
    </row>
    <row r="203" spans="1:14" ht="16" thickBot="1">
      <c r="A203" t="s">
        <v>1465</v>
      </c>
      <c r="B203" s="865" t="s">
        <v>924</v>
      </c>
      <c r="C203" s="817"/>
      <c r="D203" s="810">
        <v>96</v>
      </c>
      <c r="E203" s="810">
        <v>206</v>
      </c>
      <c r="F203" s="810"/>
      <c r="G203" s="810"/>
      <c r="H203" s="810"/>
      <c r="I203" s="1885"/>
      <c r="J203" s="810"/>
      <c r="K203" s="810"/>
      <c r="L203" s="810"/>
      <c r="M203" s="810"/>
      <c r="N203" s="811"/>
    </row>
    <row r="204" spans="1:14" ht="16" thickBot="1">
      <c r="A204" t="s">
        <v>1465</v>
      </c>
      <c r="B204" s="865" t="s">
        <v>912</v>
      </c>
      <c r="C204" s="817"/>
      <c r="D204" s="810">
        <v>72</v>
      </c>
      <c r="E204" s="810">
        <v>176</v>
      </c>
      <c r="F204" s="810"/>
      <c r="G204" s="810"/>
      <c r="H204" s="810"/>
      <c r="I204" s="1886"/>
      <c r="J204" s="810"/>
      <c r="K204" s="810"/>
      <c r="L204" s="810"/>
      <c r="M204" s="810"/>
      <c r="N204" s="811"/>
    </row>
    <row r="205" spans="1:14" ht="16" thickBot="1">
      <c r="A205" t="s">
        <v>1465</v>
      </c>
      <c r="B205" s="865" t="s">
        <v>929</v>
      </c>
      <c r="C205" s="817"/>
      <c r="D205" s="809">
        <v>2508</v>
      </c>
      <c r="E205" s="810"/>
      <c r="F205" s="810"/>
      <c r="G205" s="810"/>
      <c r="H205" s="810"/>
      <c r="I205" s="1885"/>
      <c r="J205" s="810"/>
      <c r="K205" s="810"/>
      <c r="L205" s="810"/>
      <c r="M205" s="810"/>
      <c r="N205" s="811"/>
    </row>
    <row r="206" spans="1:14" ht="16" thickBot="1">
      <c r="A206" t="s">
        <v>1465</v>
      </c>
      <c r="B206" s="865" t="s">
        <v>1284</v>
      </c>
      <c r="C206" s="1485"/>
      <c r="D206" s="1487"/>
      <c r="E206" s="1486"/>
      <c r="F206" s="1486">
        <v>959</v>
      </c>
      <c r="G206" s="1486"/>
      <c r="H206" s="1486"/>
      <c r="I206" s="1886"/>
      <c r="J206" s="1486"/>
      <c r="K206" s="1486"/>
      <c r="L206" s="1486"/>
      <c r="M206" s="1486"/>
      <c r="N206" s="1488"/>
    </row>
    <row r="207" spans="1:14" ht="16" thickBot="1">
      <c r="A207" t="s">
        <v>1465</v>
      </c>
      <c r="B207" s="865" t="s">
        <v>1285</v>
      </c>
      <c r="C207" s="817"/>
      <c r="D207" s="810"/>
      <c r="E207" s="810"/>
      <c r="F207" s="810">
        <v>527</v>
      </c>
      <c r="G207" s="810"/>
      <c r="H207" s="810"/>
      <c r="I207" s="1885"/>
      <c r="J207" s="810"/>
      <c r="K207" s="810"/>
      <c r="L207" s="810"/>
      <c r="M207" s="810"/>
      <c r="N207" s="811"/>
    </row>
    <row r="208" spans="1:14" ht="16" thickBot="1">
      <c r="A208" t="s">
        <v>1465</v>
      </c>
      <c r="B208" s="1633" t="s">
        <v>1375</v>
      </c>
      <c r="C208" s="1632"/>
      <c r="D208" s="1626"/>
      <c r="E208" s="1626"/>
      <c r="F208" s="1626"/>
      <c r="G208" s="1626">
        <v>633</v>
      </c>
      <c r="H208" s="1626"/>
      <c r="I208" s="1886"/>
      <c r="J208" s="1626"/>
      <c r="K208" s="1626"/>
      <c r="L208" s="1626"/>
      <c r="M208" s="1626"/>
      <c r="N208" s="1634"/>
    </row>
    <row r="209" spans="1:15" ht="16" thickBot="1">
      <c r="A209" t="s">
        <v>1465</v>
      </c>
      <c r="B209" s="866" t="s">
        <v>1502</v>
      </c>
      <c r="C209" s="1882"/>
      <c r="D209" s="1868"/>
      <c r="E209" s="1868"/>
      <c r="F209" s="1868"/>
      <c r="G209" s="1868"/>
      <c r="H209" s="1868">
        <v>368</v>
      </c>
      <c r="I209" s="1885">
        <v>162</v>
      </c>
      <c r="J209" s="1868"/>
      <c r="K209" s="1868"/>
      <c r="L209" s="1868"/>
      <c r="M209" s="1868"/>
      <c r="N209" s="1871"/>
    </row>
    <row r="210" spans="1:15" ht="16" thickBot="1">
      <c r="A210" t="s">
        <v>1465</v>
      </c>
      <c r="B210" s="866" t="s">
        <v>1503</v>
      </c>
      <c r="C210" s="1882"/>
      <c r="D210" s="1868"/>
      <c r="E210" s="1868"/>
      <c r="F210" s="1868"/>
      <c r="G210" s="1868"/>
      <c r="H210" s="1868">
        <v>459</v>
      </c>
      <c r="I210" s="1886"/>
      <c r="J210" s="1868"/>
      <c r="K210" s="1868"/>
      <c r="L210" s="1868"/>
      <c r="M210" s="1868"/>
      <c r="N210" s="1871"/>
    </row>
    <row r="211" spans="1:15" ht="16" thickBot="1">
      <c r="A211" t="s">
        <v>1465</v>
      </c>
      <c r="B211" s="866" t="s">
        <v>1697</v>
      </c>
      <c r="C211" s="2100"/>
      <c r="D211" s="2061"/>
      <c r="E211" s="2061"/>
      <c r="F211" s="2061"/>
      <c r="G211" s="2061"/>
      <c r="H211" s="2061"/>
      <c r="I211" s="2061"/>
      <c r="J211" s="2061">
        <v>276</v>
      </c>
      <c r="K211" s="2061"/>
      <c r="L211" s="2061"/>
      <c r="M211" s="2061"/>
      <c r="N211" s="2063"/>
    </row>
    <row r="212" spans="1:15" ht="16" thickBot="1">
      <c r="A212" t="s">
        <v>1465</v>
      </c>
      <c r="B212" s="866" t="s">
        <v>1696</v>
      </c>
      <c r="C212" s="2100"/>
      <c r="D212" s="2061"/>
      <c r="E212" s="2061"/>
      <c r="F212" s="2061"/>
      <c r="G212" s="2061"/>
      <c r="H212" s="2061"/>
      <c r="I212" s="2101"/>
      <c r="J212" s="2061">
        <v>930</v>
      </c>
      <c r="K212" s="2061"/>
      <c r="L212" s="2061"/>
      <c r="M212" s="2061">
        <v>384</v>
      </c>
      <c r="N212" s="2063"/>
    </row>
    <row r="213" spans="1:15" ht="16" thickBot="1">
      <c r="A213" t="s">
        <v>1465</v>
      </c>
      <c r="B213" s="1633" t="s">
        <v>1922</v>
      </c>
      <c r="C213" s="1632"/>
      <c r="D213" s="1626"/>
      <c r="E213" s="1626"/>
      <c r="F213" s="1626"/>
      <c r="G213" s="1626"/>
      <c r="H213" s="1626"/>
      <c r="I213" s="1885"/>
      <c r="J213" s="1626"/>
      <c r="K213" s="1626"/>
      <c r="L213" s="1626"/>
      <c r="M213" s="1626"/>
      <c r="N213" s="1634">
        <v>1000</v>
      </c>
    </row>
    <row r="214" spans="1:15" ht="17" thickBot="1">
      <c r="A214" t="s">
        <v>1465</v>
      </c>
      <c r="B214" s="863" t="s">
        <v>698</v>
      </c>
      <c r="C214" s="828" t="s">
        <v>717</v>
      </c>
      <c r="D214" s="828" t="s">
        <v>717</v>
      </c>
      <c r="E214" s="828" t="s">
        <v>717</v>
      </c>
      <c r="F214" s="828" t="s">
        <v>717</v>
      </c>
      <c r="G214" s="828" t="s">
        <v>717</v>
      </c>
      <c r="H214" s="828" t="s">
        <v>717</v>
      </c>
      <c r="I214" s="1889" t="s">
        <v>717</v>
      </c>
      <c r="J214" s="828" t="s">
        <v>717</v>
      </c>
      <c r="K214" s="828"/>
      <c r="L214" s="828"/>
      <c r="M214" s="828"/>
      <c r="N214" s="829"/>
    </row>
    <row r="215" spans="1:15" ht="17" thickBot="1">
      <c r="A215" t="s">
        <v>1465</v>
      </c>
      <c r="B215" s="863" t="s">
        <v>930</v>
      </c>
      <c r="C215" s="828" t="s">
        <v>717</v>
      </c>
      <c r="D215" s="828" t="s">
        <v>717</v>
      </c>
      <c r="E215" s="828" t="s">
        <v>717</v>
      </c>
      <c r="F215" s="828" t="s">
        <v>717</v>
      </c>
      <c r="G215" s="828" t="s">
        <v>717</v>
      </c>
      <c r="H215" s="828" t="s">
        <v>717</v>
      </c>
      <c r="I215" s="1889" t="s">
        <v>717</v>
      </c>
      <c r="J215" s="828" t="s">
        <v>717</v>
      </c>
      <c r="K215" s="828"/>
      <c r="L215" s="828"/>
      <c r="M215" s="828"/>
      <c r="N215" s="829"/>
    </row>
    <row r="216" spans="1:15" ht="17" thickBot="1">
      <c r="A216" t="s">
        <v>1465</v>
      </c>
      <c r="B216" s="863" t="s">
        <v>700</v>
      </c>
      <c r="C216" s="828" t="s">
        <v>717</v>
      </c>
      <c r="D216" s="828" t="s">
        <v>717</v>
      </c>
      <c r="E216" s="828" t="s">
        <v>717</v>
      </c>
      <c r="F216" s="828" t="s">
        <v>717</v>
      </c>
      <c r="G216" s="828" t="s">
        <v>717</v>
      </c>
      <c r="H216" s="828" t="s">
        <v>717</v>
      </c>
      <c r="I216" s="1889" t="s">
        <v>717</v>
      </c>
      <c r="J216" s="828" t="s">
        <v>717</v>
      </c>
      <c r="K216" s="828"/>
      <c r="L216" s="828"/>
      <c r="M216" s="828"/>
      <c r="N216" s="829"/>
    </row>
    <row r="217" spans="1:15" ht="17" thickBot="1">
      <c r="A217" t="s">
        <v>1465</v>
      </c>
      <c r="B217" s="863" t="s">
        <v>701</v>
      </c>
      <c r="C217" s="828" t="s">
        <v>717</v>
      </c>
      <c r="D217" s="828" t="s">
        <v>717</v>
      </c>
      <c r="E217" s="828" t="s">
        <v>717</v>
      </c>
      <c r="F217" s="828" t="s">
        <v>717</v>
      </c>
      <c r="G217" s="828" t="s">
        <v>717</v>
      </c>
      <c r="H217" s="828" t="s">
        <v>717</v>
      </c>
      <c r="I217" s="1889" t="s">
        <v>717</v>
      </c>
      <c r="J217" s="828" t="s">
        <v>717</v>
      </c>
      <c r="K217" s="828"/>
      <c r="L217" s="828"/>
      <c r="M217" s="828"/>
      <c r="N217" s="829"/>
    </row>
    <row r="218" spans="1:15" ht="17" thickBot="1">
      <c r="A218" t="s">
        <v>1465</v>
      </c>
      <c r="B218" s="863" t="s">
        <v>753</v>
      </c>
      <c r="C218" s="828" t="s">
        <v>717</v>
      </c>
      <c r="D218" s="828" t="s">
        <v>717</v>
      </c>
      <c r="E218" s="828" t="s">
        <v>717</v>
      </c>
      <c r="F218" s="828" t="s">
        <v>717</v>
      </c>
      <c r="G218" s="828" t="s">
        <v>717</v>
      </c>
      <c r="H218" s="828" t="s">
        <v>717</v>
      </c>
      <c r="I218" s="1889" t="s">
        <v>717</v>
      </c>
      <c r="J218" s="828" t="s">
        <v>717</v>
      </c>
      <c r="K218" s="828"/>
      <c r="L218" s="828"/>
      <c r="M218" s="828"/>
      <c r="N218" s="829"/>
    </row>
    <row r="219" spans="1:15" ht="16" thickBot="1">
      <c r="B219" s="864" t="s">
        <v>31</v>
      </c>
      <c r="C219" s="843">
        <f t="shared" ref="C219:I219" si="61">SUM(C155+C168+C185+C200)</f>
        <v>3531</v>
      </c>
      <c r="D219" s="843">
        <f t="shared" si="61"/>
        <v>9163</v>
      </c>
      <c r="E219" s="843">
        <f t="shared" si="61"/>
        <v>1231</v>
      </c>
      <c r="F219" s="843">
        <f t="shared" si="61"/>
        <v>7513.4</v>
      </c>
      <c r="G219" s="843">
        <f t="shared" si="61"/>
        <v>5019</v>
      </c>
      <c r="H219" s="843">
        <f t="shared" si="61"/>
        <v>28322</v>
      </c>
      <c r="I219" s="1878">
        <f t="shared" si="61"/>
        <v>3706</v>
      </c>
      <c r="J219" s="1878">
        <f>SUM(J155+J168+J185+J200)</f>
        <v>3608</v>
      </c>
      <c r="K219" s="1878">
        <f>SUM(K155+K168+K185+K200+K214+K215+K216+K217+K218)</f>
        <v>3456</v>
      </c>
      <c r="L219" s="1878">
        <f>SUM(L155+L168+L185+L200+L214+L215+L216+L217+L218)</f>
        <v>4377</v>
      </c>
      <c r="M219" s="1878">
        <f t="shared" ref="M219:N219" si="62">SUM(M155+M168+M185+M200+M214+M215+M216+M217+M218)</f>
        <v>1589</v>
      </c>
      <c r="N219" s="1878">
        <f t="shared" si="62"/>
        <v>7000</v>
      </c>
      <c r="O219" s="79"/>
    </row>
    <row r="220" spans="1:15" ht="16" thickBot="1">
      <c r="B220" s="815"/>
      <c r="C220" s="797"/>
      <c r="D220" s="874"/>
      <c r="E220" s="874"/>
      <c r="F220" s="797"/>
      <c r="G220" s="797"/>
      <c r="H220" s="874"/>
      <c r="I220" s="1879"/>
      <c r="J220" s="797"/>
      <c r="K220" s="797"/>
      <c r="L220" s="797"/>
      <c r="M220" s="797"/>
      <c r="N220" s="797"/>
    </row>
    <row r="221" spans="1:15" ht="16" thickBot="1">
      <c r="B221" s="820" t="s">
        <v>703</v>
      </c>
      <c r="C221" s="821" t="s">
        <v>888</v>
      </c>
      <c r="D221" s="822">
        <v>45689</v>
      </c>
      <c r="E221" s="822">
        <v>45717</v>
      </c>
      <c r="F221" s="821" t="s">
        <v>889</v>
      </c>
      <c r="G221" s="822">
        <v>45778</v>
      </c>
      <c r="H221" s="822">
        <v>45809</v>
      </c>
      <c r="I221" s="822">
        <v>45839</v>
      </c>
      <c r="J221" s="821" t="s">
        <v>890</v>
      </c>
      <c r="K221" s="822">
        <v>45901</v>
      </c>
      <c r="L221" s="822">
        <v>45931</v>
      </c>
      <c r="M221" s="822">
        <v>45962</v>
      </c>
      <c r="N221" s="821" t="s">
        <v>891</v>
      </c>
    </row>
    <row r="222" spans="1:15" ht="16" thickBot="1">
      <c r="A222" t="s">
        <v>1487</v>
      </c>
      <c r="B222" s="863" t="s">
        <v>704</v>
      </c>
      <c r="C222" s="828"/>
      <c r="D222" s="828"/>
      <c r="E222" s="828">
        <v>16</v>
      </c>
      <c r="F222" s="828"/>
      <c r="G222" s="828"/>
      <c r="H222" s="828"/>
      <c r="I222" s="828"/>
      <c r="J222" s="828"/>
      <c r="K222" s="828"/>
      <c r="L222" s="828">
        <f>+_xlfn.XLOOKUP(B222,'[1]Flujo Redco Brasil'!$B:$B,'[1]Flujo Redco Brasil'!$L:$L,0,0,1)</f>
        <v>0</v>
      </c>
      <c r="M222" s="828">
        <v>0</v>
      </c>
      <c r="N222" s="829">
        <v>0</v>
      </c>
    </row>
    <row r="223" spans="1:15" ht="16" thickBot="1">
      <c r="A223" t="s">
        <v>1487</v>
      </c>
      <c r="B223" s="863" t="s">
        <v>705</v>
      </c>
      <c r="C223" s="828">
        <v>42</v>
      </c>
      <c r="D223" s="828">
        <v>55</v>
      </c>
      <c r="E223" s="828">
        <v>1425</v>
      </c>
      <c r="F223" s="828">
        <v>137</v>
      </c>
      <c r="G223" s="828">
        <v>152</v>
      </c>
      <c r="H223" s="828">
        <v>1657</v>
      </c>
      <c r="I223" s="828">
        <v>1556</v>
      </c>
      <c r="J223" s="2102">
        <v>51</v>
      </c>
      <c r="K223" s="828">
        <v>58</v>
      </c>
      <c r="L223" s="828">
        <f>+_xlfn.XLOOKUP(B223,'[1]Flujo Redco Brasil'!$B:$B,'[1]Flujo Redco Brasil'!$L:$L,0,0,1)</f>
        <v>51</v>
      </c>
      <c r="M223" s="828">
        <v>244</v>
      </c>
      <c r="N223" s="829">
        <v>300</v>
      </c>
    </row>
    <row r="224" spans="1:15" ht="16" thickBot="1">
      <c r="A224" t="s">
        <v>1465</v>
      </c>
      <c r="B224" s="863" t="s">
        <v>706</v>
      </c>
      <c r="C224" s="827">
        <v>1023</v>
      </c>
      <c r="D224" s="827">
        <v>1041</v>
      </c>
      <c r="E224" s="827">
        <v>1041</v>
      </c>
      <c r="F224" s="827">
        <v>1541</v>
      </c>
      <c r="G224" s="827">
        <v>1393</v>
      </c>
      <c r="H224" s="827">
        <v>1602</v>
      </c>
      <c r="I224" s="828">
        <v>1068</v>
      </c>
      <c r="J224" s="2102">
        <v>1492</v>
      </c>
      <c r="K224" s="828">
        <v>784</v>
      </c>
      <c r="L224" s="828">
        <f>+_xlfn.XLOOKUP(B224,'[1]Flujo Redco Brasil'!$B:$B,'[1]Flujo Redco Brasil'!$L:$L,0,0,1)</f>
        <v>1130</v>
      </c>
      <c r="M224" s="828">
        <v>1664</v>
      </c>
      <c r="N224" s="829">
        <v>1664</v>
      </c>
    </row>
    <row r="225" spans="1:14" ht="16" thickBot="1">
      <c r="A225" t="s">
        <v>1487</v>
      </c>
      <c r="B225" s="863" t="s">
        <v>1027</v>
      </c>
      <c r="C225" s="828"/>
      <c r="D225" s="828"/>
      <c r="E225" s="827">
        <v>3390</v>
      </c>
      <c r="F225" s="827"/>
      <c r="G225" s="827"/>
      <c r="H225" s="827"/>
      <c r="I225" s="828"/>
      <c r="J225" s="2102"/>
      <c r="K225" s="828"/>
      <c r="L225" s="828">
        <f>+_xlfn.XLOOKUP(B225,'[1]Flujo Redco Brasil'!$B:$B,'[1]Flujo Redco Brasil'!$L:$L,0,0,1)</f>
        <v>0</v>
      </c>
      <c r="M225" s="828">
        <v>0</v>
      </c>
      <c r="N225" s="829">
        <v>0</v>
      </c>
    </row>
    <row r="226" spans="1:14" ht="16" thickBot="1">
      <c r="A226" t="s">
        <v>1465</v>
      </c>
      <c r="B226" s="863" t="s">
        <v>708</v>
      </c>
      <c r="C226" s="828">
        <v>503</v>
      </c>
      <c r="D226" s="827">
        <v>1124</v>
      </c>
      <c r="E226" s="827">
        <v>612</v>
      </c>
      <c r="F226" s="827">
        <v>7632</v>
      </c>
      <c r="G226" s="827">
        <v>2998</v>
      </c>
      <c r="H226" s="827">
        <v>4295</v>
      </c>
      <c r="I226" s="828">
        <v>4078</v>
      </c>
      <c r="J226" s="2102">
        <v>5121</v>
      </c>
      <c r="K226" s="2469">
        <v>6481</v>
      </c>
      <c r="L226" s="828">
        <f>+_xlfn.XLOOKUP(B226,'[1]Flujo Redco Brasil'!$B:$B,'[1]Flujo Redco Brasil'!$L:$L,0,0,1)</f>
        <v>780</v>
      </c>
      <c r="M226" s="828">
        <v>742</v>
      </c>
      <c r="N226" s="829">
        <v>2000</v>
      </c>
    </row>
    <row r="227" spans="1:14" ht="16" thickBot="1">
      <c r="B227" s="864" t="s">
        <v>31</v>
      </c>
      <c r="C227" s="843">
        <v>1568</v>
      </c>
      <c r="D227" s="843">
        <v>2220</v>
      </c>
      <c r="E227" s="843">
        <f t="shared" ref="E227:K227" si="63">SUM(E222:E226)</f>
        <v>6484</v>
      </c>
      <c r="F227" s="843">
        <f t="shared" si="63"/>
        <v>9310</v>
      </c>
      <c r="G227" s="843">
        <f t="shared" si="63"/>
        <v>4543</v>
      </c>
      <c r="H227" s="843">
        <f t="shared" si="63"/>
        <v>7554</v>
      </c>
      <c r="I227" s="1878">
        <f t="shared" si="63"/>
        <v>6702</v>
      </c>
      <c r="J227" s="1878">
        <f t="shared" si="63"/>
        <v>6664</v>
      </c>
      <c r="K227" s="1878">
        <f t="shared" si="63"/>
        <v>7323</v>
      </c>
      <c r="L227" s="823">
        <f>+SUM(L222:L226)</f>
        <v>1961</v>
      </c>
      <c r="M227" s="823">
        <f>+SUM(M222:M226)</f>
        <v>2650</v>
      </c>
      <c r="N227" s="823">
        <f>+SUM(N222:N226)</f>
        <v>3964</v>
      </c>
    </row>
    <row r="228" spans="1:14" ht="16" thickBot="1">
      <c r="B228" s="815"/>
      <c r="C228" s="797"/>
      <c r="D228" s="797"/>
      <c r="E228" s="797"/>
      <c r="F228" s="797"/>
      <c r="G228" s="797"/>
      <c r="H228" s="797"/>
      <c r="I228" s="1891"/>
      <c r="J228" s="1891"/>
      <c r="K228" s="797"/>
      <c r="L228" s="797"/>
      <c r="M228" s="797"/>
      <c r="N228" s="797"/>
    </row>
    <row r="229" spans="1:14" ht="16" thickBot="1">
      <c r="B229" s="820" t="s">
        <v>709</v>
      </c>
      <c r="C229" s="821" t="s">
        <v>888</v>
      </c>
      <c r="D229" s="822">
        <v>45689</v>
      </c>
      <c r="E229" s="822">
        <v>45717</v>
      </c>
      <c r="F229" s="821" t="s">
        <v>889</v>
      </c>
      <c r="G229" s="822">
        <v>45778</v>
      </c>
      <c r="H229" s="822">
        <v>45809</v>
      </c>
      <c r="I229" s="1893">
        <v>45839</v>
      </c>
      <c r="J229" s="821" t="s">
        <v>890</v>
      </c>
      <c r="K229" s="822">
        <v>45901</v>
      </c>
      <c r="L229" s="822">
        <v>45931</v>
      </c>
      <c r="M229" s="822">
        <v>45962</v>
      </c>
      <c r="N229" s="821" t="s">
        <v>891</v>
      </c>
    </row>
    <row r="230" spans="1:14" ht="16" thickBot="1">
      <c r="A230" t="s">
        <v>1465</v>
      </c>
      <c r="B230" s="863" t="s">
        <v>931</v>
      </c>
      <c r="C230" s="828"/>
      <c r="D230" s="827">
        <v>2851</v>
      </c>
      <c r="E230" s="828"/>
      <c r="F230" s="828"/>
      <c r="G230" s="828"/>
      <c r="H230" s="828"/>
      <c r="I230" s="1889"/>
      <c r="J230" s="828"/>
      <c r="K230" s="828"/>
      <c r="L230" s="828"/>
      <c r="M230" s="828"/>
      <c r="N230" s="829"/>
    </row>
    <row r="231" spans="1:14" ht="16" thickBot="1">
      <c r="A231" t="s">
        <v>1465</v>
      </c>
      <c r="B231" s="863" t="s">
        <v>712</v>
      </c>
      <c r="C231" s="828"/>
      <c r="D231" s="828"/>
      <c r="E231" s="828"/>
      <c r="F231" s="828"/>
      <c r="G231" s="828"/>
      <c r="H231" s="828"/>
      <c r="I231" s="1889"/>
      <c r="J231" s="828"/>
      <c r="K231" s="828"/>
      <c r="L231" s="828"/>
      <c r="M231" s="828"/>
      <c r="N231" s="829"/>
    </row>
    <row r="232" spans="1:14" ht="16" thickBot="1">
      <c r="B232" s="864" t="s">
        <v>31</v>
      </c>
      <c r="C232" s="823" t="s">
        <v>898</v>
      </c>
      <c r="D232" s="843">
        <v>2851</v>
      </c>
      <c r="E232" s="823" t="s">
        <v>898</v>
      </c>
      <c r="F232" s="823" t="s">
        <v>898</v>
      </c>
      <c r="G232" s="823" t="s">
        <v>898</v>
      </c>
      <c r="H232" s="823" t="s">
        <v>898</v>
      </c>
      <c r="I232" s="1895" t="s">
        <v>898</v>
      </c>
      <c r="J232" s="823" t="s">
        <v>898</v>
      </c>
      <c r="K232" s="823" t="s">
        <v>898</v>
      </c>
      <c r="L232" s="823" t="s">
        <v>898</v>
      </c>
      <c r="M232" s="823" t="s">
        <v>898</v>
      </c>
      <c r="N232" s="823" t="s">
        <v>898</v>
      </c>
    </row>
    <row r="233" spans="1:14" ht="16" thickBot="1">
      <c r="B233" s="815"/>
      <c r="C233" s="797"/>
      <c r="D233" s="797"/>
      <c r="E233" s="797"/>
      <c r="F233" s="797"/>
      <c r="G233" s="797"/>
      <c r="H233" s="797"/>
      <c r="I233" s="1892"/>
      <c r="J233" s="797"/>
      <c r="K233" s="797"/>
      <c r="L233" s="797"/>
      <c r="M233" s="797"/>
      <c r="N233" s="797"/>
    </row>
    <row r="234" spans="1:14" ht="16" thickBot="1">
      <c r="B234" s="820" t="s">
        <v>713</v>
      </c>
      <c r="C234" s="821" t="s">
        <v>888</v>
      </c>
      <c r="D234" s="822">
        <v>45689</v>
      </c>
      <c r="E234" s="822">
        <v>45717</v>
      </c>
      <c r="F234" s="821" t="s">
        <v>889</v>
      </c>
      <c r="G234" s="822">
        <v>45778</v>
      </c>
      <c r="H234" s="822">
        <v>45809</v>
      </c>
      <c r="I234" s="822">
        <v>45839</v>
      </c>
      <c r="J234" s="821" t="s">
        <v>890</v>
      </c>
      <c r="K234" s="822">
        <v>45901</v>
      </c>
      <c r="L234" s="822">
        <v>45931</v>
      </c>
      <c r="M234" s="822">
        <v>45962</v>
      </c>
      <c r="N234" s="821" t="s">
        <v>891</v>
      </c>
    </row>
    <row r="235" spans="1:14" ht="17" thickBot="1">
      <c r="B235" s="863" t="s">
        <v>38</v>
      </c>
      <c r="C235" s="824" t="s">
        <v>444</v>
      </c>
      <c r="D235" s="824" t="s">
        <v>444</v>
      </c>
      <c r="E235" s="824" t="s">
        <v>444</v>
      </c>
      <c r="F235" s="824" t="s">
        <v>444</v>
      </c>
      <c r="G235" s="824" t="s">
        <v>444</v>
      </c>
      <c r="H235" s="824" t="s">
        <v>444</v>
      </c>
      <c r="I235" s="1872" t="s">
        <v>444</v>
      </c>
      <c r="J235" s="824" t="s">
        <v>444</v>
      </c>
      <c r="K235" s="824" t="s">
        <v>444</v>
      </c>
      <c r="L235" s="824" t="s">
        <v>444</v>
      </c>
      <c r="M235" s="824" t="s">
        <v>444</v>
      </c>
      <c r="N235" s="824" t="s">
        <v>444</v>
      </c>
    </row>
    <row r="236" spans="1:14">
      <c r="A236" s="2332" t="s">
        <v>1464</v>
      </c>
      <c r="B236" s="844" t="s">
        <v>932</v>
      </c>
      <c r="C236" s="827">
        <v>2659</v>
      </c>
      <c r="D236" s="828">
        <v>265</v>
      </c>
      <c r="E236" s="828">
        <v>231</v>
      </c>
      <c r="F236" s="827">
        <v>581</v>
      </c>
      <c r="G236" s="827">
        <v>815</v>
      </c>
      <c r="H236" s="827">
        <v>966</v>
      </c>
      <c r="I236" s="828">
        <v>1571</v>
      </c>
      <c r="J236" s="837">
        <v>639</v>
      </c>
      <c r="K236" s="828">
        <v>709</v>
      </c>
      <c r="L236" s="828">
        <f>+_xlfn.XLOOKUP(B236,'[1]Flujo Redco Brasil'!$B:$B,'[1]Flujo Redco Brasil'!$L:$L,0,0,1)</f>
        <v>4924</v>
      </c>
      <c r="M236" s="828">
        <v>143</v>
      </c>
      <c r="N236" s="829">
        <v>143</v>
      </c>
    </row>
    <row r="237" spans="1:14">
      <c r="A237" s="2332" t="s">
        <v>1464</v>
      </c>
      <c r="B237" s="844" t="s">
        <v>933</v>
      </c>
      <c r="C237" s="827">
        <v>2927</v>
      </c>
      <c r="D237" s="827">
        <v>5625</v>
      </c>
      <c r="E237" s="828">
        <v>964</v>
      </c>
      <c r="F237" s="827">
        <v>4088</v>
      </c>
      <c r="G237" s="827">
        <v>5239</v>
      </c>
      <c r="H237" s="827">
        <v>6620</v>
      </c>
      <c r="I237" s="828">
        <v>8941</v>
      </c>
      <c r="J237" s="2102">
        <v>6898</v>
      </c>
      <c r="K237" s="828">
        <v>4746</v>
      </c>
      <c r="L237" s="828">
        <f>+_xlfn.XLOOKUP(B237,'[1]Flujo Redco Brasil'!$B:$B,'[1]Flujo Redco Brasil'!$L:$L,0,0,1)</f>
        <v>35828</v>
      </c>
      <c r="M237" s="828">
        <v>995</v>
      </c>
      <c r="N237" s="829">
        <v>995</v>
      </c>
    </row>
    <row r="238" spans="1:14">
      <c r="A238" s="2332" t="s">
        <v>1464</v>
      </c>
      <c r="B238" s="844" t="s">
        <v>934</v>
      </c>
      <c r="C238" s="827">
        <v>1252</v>
      </c>
      <c r="D238" s="827">
        <v>3023</v>
      </c>
      <c r="E238" s="828">
        <v>70</v>
      </c>
      <c r="F238" s="828">
        <v>2415</v>
      </c>
      <c r="G238" s="828">
        <v>1340</v>
      </c>
      <c r="H238" s="827">
        <v>1810</v>
      </c>
      <c r="I238" s="828">
        <v>2</v>
      </c>
      <c r="J238" s="2102">
        <v>12250</v>
      </c>
      <c r="K238" s="828">
        <v>8618</v>
      </c>
      <c r="L238" s="828">
        <f>+_xlfn.XLOOKUP(B238,'[1]Flujo Redco Brasil'!$B:$B,'[1]Flujo Redco Brasil'!$L:$L,0,0,1)</f>
        <v>6595</v>
      </c>
      <c r="M238" s="828">
        <v>5316</v>
      </c>
      <c r="N238" s="829">
        <v>7869</v>
      </c>
    </row>
    <row r="239" spans="1:14">
      <c r="A239" s="2332" t="s">
        <v>1464</v>
      </c>
      <c r="B239" s="844" t="s">
        <v>935</v>
      </c>
      <c r="C239" s="828">
        <v>956</v>
      </c>
      <c r="D239" s="828"/>
      <c r="E239" s="828">
        <v>75</v>
      </c>
      <c r="F239" s="827">
        <v>1128</v>
      </c>
      <c r="G239" s="827">
        <v>1500</v>
      </c>
      <c r="H239" s="827">
        <v>495</v>
      </c>
      <c r="I239" s="828">
        <v>842</v>
      </c>
      <c r="J239" s="2102">
        <v>142</v>
      </c>
      <c r="K239" s="828">
        <v>190</v>
      </c>
      <c r="L239" s="828">
        <f>+_xlfn.XLOOKUP(B239,'[1]Flujo Redco Brasil'!$B:$B,'[1]Flujo Redco Brasil'!$L:$L,0,0,1)</f>
        <v>189</v>
      </c>
      <c r="M239" s="828">
        <v>0</v>
      </c>
      <c r="N239" s="829">
        <v>0</v>
      </c>
    </row>
    <row r="240" spans="1:14">
      <c r="A240" s="2332" t="s">
        <v>1464</v>
      </c>
      <c r="B240" s="844" t="s">
        <v>936</v>
      </c>
      <c r="C240" s="828"/>
      <c r="D240" s="828"/>
      <c r="E240" s="828"/>
      <c r="F240" s="827">
        <v>4123</v>
      </c>
      <c r="G240" s="827">
        <v>517</v>
      </c>
      <c r="H240" s="827">
        <v>2139</v>
      </c>
      <c r="I240" s="828"/>
      <c r="J240" s="2102"/>
      <c r="K240" s="828"/>
      <c r="L240" s="828">
        <f>+_xlfn.XLOOKUP(B240,'[1]Flujo Redco Brasil'!$B:$B,'[1]Flujo Redco Brasil'!$L:$L,0,0,1)</f>
        <v>0</v>
      </c>
      <c r="M240" s="828">
        <v>30668</v>
      </c>
      <c r="N240" s="829">
        <v>40100</v>
      </c>
    </row>
    <row r="241" spans="1:16">
      <c r="A241" s="2332" t="s">
        <v>1464</v>
      </c>
      <c r="B241" s="844" t="s">
        <v>1504</v>
      </c>
      <c r="C241" s="828"/>
      <c r="D241" s="828"/>
      <c r="E241" s="828"/>
      <c r="F241" s="828"/>
      <c r="G241" s="828"/>
      <c r="H241" s="827">
        <v>424</v>
      </c>
      <c r="I241" s="828"/>
      <c r="J241" s="2102"/>
      <c r="K241" s="828"/>
      <c r="L241" s="828">
        <f>+_xlfn.XLOOKUP(B241,'[1]Flujo Redco Brasil'!$B:$B,'[1]Flujo Redco Brasil'!$L:$L,0,0,1)</f>
        <v>0</v>
      </c>
      <c r="M241" s="828">
        <v>0</v>
      </c>
      <c r="N241" s="829">
        <v>0</v>
      </c>
    </row>
    <row r="242" spans="1:16">
      <c r="A242" s="2332" t="s">
        <v>1464</v>
      </c>
      <c r="B242" s="2487" t="s">
        <v>1923</v>
      </c>
      <c r="C242" s="2488"/>
      <c r="D242" s="2488"/>
      <c r="E242" s="2488"/>
      <c r="F242" s="2488"/>
      <c r="G242" s="2488"/>
      <c r="H242" s="2460"/>
      <c r="I242" s="2488"/>
      <c r="J242" s="2488"/>
      <c r="K242" s="2488"/>
      <c r="L242" s="2488"/>
      <c r="M242" s="2488"/>
      <c r="N242" s="829">
        <v>25000</v>
      </c>
    </row>
    <row r="243" spans="1:16">
      <c r="A243" s="2332" t="s">
        <v>1464</v>
      </c>
      <c r="B243" s="845" t="s">
        <v>937</v>
      </c>
      <c r="C243" s="827">
        <v>4700</v>
      </c>
      <c r="D243" s="827">
        <v>4827</v>
      </c>
      <c r="E243" s="828">
        <v>5037</v>
      </c>
      <c r="F243" s="827">
        <v>10677</v>
      </c>
      <c r="G243" s="827"/>
      <c r="H243" s="827"/>
      <c r="I243" s="828">
        <v>5469</v>
      </c>
      <c r="J243" s="2102">
        <v>5828</v>
      </c>
      <c r="K243" s="828">
        <v>5895</v>
      </c>
      <c r="L243" s="828">
        <f>+_xlfn.XLOOKUP(B243,'[1]Flujo Redco Brasil'!$B:$B,'[1]Flujo Redco Brasil'!$L:$L,0,0,1)</f>
        <v>15755</v>
      </c>
      <c r="M243" s="828">
        <v>16213</v>
      </c>
      <c r="N243" s="829">
        <v>16500</v>
      </c>
    </row>
    <row r="244" spans="1:16">
      <c r="A244" s="2332" t="s">
        <v>1464</v>
      </c>
      <c r="B244" s="846" t="s">
        <v>938</v>
      </c>
      <c r="C244" s="827">
        <v>1463</v>
      </c>
      <c r="D244" s="827">
        <v>1503</v>
      </c>
      <c r="E244" s="828">
        <v>1568</v>
      </c>
      <c r="F244" s="827">
        <v>3386</v>
      </c>
      <c r="G244" s="827"/>
      <c r="H244" s="827"/>
      <c r="I244" s="828">
        <v>1705</v>
      </c>
      <c r="J244" s="837">
        <v>1804</v>
      </c>
      <c r="K244" s="828">
        <v>1825</v>
      </c>
      <c r="L244" s="828">
        <f>+_xlfn.XLOOKUP(B244,'[1]Flujo Redco Brasil'!$B:$B,'[1]Flujo Redco Brasil'!$L:$L,0,0,1)</f>
        <v>0</v>
      </c>
      <c r="M244" s="828">
        <v>4777</v>
      </c>
      <c r="N244" s="829">
        <v>5000</v>
      </c>
    </row>
    <row r="245" spans="1:16" ht="16" thickBot="1">
      <c r="B245" s="846" t="s">
        <v>1860</v>
      </c>
      <c r="C245" s="828"/>
      <c r="D245" s="828"/>
      <c r="E245" s="828"/>
      <c r="F245" s="828"/>
      <c r="G245" s="828"/>
      <c r="H245" s="828"/>
      <c r="I245" s="828"/>
      <c r="J245" s="837"/>
      <c r="K245" s="828"/>
      <c r="L245" s="828">
        <f>+_xlfn.XLOOKUP(B245,'[1]Flujo Redco Brasil'!$B:$B,'[1]Flujo Redco Brasil'!$L:$L,0,0,1)</f>
        <v>4669</v>
      </c>
      <c r="M245" s="828">
        <v>0</v>
      </c>
      <c r="N245" s="829">
        <v>0</v>
      </c>
    </row>
    <row r="246" spans="1:16" ht="16" thickBot="1">
      <c r="B246" s="867" t="s">
        <v>31</v>
      </c>
      <c r="C246" s="843">
        <v>13957</v>
      </c>
      <c r="D246" s="843">
        <v>15243</v>
      </c>
      <c r="E246" s="843">
        <f t="shared" ref="E246:N246" si="64">SUM(E236:E245)</f>
        <v>7945</v>
      </c>
      <c r="F246" s="843">
        <f t="shared" si="64"/>
        <v>26398</v>
      </c>
      <c r="G246" s="843">
        <f t="shared" si="64"/>
        <v>9411</v>
      </c>
      <c r="H246" s="843">
        <f t="shared" si="64"/>
        <v>12454</v>
      </c>
      <c r="I246" s="1878">
        <f t="shared" si="64"/>
        <v>18530</v>
      </c>
      <c r="J246" s="1878">
        <f t="shared" si="64"/>
        <v>27561</v>
      </c>
      <c r="K246" s="1878">
        <f t="shared" si="64"/>
        <v>21983</v>
      </c>
      <c r="L246" s="1878">
        <f t="shared" si="64"/>
        <v>67960</v>
      </c>
      <c r="M246" s="1878">
        <f t="shared" si="64"/>
        <v>58112</v>
      </c>
      <c r="N246" s="1878">
        <f t="shared" si="64"/>
        <v>95607</v>
      </c>
    </row>
    <row r="247" spans="1:16">
      <c r="B247" s="815"/>
      <c r="C247" s="797"/>
      <c r="D247" s="797"/>
      <c r="E247" s="797"/>
      <c r="F247" s="797"/>
      <c r="G247" s="797"/>
      <c r="H247" s="797"/>
      <c r="I247" s="1891"/>
      <c r="J247" s="797"/>
      <c r="K247" s="797"/>
      <c r="L247" s="797"/>
      <c r="M247" s="797"/>
      <c r="N247" s="797"/>
    </row>
    <row r="248" spans="1:16" ht="16" thickBot="1">
      <c r="B248" s="815"/>
      <c r="C248" s="797"/>
      <c r="D248" s="797"/>
      <c r="E248" s="797"/>
      <c r="F248" s="797"/>
      <c r="G248" s="797"/>
      <c r="H248" s="797"/>
      <c r="I248" s="1892"/>
      <c r="J248" s="797"/>
      <c r="K248" s="797"/>
      <c r="L248" s="797"/>
      <c r="M248" s="797"/>
      <c r="N248" s="797"/>
    </row>
    <row r="249" spans="1:16" ht="16" thickBot="1">
      <c r="B249" s="820" t="s">
        <v>719</v>
      </c>
      <c r="C249" s="821" t="s">
        <v>888</v>
      </c>
      <c r="D249" s="822">
        <v>45689</v>
      </c>
      <c r="E249" s="822">
        <v>45717</v>
      </c>
      <c r="F249" s="821" t="s">
        <v>889</v>
      </c>
      <c r="G249" s="822">
        <v>45778</v>
      </c>
      <c r="H249" s="822">
        <v>45809</v>
      </c>
      <c r="I249" s="822">
        <v>45839</v>
      </c>
      <c r="J249" s="821" t="s">
        <v>890</v>
      </c>
      <c r="K249" s="822">
        <v>45901</v>
      </c>
      <c r="L249" s="822">
        <v>45931</v>
      </c>
      <c r="M249" s="822">
        <v>45962</v>
      </c>
      <c r="N249" s="821" t="s">
        <v>891</v>
      </c>
    </row>
    <row r="250" spans="1:16" ht="17" thickBot="1">
      <c r="B250" s="839" t="s">
        <v>38</v>
      </c>
      <c r="C250" s="824" t="s">
        <v>444</v>
      </c>
      <c r="D250" s="824" t="s">
        <v>444</v>
      </c>
      <c r="E250" s="824" t="s">
        <v>444</v>
      </c>
      <c r="F250" s="824" t="s">
        <v>444</v>
      </c>
      <c r="G250" s="824" t="s">
        <v>444</v>
      </c>
      <c r="H250" s="824" t="s">
        <v>444</v>
      </c>
      <c r="I250" s="1872" t="s">
        <v>444</v>
      </c>
      <c r="J250" s="824" t="s">
        <v>444</v>
      </c>
      <c r="K250" s="824" t="s">
        <v>444</v>
      </c>
      <c r="L250" s="824" t="s">
        <v>444</v>
      </c>
      <c r="M250" s="824" t="s">
        <v>444</v>
      </c>
      <c r="N250" s="824" t="s">
        <v>444</v>
      </c>
    </row>
    <row r="251" spans="1:16" ht="16" thickBot="1">
      <c r="A251" t="s">
        <v>1466</v>
      </c>
      <c r="B251" s="868" t="s">
        <v>720</v>
      </c>
      <c r="C251" s="828"/>
      <c r="D251" s="828"/>
      <c r="E251" s="828"/>
      <c r="F251" s="828"/>
      <c r="G251" s="828"/>
      <c r="H251" s="828"/>
      <c r="I251" s="1889"/>
      <c r="J251" s="828"/>
      <c r="K251" s="828"/>
      <c r="L251" s="828"/>
      <c r="M251" s="828"/>
      <c r="N251" s="829"/>
    </row>
    <row r="252" spans="1:16" ht="16" thickBot="1">
      <c r="A252" t="s">
        <v>1466</v>
      </c>
      <c r="B252" s="868" t="s">
        <v>721</v>
      </c>
      <c r="C252" s="828"/>
      <c r="D252" s="828"/>
      <c r="E252" s="828"/>
      <c r="F252" s="827"/>
      <c r="G252" s="827"/>
      <c r="H252" s="827"/>
      <c r="I252" s="1884"/>
      <c r="J252" s="828"/>
      <c r="K252" s="828"/>
      <c r="L252" s="828"/>
      <c r="M252" s="828"/>
      <c r="N252" s="829"/>
    </row>
    <row r="253" spans="1:16" ht="16" thickBot="1">
      <c r="A253" t="s">
        <v>1466</v>
      </c>
      <c r="B253" s="868" t="s">
        <v>722</v>
      </c>
      <c r="C253" s="848"/>
      <c r="D253" s="848"/>
      <c r="E253" s="848"/>
      <c r="F253" s="827"/>
      <c r="G253" s="827">
        <v>133710</v>
      </c>
      <c r="H253" s="848"/>
      <c r="I253" s="1874"/>
      <c r="J253" s="848"/>
      <c r="K253" s="848"/>
      <c r="L253" s="849"/>
      <c r="M253" s="2460">
        <v>278213</v>
      </c>
      <c r="N253" s="2493"/>
      <c r="P253" s="2491">
        <v>196440</v>
      </c>
    </row>
    <row r="254" spans="1:16" ht="16" thickBot="1">
      <c r="B254" s="838" t="s">
        <v>31</v>
      </c>
      <c r="C254" s="1489">
        <f t="shared" ref="C254:F254" si="65">SUM(C251:C253)</f>
        <v>0</v>
      </c>
      <c r="D254" s="1489">
        <f t="shared" si="65"/>
        <v>0</v>
      </c>
      <c r="E254" s="1489">
        <f t="shared" si="65"/>
        <v>0</v>
      </c>
      <c r="F254" s="1489">
        <f t="shared" si="65"/>
        <v>0</v>
      </c>
      <c r="G254" s="1489">
        <f>SUM(G251:G253)</f>
        <v>133710</v>
      </c>
      <c r="H254" s="1489">
        <f t="shared" ref="H254:N254" si="66">SUM(H251:H253)</f>
        <v>0</v>
      </c>
      <c r="I254" s="1489">
        <f t="shared" si="66"/>
        <v>0</v>
      </c>
      <c r="J254" s="1489">
        <f t="shared" si="66"/>
        <v>0</v>
      </c>
      <c r="K254" s="1489">
        <f t="shared" si="66"/>
        <v>0</v>
      </c>
      <c r="L254" s="1489">
        <f t="shared" si="66"/>
        <v>0</v>
      </c>
      <c r="M254" s="1489">
        <f t="shared" si="66"/>
        <v>278213</v>
      </c>
      <c r="N254" s="1489">
        <f t="shared" si="66"/>
        <v>0</v>
      </c>
    </row>
    <row r="255" spans="1:16">
      <c r="B255" s="797"/>
      <c r="C255" s="797"/>
      <c r="D255" s="797"/>
      <c r="E255" s="797"/>
      <c r="F255" s="797"/>
      <c r="G255" s="797"/>
      <c r="H255" s="797"/>
      <c r="I255" s="1891"/>
      <c r="J255" s="797"/>
      <c r="K255" s="797"/>
      <c r="L255" s="797"/>
      <c r="M255" s="797"/>
      <c r="N255" s="797"/>
    </row>
    <row r="256" spans="1:16" ht="16" thickBot="1">
      <c r="B256" s="815"/>
      <c r="C256" s="797"/>
      <c r="D256" s="797"/>
      <c r="E256" s="797"/>
      <c r="F256" s="797"/>
      <c r="G256" s="797"/>
      <c r="H256" s="797"/>
      <c r="I256" s="1892"/>
      <c r="J256" s="797"/>
      <c r="K256" s="797"/>
      <c r="L256" s="797"/>
      <c r="M256" s="797"/>
      <c r="N256" s="797"/>
    </row>
    <row r="257" spans="2:14" ht="16" thickBot="1">
      <c r="B257" s="820" t="s">
        <v>723</v>
      </c>
      <c r="C257" s="821" t="s">
        <v>888</v>
      </c>
      <c r="D257" s="822">
        <v>45689</v>
      </c>
      <c r="E257" s="822">
        <v>45717</v>
      </c>
      <c r="F257" s="821" t="s">
        <v>889</v>
      </c>
      <c r="G257" s="822">
        <v>45778</v>
      </c>
      <c r="H257" s="822">
        <v>45809</v>
      </c>
      <c r="I257" s="1893">
        <v>45839</v>
      </c>
      <c r="J257" s="821" t="s">
        <v>890</v>
      </c>
      <c r="K257" s="822">
        <v>45901</v>
      </c>
      <c r="L257" s="822">
        <v>45931</v>
      </c>
      <c r="M257" s="822">
        <v>45962</v>
      </c>
      <c r="N257" s="821" t="s">
        <v>891</v>
      </c>
    </row>
    <row r="258" spans="2:14" ht="16" thickBot="1">
      <c r="B258" s="859" t="s">
        <v>644</v>
      </c>
      <c r="C258" s="848"/>
      <c r="D258" s="848"/>
      <c r="E258" s="848"/>
      <c r="F258" s="848"/>
      <c r="G258" s="848"/>
      <c r="H258" s="848"/>
      <c r="I258" s="1874"/>
      <c r="J258" s="848"/>
      <c r="K258" s="848"/>
      <c r="L258" s="848"/>
      <c r="M258" s="848"/>
      <c r="N258" s="848"/>
    </row>
    <row r="259" spans="2:14" ht="16" thickBot="1">
      <c r="B259" s="799" t="s">
        <v>31</v>
      </c>
      <c r="C259" s="833" t="s">
        <v>899</v>
      </c>
      <c r="D259" s="833" t="s">
        <v>898</v>
      </c>
      <c r="E259" s="833" t="s">
        <v>898</v>
      </c>
      <c r="F259" s="833" t="s">
        <v>898</v>
      </c>
      <c r="G259" s="833" t="s">
        <v>898</v>
      </c>
      <c r="H259" s="833" t="s">
        <v>898</v>
      </c>
      <c r="I259" s="1894" t="s">
        <v>898</v>
      </c>
      <c r="J259" s="833" t="s">
        <v>898</v>
      </c>
      <c r="K259" s="833" t="s">
        <v>898</v>
      </c>
      <c r="L259" s="833" t="s">
        <v>898</v>
      </c>
      <c r="M259" s="833" t="s">
        <v>898</v>
      </c>
      <c r="N259" s="833" t="s">
        <v>898</v>
      </c>
    </row>
    <row r="260" spans="2:14" ht="16" thickBot="1">
      <c r="B260" s="797"/>
      <c r="C260" s="797"/>
      <c r="D260" s="797"/>
      <c r="E260" s="797"/>
      <c r="F260" s="797"/>
      <c r="G260" s="797"/>
      <c r="H260" s="797"/>
      <c r="I260" s="1892"/>
      <c r="J260" s="797"/>
      <c r="K260" s="797"/>
      <c r="L260" s="797"/>
      <c r="M260" s="797"/>
      <c r="N260" s="797"/>
    </row>
    <row r="261" spans="2:14" ht="16" thickBot="1">
      <c r="B261" s="869" t="s">
        <v>724</v>
      </c>
      <c r="C261" s="851">
        <v>10224</v>
      </c>
      <c r="D261" s="851">
        <v>4867</v>
      </c>
      <c r="E261" s="851">
        <f t="shared" ref="E261:J261" si="67">+E129</f>
        <v>5083</v>
      </c>
      <c r="F261" s="851">
        <f t="shared" si="67"/>
        <v>7905</v>
      </c>
      <c r="G261" s="1437">
        <f t="shared" si="67"/>
        <v>10228</v>
      </c>
      <c r="H261" s="1437">
        <f t="shared" si="67"/>
        <v>11019</v>
      </c>
      <c r="I261" s="851">
        <f t="shared" si="67"/>
        <v>15351</v>
      </c>
      <c r="J261" s="851">
        <f t="shared" si="67"/>
        <v>6288</v>
      </c>
      <c r="K261" s="851">
        <f t="shared" ref="K261:L261" si="68">+K129</f>
        <v>61567</v>
      </c>
      <c r="L261" s="851">
        <f t="shared" si="68"/>
        <v>3193</v>
      </c>
      <c r="M261" s="851">
        <f t="shared" ref="M261:N261" si="69">+M129</f>
        <v>7318</v>
      </c>
      <c r="N261" s="851">
        <f t="shared" si="69"/>
        <v>7161</v>
      </c>
    </row>
    <row r="262" spans="2:14" ht="16" thickBot="1">
      <c r="B262" s="870" t="s">
        <v>725</v>
      </c>
      <c r="C262" s="853">
        <v>5700</v>
      </c>
      <c r="D262" s="853">
        <v>8711</v>
      </c>
      <c r="E262" s="853">
        <f t="shared" ref="E262:J262" si="70">+E152</f>
        <v>13627</v>
      </c>
      <c r="F262" s="853">
        <f t="shared" si="70"/>
        <v>27276</v>
      </c>
      <c r="G262" s="1438">
        <f t="shared" si="70"/>
        <v>13539</v>
      </c>
      <c r="H262" s="1438">
        <f t="shared" si="70"/>
        <v>29391</v>
      </c>
      <c r="I262" s="853">
        <f t="shared" si="70"/>
        <v>5260</v>
      </c>
      <c r="J262" s="853">
        <f t="shared" si="70"/>
        <v>4915</v>
      </c>
      <c r="K262" s="853">
        <f t="shared" ref="K262:L262" si="71">+K152</f>
        <v>4977</v>
      </c>
      <c r="L262" s="853">
        <f t="shared" si="71"/>
        <v>4518</v>
      </c>
      <c r="M262" s="853">
        <f t="shared" ref="M262:N262" si="72">+M152</f>
        <v>36414</v>
      </c>
      <c r="N262" s="853">
        <f t="shared" si="72"/>
        <v>4876</v>
      </c>
    </row>
    <row r="263" spans="2:14" ht="16" thickBot="1">
      <c r="B263" s="870" t="s">
        <v>9</v>
      </c>
      <c r="C263" s="853">
        <v>3531</v>
      </c>
      <c r="D263" s="853">
        <v>9163</v>
      </c>
      <c r="E263" s="982">
        <f t="shared" ref="E263:J263" si="73">+E219</f>
        <v>1231</v>
      </c>
      <c r="F263" s="982">
        <f t="shared" si="73"/>
        <v>7513.4</v>
      </c>
      <c r="G263" s="1438">
        <f t="shared" si="73"/>
        <v>5019</v>
      </c>
      <c r="H263" s="1438">
        <f t="shared" si="73"/>
        <v>28322</v>
      </c>
      <c r="I263" s="853">
        <f t="shared" si="73"/>
        <v>3706</v>
      </c>
      <c r="J263" s="853">
        <f t="shared" si="73"/>
        <v>3608</v>
      </c>
      <c r="K263" s="853">
        <f t="shared" ref="K263:L263" si="74">+K219</f>
        <v>3456</v>
      </c>
      <c r="L263" s="853">
        <f t="shared" si="74"/>
        <v>4377</v>
      </c>
      <c r="M263" s="853">
        <f t="shared" ref="M263:N263" si="75">+M219</f>
        <v>1589</v>
      </c>
      <c r="N263" s="853">
        <f t="shared" si="75"/>
        <v>7000</v>
      </c>
    </row>
    <row r="264" spans="2:14" ht="16" thickBot="1">
      <c r="B264" s="870" t="s">
        <v>703</v>
      </c>
      <c r="C264" s="853">
        <v>1568</v>
      </c>
      <c r="D264" s="853">
        <v>2220</v>
      </c>
      <c r="E264" s="853">
        <f t="shared" ref="E264:J264" si="76">+E227</f>
        <v>6484</v>
      </c>
      <c r="F264" s="853">
        <f t="shared" si="76"/>
        <v>9310</v>
      </c>
      <c r="G264" s="1438">
        <f t="shared" si="76"/>
        <v>4543</v>
      </c>
      <c r="H264" s="1438">
        <f t="shared" si="76"/>
        <v>7554</v>
      </c>
      <c r="I264" s="853">
        <f t="shared" si="76"/>
        <v>6702</v>
      </c>
      <c r="J264" s="853">
        <f t="shared" si="76"/>
        <v>6664</v>
      </c>
      <c r="K264" s="853">
        <f t="shared" ref="K264:L264" si="77">+K227</f>
        <v>7323</v>
      </c>
      <c r="L264" s="853">
        <f t="shared" si="77"/>
        <v>1961</v>
      </c>
      <c r="M264" s="853">
        <f t="shared" ref="M264:N264" si="78">+M227</f>
        <v>2650</v>
      </c>
      <c r="N264" s="853">
        <f t="shared" si="78"/>
        <v>3964</v>
      </c>
    </row>
    <row r="265" spans="2:14" ht="16" thickBot="1">
      <c r="B265" s="870" t="s">
        <v>709</v>
      </c>
      <c r="C265" s="852" t="s">
        <v>717</v>
      </c>
      <c r="D265" s="853">
        <v>2851</v>
      </c>
      <c r="E265" s="852" t="s">
        <v>717</v>
      </c>
      <c r="F265" s="852" t="s">
        <v>717</v>
      </c>
      <c r="G265" s="1438" t="s">
        <v>717</v>
      </c>
      <c r="H265" s="1438" t="s">
        <v>717</v>
      </c>
      <c r="I265" s="853" t="s">
        <v>717</v>
      </c>
      <c r="J265" s="853" t="s">
        <v>717</v>
      </c>
      <c r="K265" s="853" t="s">
        <v>717</v>
      </c>
      <c r="L265" s="853" t="s">
        <v>717</v>
      </c>
      <c r="M265" s="853" t="s">
        <v>717</v>
      </c>
      <c r="N265" s="853" t="s">
        <v>717</v>
      </c>
    </row>
    <row r="266" spans="2:14" ht="16" thickBot="1">
      <c r="B266" s="870" t="s">
        <v>134</v>
      </c>
      <c r="C266" s="853">
        <v>13957</v>
      </c>
      <c r="D266" s="853">
        <v>15243</v>
      </c>
      <c r="E266" s="853">
        <f t="shared" ref="E266:K266" si="79">+E246</f>
        <v>7945</v>
      </c>
      <c r="F266" s="853">
        <f t="shared" si="79"/>
        <v>26398</v>
      </c>
      <c r="G266" s="1438">
        <f t="shared" si="79"/>
        <v>9411</v>
      </c>
      <c r="H266" s="1438">
        <f t="shared" si="79"/>
        <v>12454</v>
      </c>
      <c r="I266" s="853">
        <f t="shared" si="79"/>
        <v>18530</v>
      </c>
      <c r="J266" s="853">
        <f t="shared" si="79"/>
        <v>27561</v>
      </c>
      <c r="K266" s="853">
        <f t="shared" si="79"/>
        <v>21983</v>
      </c>
      <c r="L266" s="853">
        <f t="shared" ref="L266:M266" si="80">+L246</f>
        <v>67960</v>
      </c>
      <c r="M266" s="853">
        <f t="shared" si="80"/>
        <v>58112</v>
      </c>
      <c r="N266" s="853">
        <f t="shared" ref="N266" si="81">+N246</f>
        <v>95607</v>
      </c>
    </row>
    <row r="267" spans="2:14" ht="16" thickBot="1">
      <c r="B267" s="871" t="s">
        <v>726</v>
      </c>
      <c r="C267" s="854">
        <f>34980</f>
        <v>34980</v>
      </c>
      <c r="D267" s="854">
        <v>43055</v>
      </c>
      <c r="E267" s="854">
        <f t="shared" ref="E267:N267" si="82">SUM(E261:E266)</f>
        <v>34370</v>
      </c>
      <c r="F267" s="854">
        <f t="shared" si="82"/>
        <v>78402.399999999994</v>
      </c>
      <c r="G267" s="1439">
        <f t="shared" si="82"/>
        <v>42740</v>
      </c>
      <c r="H267" s="1439">
        <f t="shared" si="82"/>
        <v>88740</v>
      </c>
      <c r="I267" s="854">
        <f t="shared" si="82"/>
        <v>49549</v>
      </c>
      <c r="J267" s="854">
        <f t="shared" si="82"/>
        <v>49036</v>
      </c>
      <c r="K267" s="854">
        <f t="shared" si="82"/>
        <v>99306</v>
      </c>
      <c r="L267" s="854">
        <f t="shared" si="82"/>
        <v>82009</v>
      </c>
      <c r="M267" s="854">
        <f t="shared" si="82"/>
        <v>106083</v>
      </c>
      <c r="N267" s="854">
        <f t="shared" si="82"/>
        <v>118608</v>
      </c>
    </row>
    <row r="268" spans="2:14" ht="17" thickTop="1" thickBot="1">
      <c r="B268" s="869" t="s">
        <v>719</v>
      </c>
      <c r="C268" s="850"/>
      <c r="D268" s="850"/>
      <c r="E268" s="850"/>
      <c r="F268" s="851"/>
      <c r="G268" s="851">
        <f>+G254</f>
        <v>133710</v>
      </c>
      <c r="H268" s="851">
        <f t="shared" ref="H268:N268" si="83">+H254</f>
        <v>0</v>
      </c>
      <c r="I268" s="851">
        <f t="shared" si="83"/>
        <v>0</v>
      </c>
      <c r="J268" s="851">
        <f t="shared" si="83"/>
        <v>0</v>
      </c>
      <c r="K268" s="851">
        <f t="shared" si="83"/>
        <v>0</v>
      </c>
      <c r="L268" s="851">
        <f t="shared" si="83"/>
        <v>0</v>
      </c>
      <c r="M268" s="851">
        <f t="shared" si="83"/>
        <v>278213</v>
      </c>
      <c r="N268" s="851">
        <f t="shared" si="83"/>
        <v>0</v>
      </c>
    </row>
    <row r="269" spans="2:14" ht="16" thickBot="1">
      <c r="B269" s="872" t="s">
        <v>723</v>
      </c>
      <c r="C269" s="855"/>
      <c r="D269" s="855"/>
      <c r="E269" s="855"/>
      <c r="F269" s="855"/>
      <c r="G269" s="855"/>
      <c r="H269" s="855"/>
      <c r="I269" s="855"/>
      <c r="J269" s="855"/>
      <c r="K269" s="855"/>
      <c r="L269" s="855"/>
      <c r="M269" s="855"/>
      <c r="N269" s="855"/>
    </row>
    <row r="270" spans="2:14" ht="17" thickTop="1" thickBot="1">
      <c r="B270" s="856" t="s">
        <v>727</v>
      </c>
      <c r="C270" s="857">
        <f>SUM(C267:C269)</f>
        <v>34980</v>
      </c>
      <c r="D270" s="857">
        <v>43055</v>
      </c>
      <c r="E270" s="857">
        <f t="shared" ref="E270:L270" si="84">+E267+E268+E269</f>
        <v>34370</v>
      </c>
      <c r="F270" s="857">
        <f t="shared" si="84"/>
        <v>78402.399999999994</v>
      </c>
      <c r="G270" s="857">
        <f t="shared" si="84"/>
        <v>176450</v>
      </c>
      <c r="H270" s="857">
        <f t="shared" si="84"/>
        <v>88740</v>
      </c>
      <c r="I270" s="857">
        <f t="shared" si="84"/>
        <v>49549</v>
      </c>
      <c r="J270" s="857">
        <f t="shared" si="84"/>
        <v>49036</v>
      </c>
      <c r="K270" s="857">
        <f t="shared" si="84"/>
        <v>99306</v>
      </c>
      <c r="L270" s="857">
        <f t="shared" si="84"/>
        <v>82009</v>
      </c>
      <c r="M270" s="857">
        <f t="shared" ref="M270:N270" si="85">+M267+M268+M269</f>
        <v>384296</v>
      </c>
      <c r="N270" s="857">
        <f t="shared" si="85"/>
        <v>118608</v>
      </c>
    </row>
    <row r="271" spans="2:14" ht="16" thickBot="1">
      <c r="B271" s="797"/>
      <c r="C271" s="797"/>
      <c r="D271" s="797"/>
      <c r="E271" s="797"/>
      <c r="F271" s="797"/>
      <c r="G271" s="797"/>
      <c r="H271" s="797"/>
      <c r="I271" s="797"/>
      <c r="J271" s="797"/>
      <c r="K271" s="797"/>
      <c r="L271" s="797"/>
      <c r="M271" s="797"/>
      <c r="N271" s="797"/>
    </row>
    <row r="272" spans="2:14" ht="16" thickBot="1">
      <c r="B272" s="873" t="s">
        <v>728</v>
      </c>
      <c r="C272" s="858">
        <f t="shared" ref="C272:G272" si="86">SUM(+C114-C270)</f>
        <v>51910</v>
      </c>
      <c r="D272" s="858">
        <f t="shared" si="86"/>
        <v>16991</v>
      </c>
      <c r="E272" s="858">
        <f t="shared" si="86"/>
        <v>61952</v>
      </c>
      <c r="F272" s="1548">
        <f t="shared" si="86"/>
        <v>18807.300000000003</v>
      </c>
      <c r="G272" s="1435">
        <f t="shared" si="86"/>
        <v>-137850</v>
      </c>
      <c r="H272" s="1435">
        <f t="shared" ref="H272:N272" si="87">SUM(+H114-H270)</f>
        <v>-22177</v>
      </c>
      <c r="I272" s="1435">
        <f t="shared" si="87"/>
        <v>-1832</v>
      </c>
      <c r="J272" s="1548">
        <f t="shared" si="87"/>
        <v>70616</v>
      </c>
      <c r="K272" s="1548">
        <f t="shared" si="87"/>
        <v>104282</v>
      </c>
      <c r="L272" s="1548">
        <f t="shared" si="87"/>
        <v>244856</v>
      </c>
      <c r="M272" s="1548">
        <f t="shared" si="87"/>
        <v>-143071</v>
      </c>
      <c r="N272" s="1548">
        <f t="shared" si="87"/>
        <v>105508.50999999998</v>
      </c>
    </row>
    <row r="273" spans="2:14">
      <c r="B273" s="797"/>
      <c r="C273" s="874"/>
      <c r="D273" s="874"/>
      <c r="E273" s="874"/>
      <c r="F273" s="797"/>
      <c r="G273" s="797"/>
      <c r="H273" s="797"/>
      <c r="I273" s="797"/>
      <c r="J273" s="797"/>
      <c r="K273" s="797"/>
      <c r="L273" s="797"/>
      <c r="M273" s="797"/>
      <c r="N273" s="797"/>
    </row>
    <row r="274" spans="2:14">
      <c r="B274" s="797" t="s">
        <v>1924</v>
      </c>
      <c r="C274" s="874"/>
      <c r="D274" s="874"/>
      <c r="E274" s="874"/>
      <c r="F274" s="797"/>
      <c r="G274" s="797"/>
      <c r="H274" s="797"/>
      <c r="I274" s="797"/>
      <c r="J274" s="797"/>
      <c r="K274" s="797">
        <v>7652</v>
      </c>
      <c r="L274" s="797">
        <v>1821</v>
      </c>
      <c r="M274" s="797"/>
      <c r="N274" s="797"/>
    </row>
    <row r="275" spans="2:14" ht="16" thickBot="1">
      <c r="B275" s="797"/>
      <c r="C275" s="874"/>
      <c r="D275" s="874"/>
      <c r="E275" s="874"/>
      <c r="F275" s="797"/>
      <c r="G275" s="797"/>
      <c r="H275" s="797"/>
      <c r="I275" s="797"/>
      <c r="J275" s="797"/>
      <c r="K275" s="797"/>
      <c r="L275" s="797"/>
      <c r="M275" s="797"/>
      <c r="N275" s="797"/>
    </row>
    <row r="276" spans="2:14" ht="16" thickBot="1">
      <c r="B276" s="839" t="s">
        <v>729</v>
      </c>
      <c r="C276" s="1434">
        <f>+C59+C272</f>
        <v>61532.33</v>
      </c>
      <c r="D276" s="1434">
        <f>SUM(D272+D59)</f>
        <v>78523.33</v>
      </c>
      <c r="E276" s="1434">
        <f>SUM(D276+E272)</f>
        <v>140475.33000000002</v>
      </c>
      <c r="F276" s="1490">
        <f>SUM(E276+F272)</f>
        <v>159282.63</v>
      </c>
      <c r="G276" s="1490">
        <f>SUM(F276+G272)</f>
        <v>21432.630000000005</v>
      </c>
      <c r="H276" s="1890">
        <f>SUM(G276+H272)</f>
        <v>-744.36999999999534</v>
      </c>
      <c r="I276" s="1890">
        <f>+Tabla5[[#This Row],[jun-25]]+I272</f>
        <v>-2576.3699999999953</v>
      </c>
      <c r="J276" s="1490">
        <f>+Tabla5[[#This Row],[jul-25]]+J272</f>
        <v>68039.63</v>
      </c>
      <c r="K276" s="2293">
        <f>SUM(J276+K272+K274)</f>
        <v>179973.63</v>
      </c>
      <c r="L276" s="1490">
        <f>SUM(K276+L272+L274)</f>
        <v>426650.63</v>
      </c>
      <c r="M276" s="1490">
        <f>SUM(L276+M272)</f>
        <v>283579.63</v>
      </c>
      <c r="N276" s="1490">
        <f>SUM(M276+N272)</f>
        <v>389088.14</v>
      </c>
    </row>
    <row r="278" spans="2:14">
      <c r="C278" s="278"/>
      <c r="F278" s="257"/>
    </row>
    <row r="279" spans="2:14">
      <c r="G279" s="257"/>
      <c r="H279" s="79">
        <f>SUM(H272+22177)</f>
        <v>0</v>
      </c>
      <c r="J279" s="79"/>
    </row>
    <row r="280" spans="2:14">
      <c r="D280" s="1436"/>
      <c r="F280" s="257"/>
      <c r="G280" s="257"/>
    </row>
    <row r="282" spans="2:14">
      <c r="C282" s="278"/>
      <c r="G282" s="79"/>
    </row>
    <row r="284" spans="2:14">
      <c r="G284" s="79"/>
    </row>
    <row r="285" spans="2:14">
      <c r="G285" s="257"/>
    </row>
  </sheetData>
  <mergeCells count="1">
    <mergeCell ref="N6:P6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0C1D-F047-4662-9038-175D88F70E6F}">
  <sheetPr codeName="Hoja16"/>
  <dimension ref="A2:P202"/>
  <sheetViews>
    <sheetView topLeftCell="A179" zoomScale="75" zoomScaleNormal="75" workbookViewId="0">
      <selection activeCell="N201" sqref="N201"/>
    </sheetView>
  </sheetViews>
  <sheetFormatPr baseColWidth="10" defaultRowHeight="15"/>
  <cols>
    <col min="1" max="1" width="15.5" customWidth="1"/>
    <col min="2" max="2" width="52.5" customWidth="1"/>
    <col min="3" max="4" width="14.5" bestFit="1" customWidth="1"/>
    <col min="5" max="6" width="14.5" customWidth="1"/>
    <col min="7" max="9" width="14.5" bestFit="1" customWidth="1"/>
    <col min="10" max="10" width="17" customWidth="1"/>
    <col min="11" max="14" width="16.5" bestFit="1" customWidth="1"/>
    <col min="15" max="15" width="19" customWidth="1"/>
    <col min="16" max="16" width="16" customWidth="1"/>
  </cols>
  <sheetData>
    <row r="2" spans="2:16">
      <c r="B2" s="561" t="s">
        <v>757</v>
      </c>
      <c r="C2" s="13"/>
      <c r="D2" s="13"/>
      <c r="E2" s="13"/>
    </row>
    <row r="3" spans="2:16">
      <c r="B3" s="752">
        <f>+C66</f>
        <v>55345</v>
      </c>
      <c r="C3" s="13"/>
      <c r="D3" s="13"/>
      <c r="E3" s="13"/>
    </row>
    <row r="4" spans="2:16">
      <c r="B4" s="448">
        <v>2025</v>
      </c>
      <c r="C4" s="449"/>
      <c r="D4" s="449"/>
      <c r="E4" s="449"/>
    </row>
    <row r="5" spans="2:16">
      <c r="B5" s="448"/>
      <c r="C5" s="447"/>
      <c r="D5" s="447"/>
      <c r="E5" s="447"/>
    </row>
    <row r="6" spans="2:16" ht="16" thickBot="1">
      <c r="B6" s="450"/>
      <c r="C6" s="451"/>
      <c r="D6" s="451"/>
      <c r="E6" s="451"/>
    </row>
    <row r="7" spans="2:16" ht="16" thickBot="1">
      <c r="B7" s="452" t="s">
        <v>619</v>
      </c>
      <c r="C7" s="1459" t="s">
        <v>505</v>
      </c>
      <c r="D7" s="1459" t="s">
        <v>505</v>
      </c>
      <c r="E7" s="1459" t="s">
        <v>505</v>
      </c>
      <c r="F7" s="1459" t="s">
        <v>505</v>
      </c>
      <c r="G7" s="1459" t="s">
        <v>505</v>
      </c>
      <c r="H7" s="1459" t="s">
        <v>505</v>
      </c>
      <c r="I7" s="1459" t="s">
        <v>505</v>
      </c>
      <c r="J7" s="1459" t="s">
        <v>505</v>
      </c>
      <c r="K7" s="1459" t="s">
        <v>505</v>
      </c>
      <c r="L7" s="1459" t="s">
        <v>505</v>
      </c>
      <c r="M7" s="1459" t="s">
        <v>505</v>
      </c>
      <c r="N7" s="1665"/>
    </row>
    <row r="8" spans="2:16" ht="16" thickBot="1">
      <c r="B8" s="454" t="s">
        <v>1</v>
      </c>
      <c r="C8" s="1460">
        <v>45658</v>
      </c>
      <c r="D8" s="1460">
        <v>45689</v>
      </c>
      <c r="E8" s="1460">
        <v>45717</v>
      </c>
      <c r="F8" s="1460">
        <v>45748</v>
      </c>
      <c r="G8" s="1460">
        <v>45778</v>
      </c>
      <c r="H8" s="1460">
        <v>45809</v>
      </c>
      <c r="I8" s="1460">
        <v>45839</v>
      </c>
      <c r="J8" s="1460">
        <v>45870</v>
      </c>
      <c r="K8" s="1460">
        <v>45901</v>
      </c>
      <c r="L8" s="1460">
        <v>45931</v>
      </c>
      <c r="M8" s="1460">
        <v>45962</v>
      </c>
      <c r="N8" s="1666">
        <v>45992</v>
      </c>
      <c r="O8" s="1667">
        <v>2025</v>
      </c>
      <c r="P8" s="1664" t="s">
        <v>1800</v>
      </c>
    </row>
    <row r="9" spans="2:16" ht="16" thickBot="1">
      <c r="B9" s="456" t="s">
        <v>606</v>
      </c>
      <c r="C9" s="457">
        <f>+C66</f>
        <v>55345</v>
      </c>
      <c r="D9" s="457">
        <f>+C51</f>
        <v>205783</v>
      </c>
      <c r="E9" s="457">
        <f>+D51</f>
        <v>447223.20999999996</v>
      </c>
      <c r="F9" s="457">
        <f>+E51</f>
        <v>530021.21</v>
      </c>
      <c r="G9" s="457">
        <f>SUM(F51)</f>
        <v>689323.21</v>
      </c>
      <c r="H9" s="457">
        <f>SUM(G51)</f>
        <v>554889.21</v>
      </c>
      <c r="I9" s="457">
        <f t="shared" ref="I9:N9" si="0">SUM(H51)</f>
        <v>612507.21</v>
      </c>
      <c r="J9" s="457">
        <f t="shared" si="0"/>
        <v>602490.21</v>
      </c>
      <c r="K9" s="457">
        <f t="shared" si="0"/>
        <v>621475.21</v>
      </c>
      <c r="L9" s="457">
        <f t="shared" si="0"/>
        <v>620475.21</v>
      </c>
      <c r="M9" s="457">
        <f t="shared" si="0"/>
        <v>466310.20999999996</v>
      </c>
      <c r="N9" s="457">
        <f t="shared" si="0"/>
        <v>458902.20999999996</v>
      </c>
      <c r="O9" s="458">
        <f>+C9</f>
        <v>55345</v>
      </c>
      <c r="P9" s="458">
        <f>+C9</f>
        <v>55345</v>
      </c>
    </row>
    <row r="10" spans="2:16" ht="16" thickBot="1">
      <c r="B10" s="445"/>
      <c r="C10" s="459"/>
      <c r="D10" s="459"/>
      <c r="E10" s="459"/>
      <c r="F10" s="459"/>
      <c r="O10" s="459"/>
      <c r="P10" s="459"/>
    </row>
    <row r="11" spans="2:16" ht="16" thickBot="1">
      <c r="B11" s="462" t="s">
        <v>627</v>
      </c>
      <c r="C11" s="463">
        <f>+C94</f>
        <v>150453</v>
      </c>
      <c r="D11" s="463"/>
      <c r="E11" s="463"/>
      <c r="F11" s="463"/>
      <c r="G11" s="463"/>
      <c r="H11" s="463"/>
      <c r="I11" s="463"/>
      <c r="J11" s="463"/>
      <c r="K11" s="463"/>
      <c r="L11" s="1728"/>
      <c r="M11" s="1728"/>
      <c r="N11" s="1728"/>
      <c r="O11" s="463">
        <f>SUM(C11:N11)</f>
        <v>150453</v>
      </c>
      <c r="P11" s="463">
        <f>SUM(C11:K11)</f>
        <v>150453</v>
      </c>
    </row>
    <row r="12" spans="2:16" ht="16" thickBot="1">
      <c r="B12" s="462" t="s">
        <v>626</v>
      </c>
      <c r="C12" s="463">
        <v>0</v>
      </c>
      <c r="D12" s="463">
        <f t="shared" ref="D12:H12" si="1">+D94</f>
        <v>243465.21</v>
      </c>
      <c r="E12" s="463">
        <f t="shared" si="1"/>
        <v>141526</v>
      </c>
      <c r="F12" s="463">
        <f t="shared" si="1"/>
        <v>169200</v>
      </c>
      <c r="G12" s="463">
        <f t="shared" si="1"/>
        <v>195090</v>
      </c>
      <c r="H12" s="463">
        <f t="shared" si="1"/>
        <v>61796</v>
      </c>
      <c r="I12" s="463">
        <f t="shared" ref="I12:J12" si="2">+I94</f>
        <v>0</v>
      </c>
      <c r="J12" s="463">
        <f t="shared" si="2"/>
        <v>20000</v>
      </c>
      <c r="K12" s="463">
        <f t="shared" ref="K12:N12" si="3">+K94</f>
        <v>0</v>
      </c>
      <c r="L12" s="463">
        <f t="shared" si="3"/>
        <v>45000</v>
      </c>
      <c r="M12" s="463">
        <f t="shared" si="3"/>
        <v>0</v>
      </c>
      <c r="N12" s="463">
        <f t="shared" si="3"/>
        <v>178785</v>
      </c>
      <c r="O12" s="463">
        <f>SUM(C12:N12)</f>
        <v>1054862.21</v>
      </c>
      <c r="P12" s="463">
        <f>SUM(C12:K12)</f>
        <v>831077.21</v>
      </c>
    </row>
    <row r="13" spans="2:16" ht="16" thickBot="1">
      <c r="B13" s="462" t="s">
        <v>886</v>
      </c>
      <c r="C13" s="463">
        <f>SUM(C11:C12)</f>
        <v>150453</v>
      </c>
      <c r="D13" s="463">
        <f>SUM(D11:D12)</f>
        <v>243465.21</v>
      </c>
      <c r="E13" s="463">
        <f>SUM(E11:E12)</f>
        <v>141526</v>
      </c>
      <c r="F13" s="463">
        <f>SUM(F11:F12)</f>
        <v>169200</v>
      </c>
      <c r="G13" s="463">
        <f>SUM(G11:G12)</f>
        <v>195090</v>
      </c>
      <c r="H13" s="463">
        <f t="shared" ref="H13:N13" si="4">SUM(H11:H12)</f>
        <v>61796</v>
      </c>
      <c r="I13" s="463">
        <f t="shared" ref="I13" si="5">SUM(I11:I12)</f>
        <v>0</v>
      </c>
      <c r="J13" s="463">
        <f t="shared" si="4"/>
        <v>20000</v>
      </c>
      <c r="K13" s="463">
        <f t="shared" si="4"/>
        <v>0</v>
      </c>
      <c r="L13" s="463">
        <f>SUM(L11:L12)</f>
        <v>45000</v>
      </c>
      <c r="M13" s="463">
        <f t="shared" si="4"/>
        <v>0</v>
      </c>
      <c r="N13" s="463">
        <f t="shared" si="4"/>
        <v>178785</v>
      </c>
      <c r="O13" s="463">
        <f>SUM(O11:O12)</f>
        <v>1205315.21</v>
      </c>
      <c r="P13" s="463">
        <f>SUM(P11:P12)</f>
        <v>981530.21</v>
      </c>
    </row>
    <row r="14" spans="2:16" ht="16" thickBot="1">
      <c r="B14" s="464"/>
      <c r="C14" s="450"/>
      <c r="D14" s="450"/>
      <c r="E14" s="450"/>
      <c r="F14" s="450"/>
      <c r="O14" s="450"/>
      <c r="P14" s="450"/>
    </row>
    <row r="15" spans="2:16" ht="16" thickBot="1">
      <c r="B15" s="465" t="s">
        <v>600</v>
      </c>
      <c r="C15" s="450"/>
      <c r="D15" s="450"/>
      <c r="E15" s="450"/>
      <c r="F15" s="450"/>
      <c r="O15" s="450"/>
      <c r="P15" s="450"/>
    </row>
    <row r="16" spans="2:16">
      <c r="B16" s="466" t="s">
        <v>7</v>
      </c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1729"/>
      <c r="O16" s="467">
        <f>SUM(C16:N16)</f>
        <v>0</v>
      </c>
      <c r="P16" s="467">
        <f>SUM(C16:K16)</f>
        <v>0</v>
      </c>
    </row>
    <row r="17" spans="2:16">
      <c r="B17" s="468" t="s">
        <v>8</v>
      </c>
      <c r="C17" s="469">
        <f>+C132</f>
        <v>0</v>
      </c>
      <c r="D17" s="469">
        <f>+D132</f>
        <v>1995</v>
      </c>
      <c r="E17" s="469">
        <f>+E135</f>
        <v>53349</v>
      </c>
      <c r="F17" s="469">
        <f>+F135</f>
        <v>1500</v>
      </c>
      <c r="G17" s="469">
        <f>+G135</f>
        <v>47617</v>
      </c>
      <c r="H17" s="469">
        <f>+H135</f>
        <v>4163</v>
      </c>
      <c r="I17" s="469">
        <f t="shared" ref="I17:J17" si="6">+I135</f>
        <v>2500</v>
      </c>
      <c r="J17" s="469">
        <f t="shared" si="6"/>
        <v>1000</v>
      </c>
      <c r="K17" s="469">
        <f t="shared" ref="K17:L17" si="7">+K135</f>
        <v>1000</v>
      </c>
      <c r="L17" s="469">
        <f t="shared" si="7"/>
        <v>88411</v>
      </c>
      <c r="M17" s="469">
        <f t="shared" ref="M17:N17" si="8">+M135</f>
        <v>1000</v>
      </c>
      <c r="N17" s="469">
        <f t="shared" si="8"/>
        <v>218410</v>
      </c>
      <c r="O17" s="758">
        <f>SUM(C17:N17)</f>
        <v>420945</v>
      </c>
      <c r="P17" s="758">
        <f>SUM(C17:K17)</f>
        <v>113124</v>
      </c>
    </row>
    <row r="18" spans="2:16" ht="16" thickBot="1">
      <c r="B18" s="468" t="s">
        <v>9</v>
      </c>
      <c r="C18" s="469">
        <f t="shared" ref="C18:H18" si="9">+C138</f>
        <v>0</v>
      </c>
      <c r="D18" s="469">
        <f t="shared" si="9"/>
        <v>0</v>
      </c>
      <c r="E18" s="469">
        <f t="shared" si="9"/>
        <v>5320</v>
      </c>
      <c r="F18" s="469">
        <f t="shared" si="9"/>
        <v>0</v>
      </c>
      <c r="G18" s="469">
        <f t="shared" si="9"/>
        <v>0</v>
      </c>
      <c r="H18" s="469">
        <f t="shared" si="9"/>
        <v>0</v>
      </c>
      <c r="I18" s="469">
        <f t="shared" ref="I18:J18" si="10">+I138</f>
        <v>0</v>
      </c>
      <c r="J18" s="469">
        <f t="shared" si="10"/>
        <v>0</v>
      </c>
      <c r="K18" s="469">
        <f t="shared" ref="K18:L18" si="11">+K138</f>
        <v>0</v>
      </c>
      <c r="L18" s="469">
        <f t="shared" si="11"/>
        <v>0</v>
      </c>
      <c r="M18" s="469">
        <f t="shared" ref="M18:N18" si="12">+M138</f>
        <v>0</v>
      </c>
      <c r="N18" s="469">
        <f t="shared" si="12"/>
        <v>0</v>
      </c>
      <c r="O18" s="758">
        <f>SUM(C18:N18)</f>
        <v>5320</v>
      </c>
      <c r="P18" s="758">
        <f>SUM(C18:K18)</f>
        <v>5320</v>
      </c>
    </row>
    <row r="19" spans="2:16" ht="16" thickBot="1">
      <c r="B19" s="462" t="s">
        <v>11</v>
      </c>
      <c r="C19" s="463">
        <f t="shared" ref="C19:I19" si="13">SUM(C16:C18)</f>
        <v>0</v>
      </c>
      <c r="D19" s="463">
        <f t="shared" si="13"/>
        <v>1995</v>
      </c>
      <c r="E19" s="463">
        <f t="shared" si="13"/>
        <v>58669</v>
      </c>
      <c r="F19" s="463">
        <f t="shared" si="13"/>
        <v>1500</v>
      </c>
      <c r="G19" s="463">
        <f t="shared" si="13"/>
        <v>47617</v>
      </c>
      <c r="H19" s="463">
        <f t="shared" si="13"/>
        <v>4163</v>
      </c>
      <c r="I19" s="463">
        <f t="shared" si="13"/>
        <v>2500</v>
      </c>
      <c r="J19" s="463">
        <f t="shared" ref="J19:N19" si="14">SUM(J16:J18)</f>
        <v>1000</v>
      </c>
      <c r="K19" s="463">
        <f t="shared" si="14"/>
        <v>1000</v>
      </c>
      <c r="L19" s="463">
        <f t="shared" si="14"/>
        <v>88411</v>
      </c>
      <c r="M19" s="463">
        <f t="shared" si="14"/>
        <v>1000</v>
      </c>
      <c r="N19" s="463">
        <f t="shared" si="14"/>
        <v>218410</v>
      </c>
      <c r="O19" s="463">
        <f>SUM(O16:O18)</f>
        <v>426265</v>
      </c>
      <c r="P19" s="463">
        <f>SUM(P16:P18)</f>
        <v>118444</v>
      </c>
    </row>
    <row r="20" spans="2:16">
      <c r="B20" s="445"/>
      <c r="C20" s="470"/>
      <c r="D20" s="470"/>
      <c r="E20" s="470"/>
      <c r="F20" s="470"/>
      <c r="O20" s="470"/>
      <c r="P20" s="470"/>
    </row>
    <row r="21" spans="2:16" ht="16" thickBot="1">
      <c r="B21" s="445"/>
      <c r="C21" s="470"/>
      <c r="D21" s="470"/>
      <c r="E21" s="470"/>
      <c r="F21" s="470"/>
      <c r="O21" s="470"/>
      <c r="P21" s="470"/>
    </row>
    <row r="22" spans="2:16" ht="16" thickBot="1">
      <c r="B22" s="456" t="s">
        <v>598</v>
      </c>
      <c r="C22" s="471">
        <f>SUM(C13-C19)</f>
        <v>150453</v>
      </c>
      <c r="D22" s="471">
        <f>SUM(D13-D19)</f>
        <v>241470.21</v>
      </c>
      <c r="E22" s="471">
        <f>SUM(E13-E19)</f>
        <v>82857</v>
      </c>
      <c r="F22" s="471">
        <f>SUM(F13-F19)</f>
        <v>167700</v>
      </c>
      <c r="G22" s="471">
        <f>SUM(G13-G19)</f>
        <v>147473</v>
      </c>
      <c r="H22" s="471">
        <f t="shared" ref="H22:O22" si="15">SUM(H13-H19)</f>
        <v>57633</v>
      </c>
      <c r="I22" s="471">
        <f t="shared" si="15"/>
        <v>-2500</v>
      </c>
      <c r="J22" s="471">
        <f t="shared" si="15"/>
        <v>19000</v>
      </c>
      <c r="K22" s="471">
        <f t="shared" si="15"/>
        <v>-1000</v>
      </c>
      <c r="L22" s="471">
        <f t="shared" si="15"/>
        <v>-43411</v>
      </c>
      <c r="M22" s="471">
        <f t="shared" si="15"/>
        <v>-1000</v>
      </c>
      <c r="N22" s="471">
        <f t="shared" si="15"/>
        <v>-39625</v>
      </c>
      <c r="O22" s="471">
        <f t="shared" si="15"/>
        <v>779050.21</v>
      </c>
      <c r="P22" s="471">
        <f>SUM(P13-P19)</f>
        <v>863086.21</v>
      </c>
    </row>
    <row r="23" spans="2:16" ht="16" thickBot="1">
      <c r="B23" s="445"/>
      <c r="C23" s="470"/>
      <c r="D23" s="470"/>
      <c r="E23" s="470"/>
      <c r="F23" s="470"/>
      <c r="O23" s="470"/>
      <c r="P23" s="470"/>
    </row>
    <row r="24" spans="2:16" ht="16" thickBot="1">
      <c r="B24" s="474" t="s">
        <v>601</v>
      </c>
      <c r="C24" s="470"/>
      <c r="D24" s="470"/>
      <c r="E24" s="470"/>
      <c r="F24" s="470"/>
      <c r="O24" s="470"/>
      <c r="P24" s="470"/>
    </row>
    <row r="25" spans="2:16">
      <c r="B25" s="439" t="s">
        <v>614</v>
      </c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72">
        <f>SUM(C25:N25)</f>
        <v>0</v>
      </c>
      <c r="P25" s="472">
        <f>SUM(C25:K25)</f>
        <v>0</v>
      </c>
    </row>
    <row r="26" spans="2:16" ht="16" thickBot="1">
      <c r="B26" s="440" t="s">
        <v>13</v>
      </c>
      <c r="C26" s="469">
        <f t="shared" ref="C26:H26" si="16">+C159</f>
        <v>15</v>
      </c>
      <c r="D26" s="473">
        <f t="shared" si="16"/>
        <v>30</v>
      </c>
      <c r="E26" s="473">
        <f t="shared" si="16"/>
        <v>59</v>
      </c>
      <c r="F26" s="473">
        <f t="shared" si="16"/>
        <v>8398</v>
      </c>
      <c r="G26" s="473">
        <f t="shared" si="16"/>
        <v>49</v>
      </c>
      <c r="H26" s="473">
        <f t="shared" si="16"/>
        <v>15</v>
      </c>
      <c r="I26" s="473">
        <f t="shared" ref="I26:J26" si="17">+I159</f>
        <v>7517</v>
      </c>
      <c r="J26" s="473">
        <f t="shared" si="17"/>
        <v>15</v>
      </c>
      <c r="K26" s="473">
        <f t="shared" ref="K26:L26" si="18">+K159</f>
        <v>0</v>
      </c>
      <c r="L26" s="473">
        <f t="shared" si="18"/>
        <v>0</v>
      </c>
      <c r="M26" s="473">
        <f t="shared" ref="M26:N26" si="19">+M159</f>
        <v>0</v>
      </c>
      <c r="N26" s="473">
        <f t="shared" si="19"/>
        <v>0</v>
      </c>
      <c r="O26" s="473">
        <f>SUM(C26:N26)</f>
        <v>16098</v>
      </c>
      <c r="P26" s="473">
        <f>SUM(C26:K26)</f>
        <v>16098</v>
      </c>
    </row>
    <row r="27" spans="2:16" ht="16" thickBot="1">
      <c r="B27" s="462" t="s">
        <v>613</v>
      </c>
      <c r="C27" s="463">
        <f t="shared" ref="C27:H27" si="20">SUM(C25:C26)</f>
        <v>15</v>
      </c>
      <c r="D27" s="463">
        <f t="shared" si="20"/>
        <v>30</v>
      </c>
      <c r="E27" s="463">
        <f t="shared" si="20"/>
        <v>59</v>
      </c>
      <c r="F27" s="463">
        <f t="shared" si="20"/>
        <v>8398</v>
      </c>
      <c r="G27" s="463">
        <f t="shared" si="20"/>
        <v>49</v>
      </c>
      <c r="H27" s="463">
        <f t="shared" si="20"/>
        <v>15</v>
      </c>
      <c r="I27" s="463">
        <f t="shared" ref="I27:J27" si="21">SUM(I25:I26)</f>
        <v>7517</v>
      </c>
      <c r="J27" s="463">
        <f t="shared" si="21"/>
        <v>15</v>
      </c>
      <c r="K27" s="463">
        <f t="shared" ref="K27:N27" si="22">SUM(K25:K26)</f>
        <v>0</v>
      </c>
      <c r="L27" s="463">
        <f t="shared" si="22"/>
        <v>0</v>
      </c>
      <c r="M27" s="463">
        <f t="shared" si="22"/>
        <v>0</v>
      </c>
      <c r="N27" s="463">
        <f t="shared" si="22"/>
        <v>0</v>
      </c>
      <c r="O27" s="463">
        <f>SUM(O25:O26)</f>
        <v>16098</v>
      </c>
      <c r="P27" s="463">
        <f>SUM(P25:P26)</f>
        <v>16098</v>
      </c>
    </row>
    <row r="28" spans="2:16" ht="16" thickBot="1">
      <c r="B28" s="445"/>
      <c r="C28" s="470"/>
      <c r="D28" s="470"/>
      <c r="E28" s="470"/>
      <c r="F28" s="470"/>
      <c r="O28" s="470"/>
      <c r="P28" s="470"/>
    </row>
    <row r="29" spans="2:16" ht="16" thickBot="1">
      <c r="B29" s="475" t="s">
        <v>732</v>
      </c>
      <c r="C29" s="476">
        <v>0</v>
      </c>
      <c r="D29" s="476">
        <v>0</v>
      </c>
      <c r="E29" s="476">
        <v>0</v>
      </c>
      <c r="F29" s="476">
        <v>0</v>
      </c>
      <c r="G29" s="476">
        <v>0</v>
      </c>
      <c r="H29" s="476">
        <v>0</v>
      </c>
      <c r="I29" s="476">
        <v>0</v>
      </c>
      <c r="J29" s="476">
        <v>0</v>
      </c>
      <c r="K29" s="476">
        <v>0</v>
      </c>
      <c r="L29" s="476">
        <v>0</v>
      </c>
      <c r="M29" s="476">
        <v>0</v>
      </c>
      <c r="N29" s="476">
        <v>0</v>
      </c>
      <c r="O29" s="477">
        <f>SUM(C29:N29)</f>
        <v>0</v>
      </c>
      <c r="P29" s="477">
        <f>SUM(C29:K29)</f>
        <v>0</v>
      </c>
    </row>
    <row r="30" spans="2:16" ht="16" thickBot="1">
      <c r="B30" s="445"/>
      <c r="C30" s="470"/>
      <c r="D30" s="470"/>
      <c r="E30" s="470"/>
      <c r="F30" s="470"/>
      <c r="O30" s="470"/>
      <c r="P30" s="470"/>
    </row>
    <row r="31" spans="2:16" ht="16" thickBot="1">
      <c r="B31" s="1461" t="s">
        <v>611</v>
      </c>
      <c r="C31" s="1462">
        <f>SUM(+C27+C29)</f>
        <v>15</v>
      </c>
      <c r="D31" s="1462">
        <f>SUM(+D27+D29)</f>
        <v>30</v>
      </c>
      <c r="E31" s="1462">
        <f>SUM(+E27+E29)</f>
        <v>59</v>
      </c>
      <c r="F31" s="1462">
        <f>SUM(+F27+F29)</f>
        <v>8398</v>
      </c>
      <c r="G31" s="1462">
        <f>SUM(+G27+G29)</f>
        <v>49</v>
      </c>
      <c r="H31" s="1462">
        <f t="shared" ref="H31:N31" si="23">SUM(+H27+H29)</f>
        <v>15</v>
      </c>
      <c r="I31" s="1462">
        <f t="shared" si="23"/>
        <v>7517</v>
      </c>
      <c r="J31" s="1462">
        <f t="shared" si="23"/>
        <v>15</v>
      </c>
      <c r="K31" s="1462">
        <f t="shared" si="23"/>
        <v>0</v>
      </c>
      <c r="L31" s="1462">
        <f t="shared" si="23"/>
        <v>0</v>
      </c>
      <c r="M31" s="1462">
        <f t="shared" si="23"/>
        <v>0</v>
      </c>
      <c r="N31" s="1462">
        <f t="shared" si="23"/>
        <v>0</v>
      </c>
      <c r="O31" s="1462">
        <f>SUM(+O27+O29)</f>
        <v>16098</v>
      </c>
      <c r="P31" s="1462">
        <f>SUM(+P27+P29)</f>
        <v>16098</v>
      </c>
    </row>
    <row r="32" spans="2:16" ht="16" thickBot="1">
      <c r="B32" s="445"/>
      <c r="C32" s="470"/>
      <c r="D32" s="470"/>
      <c r="E32" s="470"/>
      <c r="F32" s="470"/>
      <c r="O32" s="470"/>
      <c r="P32" s="470"/>
    </row>
    <row r="33" spans="2:16" ht="16" thickBot="1">
      <c r="B33" s="478" t="s">
        <v>612</v>
      </c>
      <c r="C33" s="655">
        <f t="shared" ref="C33:K33" si="24">SUM(C22-C31)</f>
        <v>150438</v>
      </c>
      <c r="D33" s="655">
        <f t="shared" si="24"/>
        <v>241440.21</v>
      </c>
      <c r="E33" s="655">
        <f t="shared" si="24"/>
        <v>82798</v>
      </c>
      <c r="F33" s="655">
        <f t="shared" si="24"/>
        <v>159302</v>
      </c>
      <c r="G33" s="655">
        <f t="shared" si="24"/>
        <v>147424</v>
      </c>
      <c r="H33" s="655">
        <f t="shared" si="24"/>
        <v>57618</v>
      </c>
      <c r="I33" s="655">
        <f t="shared" si="24"/>
        <v>-10017</v>
      </c>
      <c r="J33" s="655">
        <f t="shared" si="24"/>
        <v>18985</v>
      </c>
      <c r="K33" s="655">
        <f t="shared" si="24"/>
        <v>-1000</v>
      </c>
      <c r="L33" s="655">
        <f t="shared" ref="L33:O33" si="25">SUM(L22-L31)</f>
        <v>-43411</v>
      </c>
      <c r="M33" s="655">
        <f t="shared" si="25"/>
        <v>-1000</v>
      </c>
      <c r="N33" s="655">
        <f t="shared" si="25"/>
        <v>-39625</v>
      </c>
      <c r="O33" s="655">
        <f t="shared" si="25"/>
        <v>762952.21</v>
      </c>
      <c r="P33" s="655">
        <f>SUM(P22-P31)</f>
        <v>846988.21</v>
      </c>
    </row>
    <row r="34" spans="2:16" ht="16" thickBot="1">
      <c r="B34" s="445"/>
      <c r="C34" s="423"/>
      <c r="D34" s="423"/>
      <c r="E34" s="423"/>
      <c r="F34" s="423"/>
      <c r="G34" s="423"/>
      <c r="H34" s="423"/>
      <c r="O34" s="470"/>
      <c r="P34" s="470"/>
    </row>
    <row r="35" spans="2:16" ht="16" thickBot="1">
      <c r="B35" s="474" t="s">
        <v>5</v>
      </c>
      <c r="C35" s="479"/>
      <c r="D35" s="461"/>
      <c r="E35" s="461"/>
      <c r="F35" s="461"/>
      <c r="O35" s="461"/>
      <c r="P35" s="461"/>
    </row>
    <row r="36" spans="2:16">
      <c r="B36" s="480" t="s">
        <v>731</v>
      </c>
      <c r="C36" s="481"/>
      <c r="D36" s="481"/>
      <c r="E36" s="482"/>
      <c r="F36" s="482"/>
      <c r="G36" s="482"/>
      <c r="H36" s="482"/>
      <c r="I36" s="482"/>
      <c r="J36" s="482"/>
      <c r="K36" s="482"/>
      <c r="L36" s="482"/>
      <c r="M36" s="482"/>
      <c r="N36" s="1737"/>
      <c r="O36" s="482">
        <f>SUM(C36:N36)</f>
        <v>0</v>
      </c>
      <c r="P36" s="482">
        <f>SUM(C36:J36)</f>
        <v>0</v>
      </c>
    </row>
    <row r="37" spans="2:16" ht="16" thickBot="1">
      <c r="B37" s="488" t="s">
        <v>1260</v>
      </c>
      <c r="C37" s="484"/>
      <c r="D37" s="487"/>
      <c r="E37" s="485"/>
      <c r="F37" s="485"/>
      <c r="G37" s="485"/>
      <c r="H37" s="485"/>
      <c r="I37" s="485"/>
      <c r="J37" s="485"/>
      <c r="K37" s="485"/>
      <c r="L37" s="485"/>
      <c r="M37" s="485"/>
      <c r="N37" s="1738"/>
      <c r="O37" s="485">
        <f>SUM(C37:N37)</f>
        <v>0</v>
      </c>
      <c r="P37" s="485">
        <f>SUM(C37:J37)</f>
        <v>0</v>
      </c>
    </row>
    <row r="38" spans="2:16" ht="16" thickBot="1">
      <c r="B38" s="493" t="s">
        <v>5</v>
      </c>
      <c r="C38" s="476">
        <f t="shared" ref="C38:O38" si="26">SUM(C36:C37)</f>
        <v>0</v>
      </c>
      <c r="D38" s="476">
        <f t="shared" si="26"/>
        <v>0</v>
      </c>
      <c r="E38" s="476">
        <f t="shared" si="26"/>
        <v>0</v>
      </c>
      <c r="F38" s="476">
        <f t="shared" si="26"/>
        <v>0</v>
      </c>
      <c r="G38" s="476">
        <f t="shared" si="26"/>
        <v>0</v>
      </c>
      <c r="H38" s="476">
        <f t="shared" ref="H38" si="27">SUM(H36:H37)</f>
        <v>0</v>
      </c>
      <c r="I38" s="476">
        <f t="shared" ref="I38:J38" si="28">SUM(I36:I37)</f>
        <v>0</v>
      </c>
      <c r="J38" s="476">
        <f t="shared" si="28"/>
        <v>0</v>
      </c>
      <c r="K38" s="476">
        <f t="shared" si="26"/>
        <v>0</v>
      </c>
      <c r="L38" s="476">
        <f t="shared" si="26"/>
        <v>0</v>
      </c>
      <c r="M38" s="476">
        <f t="shared" si="26"/>
        <v>0</v>
      </c>
      <c r="N38" s="476">
        <f t="shared" si="26"/>
        <v>0</v>
      </c>
      <c r="O38" s="1463">
        <f t="shared" si="26"/>
        <v>0</v>
      </c>
      <c r="P38" s="1463">
        <f>SUM(P36:P37)</f>
        <v>0</v>
      </c>
    </row>
    <row r="39" spans="2:16" ht="16" thickBot="1">
      <c r="B39" s="445"/>
      <c r="C39" s="461"/>
      <c r="D39" s="461"/>
      <c r="E39" s="461"/>
      <c r="F39" s="461"/>
      <c r="O39" s="461"/>
      <c r="P39" s="461"/>
    </row>
    <row r="40" spans="2:16" ht="16" thickBot="1">
      <c r="B40" s="462" t="s">
        <v>616</v>
      </c>
      <c r="C40" s="461"/>
      <c r="D40" s="461"/>
      <c r="E40" s="461"/>
      <c r="F40" s="461"/>
      <c r="O40" s="461"/>
      <c r="P40" s="461"/>
    </row>
    <row r="41" spans="2:16" ht="16" thickBot="1">
      <c r="B41" s="480" t="s">
        <v>15</v>
      </c>
      <c r="C41" s="550">
        <v>0</v>
      </c>
      <c r="D41" s="550">
        <v>0</v>
      </c>
      <c r="E41" s="551">
        <f>SUM(E160)</f>
        <v>0</v>
      </c>
      <c r="F41" s="551">
        <f>SUM(F160)</f>
        <v>0</v>
      </c>
      <c r="G41" s="551">
        <f>SUM(G160)</f>
        <v>0</v>
      </c>
      <c r="H41" s="551">
        <f t="shared" ref="H41" si="29">SUM(H160)</f>
        <v>0</v>
      </c>
      <c r="I41" s="551">
        <f t="shared" ref="I41:L41" si="30">SUM(I160)</f>
        <v>0</v>
      </c>
      <c r="J41" s="551">
        <f t="shared" si="30"/>
        <v>0</v>
      </c>
      <c r="K41" s="551">
        <f t="shared" si="30"/>
        <v>0</v>
      </c>
      <c r="L41" s="551">
        <f t="shared" si="30"/>
        <v>0</v>
      </c>
      <c r="M41" s="551">
        <f>SUM(M173)</f>
        <v>6408</v>
      </c>
      <c r="N41" s="1741">
        <f>SUM(V160)</f>
        <v>0</v>
      </c>
      <c r="O41" s="551">
        <f>SUM(C41:N41)</f>
        <v>6408</v>
      </c>
      <c r="P41" s="551">
        <f>SUM(C41:J41)</f>
        <v>0</v>
      </c>
    </row>
    <row r="42" spans="2:16" ht="16" thickBot="1">
      <c r="B42" s="560" t="s">
        <v>631</v>
      </c>
      <c r="C42" s="558">
        <f t="shared" ref="C42:O42" si="31">SUM(C41:C41)</f>
        <v>0</v>
      </c>
      <c r="D42" s="558">
        <f t="shared" si="31"/>
        <v>0</v>
      </c>
      <c r="E42" s="559">
        <f t="shared" si="31"/>
        <v>0</v>
      </c>
      <c r="F42" s="559">
        <f t="shared" si="31"/>
        <v>0</v>
      </c>
      <c r="G42" s="559">
        <f t="shared" si="31"/>
        <v>0</v>
      </c>
      <c r="H42" s="559">
        <f t="shared" ref="H42" si="32">SUM(H41:H41)</f>
        <v>0</v>
      </c>
      <c r="I42" s="559">
        <f t="shared" ref="I42:J42" si="33">SUM(I41:I41)</f>
        <v>0</v>
      </c>
      <c r="J42" s="559">
        <f t="shared" si="33"/>
        <v>0</v>
      </c>
      <c r="K42" s="559">
        <f t="shared" si="31"/>
        <v>0</v>
      </c>
      <c r="L42" s="559">
        <f t="shared" si="31"/>
        <v>0</v>
      </c>
      <c r="M42" s="559">
        <f t="shared" si="31"/>
        <v>6408</v>
      </c>
      <c r="N42" s="559">
        <f t="shared" si="31"/>
        <v>0</v>
      </c>
      <c r="O42" s="559">
        <f t="shared" si="31"/>
        <v>6408</v>
      </c>
      <c r="P42" s="559">
        <f>SUM(P41:P41)</f>
        <v>0</v>
      </c>
    </row>
    <row r="43" spans="2:16" ht="16" thickBot="1">
      <c r="B43" s="444"/>
      <c r="C43" s="444"/>
      <c r="D43" s="444"/>
      <c r="E43" s="444"/>
      <c r="F43" s="444"/>
      <c r="O43" s="444"/>
      <c r="P43" s="444"/>
    </row>
    <row r="44" spans="2:16" ht="16" thickBot="1">
      <c r="B44" s="496" t="s">
        <v>617</v>
      </c>
      <c r="C44" s="497"/>
      <c r="D44" s="446"/>
      <c r="E44" s="446"/>
      <c r="F44" s="446"/>
      <c r="O44" s="446"/>
      <c r="P44" s="446"/>
    </row>
    <row r="45" spans="2:16" ht="16" thickBot="1">
      <c r="B45" s="441" t="s">
        <v>1257</v>
      </c>
      <c r="C45" s="554"/>
      <c r="D45" s="555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>
        <f>SUM(C45:N45)</f>
        <v>0</v>
      </c>
      <c r="P45" s="556">
        <f>SUM(C45:J45)</f>
        <v>0</v>
      </c>
    </row>
    <row r="46" spans="2:16" ht="16" thickBot="1">
      <c r="B46" s="480" t="s">
        <v>1261</v>
      </c>
      <c r="C46" s="443"/>
      <c r="D46" s="443"/>
      <c r="E46" s="557"/>
      <c r="F46" s="557"/>
      <c r="G46" s="557">
        <f>+G181</f>
        <v>281858</v>
      </c>
      <c r="H46" s="557">
        <f t="shared" ref="H46" si="34">+H181</f>
        <v>0</v>
      </c>
      <c r="I46" s="557">
        <f t="shared" ref="I46:J46" si="35">+I181</f>
        <v>0</v>
      </c>
      <c r="J46" s="557">
        <f t="shared" si="35"/>
        <v>0</v>
      </c>
      <c r="K46" s="557">
        <f t="shared" ref="K46:M46" si="36">+K181</f>
        <v>0</v>
      </c>
      <c r="L46" s="557">
        <f t="shared" si="36"/>
        <v>110754</v>
      </c>
      <c r="M46" s="557">
        <f t="shared" si="36"/>
        <v>0</v>
      </c>
      <c r="N46" s="557">
        <f t="shared" ref="N46" si="37">+N181</f>
        <v>349514</v>
      </c>
      <c r="O46" s="557">
        <f>SUM(C46:N46)</f>
        <v>742126</v>
      </c>
      <c r="P46" s="557">
        <f>SUM(C46:K46)</f>
        <v>281858</v>
      </c>
    </row>
    <row r="47" spans="2:16" ht="16" thickBot="1">
      <c r="B47" s="560" t="s">
        <v>608</v>
      </c>
      <c r="C47" s="558">
        <f t="shared" ref="C47:P47" si="38">SUM(C45:C46)</f>
        <v>0</v>
      </c>
      <c r="D47" s="558">
        <f t="shared" si="38"/>
        <v>0</v>
      </c>
      <c r="E47" s="559">
        <f t="shared" si="38"/>
        <v>0</v>
      </c>
      <c r="F47" s="559">
        <f t="shared" si="38"/>
        <v>0</v>
      </c>
      <c r="G47" s="559">
        <f t="shared" si="38"/>
        <v>281858</v>
      </c>
      <c r="H47" s="559">
        <f t="shared" ref="H47" si="39">SUM(H45:H46)</f>
        <v>0</v>
      </c>
      <c r="I47" s="559">
        <f t="shared" ref="I47:J47" si="40">SUM(I45:I46)</f>
        <v>0</v>
      </c>
      <c r="J47" s="559">
        <f t="shared" si="40"/>
        <v>0</v>
      </c>
      <c r="K47" s="559">
        <f t="shared" si="38"/>
        <v>0</v>
      </c>
      <c r="L47" s="559">
        <f t="shared" si="38"/>
        <v>110754</v>
      </c>
      <c r="M47" s="559">
        <f t="shared" si="38"/>
        <v>0</v>
      </c>
      <c r="N47" s="559">
        <f t="shared" si="38"/>
        <v>349514</v>
      </c>
      <c r="O47" s="559">
        <f t="shared" si="38"/>
        <v>742126</v>
      </c>
      <c r="P47" s="559">
        <f t="shared" si="38"/>
        <v>281858</v>
      </c>
    </row>
    <row r="48" spans="2:16" ht="16" thickBot="1">
      <c r="B48" s="498"/>
      <c r="C48" s="499"/>
      <c r="D48" s="499"/>
      <c r="E48" s="499"/>
      <c r="F48" s="499"/>
      <c r="O48" s="499"/>
      <c r="P48" s="499"/>
    </row>
    <row r="49" spans="1:16" ht="16" thickBot="1">
      <c r="B49" s="475" t="s">
        <v>618</v>
      </c>
      <c r="C49" s="500">
        <f>SUM(C33+C38-C42-C47)</f>
        <v>150438</v>
      </c>
      <c r="D49" s="500">
        <f>SUM(D33+D38-D42-D47)</f>
        <v>241440.21</v>
      </c>
      <c r="E49" s="500">
        <f>SUM(E33+E38-E42-E47)</f>
        <v>82798</v>
      </c>
      <c r="F49" s="500">
        <f>SUM(F33+F38-F42-F47)</f>
        <v>159302</v>
      </c>
      <c r="G49" s="500">
        <f t="shared" ref="G49:O49" si="41">SUM(G33+G38-G42-G47)</f>
        <v>-134434</v>
      </c>
      <c r="H49" s="500">
        <f t="shared" si="41"/>
        <v>57618</v>
      </c>
      <c r="I49" s="500">
        <f t="shared" si="41"/>
        <v>-10017</v>
      </c>
      <c r="J49" s="500">
        <f t="shared" si="41"/>
        <v>18985</v>
      </c>
      <c r="K49" s="500">
        <f t="shared" si="41"/>
        <v>-1000</v>
      </c>
      <c r="L49" s="500">
        <f t="shared" si="41"/>
        <v>-154165</v>
      </c>
      <c r="M49" s="500">
        <f t="shared" si="41"/>
        <v>-7408</v>
      </c>
      <c r="N49" s="500">
        <f t="shared" si="41"/>
        <v>-389139</v>
      </c>
      <c r="O49" s="500">
        <f t="shared" si="41"/>
        <v>14418.209999999963</v>
      </c>
      <c r="P49" s="500">
        <f>SUM(P33+P38-P42-P47)</f>
        <v>565130.21</v>
      </c>
    </row>
    <row r="50" spans="1:16" ht="16" thickBot="1">
      <c r="B50" s="444"/>
      <c r="C50" s="446"/>
      <c r="D50" s="446"/>
      <c r="E50" s="446"/>
      <c r="F50" s="446"/>
      <c r="O50" s="446"/>
      <c r="P50" s="446"/>
    </row>
    <row r="51" spans="1:16" ht="16" thickBot="1">
      <c r="B51" s="475" t="s">
        <v>622</v>
      </c>
      <c r="C51" s="500">
        <f>SUM(C9+C49)</f>
        <v>205783</v>
      </c>
      <c r="D51" s="500">
        <f>SUM(D9+D49)</f>
        <v>447223.20999999996</v>
      </c>
      <c r="E51" s="500">
        <f>SUM(E9+E49)</f>
        <v>530021.21</v>
      </c>
      <c r="F51" s="500">
        <f>SUM(F9+F49)</f>
        <v>689323.21</v>
      </c>
      <c r="G51" s="500">
        <f>SUM(G9+G49)</f>
        <v>554889.21</v>
      </c>
      <c r="H51" s="500">
        <f t="shared" ref="H51:N51" si="42">SUM(G51+H49)</f>
        <v>612507.21</v>
      </c>
      <c r="I51" s="500">
        <f t="shared" si="42"/>
        <v>602490.21</v>
      </c>
      <c r="J51" s="500">
        <f t="shared" si="42"/>
        <v>621475.21</v>
      </c>
      <c r="K51" s="1938">
        <f>SUM(J51+K49)</f>
        <v>620475.21</v>
      </c>
      <c r="L51" s="500">
        <f t="shared" si="42"/>
        <v>466310.20999999996</v>
      </c>
      <c r="M51" s="500">
        <f t="shared" si="42"/>
        <v>458902.20999999996</v>
      </c>
      <c r="N51" s="500">
        <f t="shared" si="42"/>
        <v>69763.209999999963</v>
      </c>
      <c r="O51" s="500">
        <f>+O49+O9</f>
        <v>69763.209999999963</v>
      </c>
      <c r="P51" s="1938">
        <f>+P49+P9</f>
        <v>620475.21</v>
      </c>
    </row>
    <row r="52" spans="1:16">
      <c r="B52" s="448"/>
      <c r="C52" s="446">
        <f>+C201</f>
        <v>205783</v>
      </c>
      <c r="D52" s="446">
        <f>+D201</f>
        <v>447223.20999999996</v>
      </c>
      <c r="E52" s="446">
        <f>+E201</f>
        <v>530021.21</v>
      </c>
      <c r="F52" s="446">
        <f>+F201</f>
        <v>689323.21</v>
      </c>
      <c r="G52" s="446">
        <f>+G201</f>
        <v>554889.21</v>
      </c>
      <c r="H52" s="446">
        <f t="shared" ref="H52:L52" si="43">+H201</f>
        <v>612507.21</v>
      </c>
      <c r="I52" s="446">
        <f t="shared" si="43"/>
        <v>602490.21</v>
      </c>
      <c r="J52" s="446">
        <f t="shared" si="43"/>
        <v>621475.21</v>
      </c>
      <c r="K52" s="446">
        <f t="shared" si="43"/>
        <v>620475.21</v>
      </c>
      <c r="L52" s="446">
        <f t="shared" si="43"/>
        <v>466310.20999999996</v>
      </c>
      <c r="M52" s="446">
        <f t="shared" ref="M52:N52" si="44">+U201</f>
        <v>0</v>
      </c>
      <c r="N52" s="446">
        <f t="shared" si="44"/>
        <v>0</v>
      </c>
      <c r="O52" s="2"/>
    </row>
    <row r="53" spans="1:16">
      <c r="B53" s="448"/>
      <c r="C53" s="446">
        <f>SUM(C51-C52)</f>
        <v>0</v>
      </c>
      <c r="D53" s="446">
        <f>SUM(D51-D52)</f>
        <v>0</v>
      </c>
      <c r="E53" s="446">
        <f>SUM(E51-E52)</f>
        <v>0</v>
      </c>
      <c r="F53" s="446">
        <f>SUM(F51-F52)</f>
        <v>0</v>
      </c>
      <c r="G53" s="446">
        <f>SUM(G51-G52)</f>
        <v>0</v>
      </c>
      <c r="H53" s="446"/>
      <c r="I53" s="446"/>
      <c r="J53" s="446"/>
      <c r="K53" s="446"/>
      <c r="L53" s="446"/>
      <c r="M53" s="446"/>
      <c r="N53" s="446"/>
      <c r="O53" s="2"/>
    </row>
    <row r="54" spans="1:16">
      <c r="B54" s="501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</row>
    <row r="55" spans="1:16">
      <c r="B55" s="444"/>
      <c r="C55" s="444"/>
      <c r="D55" s="444"/>
      <c r="E55" s="444"/>
      <c r="P55" s="2"/>
    </row>
    <row r="56" spans="1:16">
      <c r="B56" s="448"/>
      <c r="C56" s="446"/>
      <c r="D56" s="446"/>
      <c r="E56" s="446"/>
    </row>
    <row r="57" spans="1:16">
      <c r="B57" s="448"/>
      <c r="C57" s="446"/>
      <c r="D57" s="656"/>
      <c r="E57" s="446">
        <f>SUM(E51-E52)</f>
        <v>0</v>
      </c>
    </row>
    <row r="62" spans="1:16">
      <c r="A62" s="657"/>
      <c r="B62" s="658" t="s">
        <v>536</v>
      </c>
      <c r="C62" s="659" t="s">
        <v>632</v>
      </c>
      <c r="D62" s="659" t="s">
        <v>632</v>
      </c>
      <c r="E62" s="659" t="s">
        <v>632</v>
      </c>
      <c r="F62" s="659" t="s">
        <v>632</v>
      </c>
      <c r="G62" s="659" t="s">
        <v>632</v>
      </c>
      <c r="H62" s="659" t="s">
        <v>632</v>
      </c>
      <c r="I62" s="659" t="s">
        <v>632</v>
      </c>
      <c r="J62" s="659" t="s">
        <v>632</v>
      </c>
      <c r="K62" s="659" t="s">
        <v>632</v>
      </c>
      <c r="L62" s="659" t="s">
        <v>632</v>
      </c>
      <c r="M62" s="659" t="s">
        <v>632</v>
      </c>
      <c r="N62" s="659" t="s">
        <v>632</v>
      </c>
      <c r="O62" s="659" t="s">
        <v>632</v>
      </c>
    </row>
    <row r="63" spans="1:16">
      <c r="A63" s="721"/>
      <c r="B63" s="658" t="s">
        <v>148</v>
      </c>
      <c r="C63" s="657"/>
      <c r="D63" s="657"/>
      <c r="E63" s="657"/>
      <c r="F63" s="657"/>
      <c r="G63" s="657"/>
      <c r="H63" s="657"/>
      <c r="I63" s="657"/>
      <c r="J63" s="657"/>
      <c r="K63" s="657"/>
      <c r="L63" s="657"/>
      <c r="M63" s="657"/>
      <c r="N63" s="657"/>
      <c r="O63" s="657"/>
    </row>
    <row r="64" spans="1:16" ht="16" thickBot="1">
      <c r="A64" s="657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</row>
    <row r="65" spans="1:15" ht="16" thickBot="1">
      <c r="A65" s="657"/>
      <c r="B65" s="662"/>
      <c r="C65" s="663">
        <v>45658</v>
      </c>
      <c r="D65" s="663">
        <v>45689</v>
      </c>
      <c r="E65" s="663">
        <v>45717</v>
      </c>
      <c r="F65" s="663">
        <v>45748</v>
      </c>
      <c r="G65" s="663">
        <v>45778</v>
      </c>
      <c r="H65" s="663">
        <v>45809</v>
      </c>
      <c r="I65" s="663">
        <v>45839</v>
      </c>
      <c r="J65" s="663">
        <v>45870</v>
      </c>
      <c r="K65" s="663">
        <v>45901</v>
      </c>
      <c r="L65" s="663">
        <v>45931</v>
      </c>
      <c r="M65" s="663">
        <v>45962</v>
      </c>
      <c r="N65" s="663">
        <v>45992</v>
      </c>
      <c r="O65" s="663">
        <v>45778</v>
      </c>
    </row>
    <row r="66" spans="1:15" ht="16" thickBot="1">
      <c r="A66" s="657"/>
      <c r="B66" s="664" t="s">
        <v>634</v>
      </c>
      <c r="C66" s="665">
        <v>55345</v>
      </c>
      <c r="D66" s="665">
        <f t="shared" ref="D66:N66" si="45">C201</f>
        <v>205783</v>
      </c>
      <c r="E66" s="665">
        <f t="shared" si="45"/>
        <v>447223.20999999996</v>
      </c>
      <c r="F66" s="665">
        <f t="shared" si="45"/>
        <v>530021.21</v>
      </c>
      <c r="G66" s="665">
        <f t="shared" si="45"/>
        <v>689323.21</v>
      </c>
      <c r="H66" s="665">
        <f t="shared" si="45"/>
        <v>554889.21</v>
      </c>
      <c r="I66" s="665">
        <f t="shared" si="45"/>
        <v>612507.21</v>
      </c>
      <c r="J66" s="665">
        <f t="shared" si="45"/>
        <v>602490.21</v>
      </c>
      <c r="K66" s="665">
        <f t="shared" si="45"/>
        <v>621475.21</v>
      </c>
      <c r="L66" s="665">
        <f t="shared" si="45"/>
        <v>620475.21</v>
      </c>
      <c r="M66" s="665">
        <f t="shared" si="45"/>
        <v>466310.20999999996</v>
      </c>
      <c r="N66" s="665">
        <f t="shared" si="45"/>
        <v>458902.20999999996</v>
      </c>
      <c r="O66" s="665"/>
    </row>
    <row r="67" spans="1:15" ht="16" thickBot="1">
      <c r="A67" s="657"/>
      <c r="B67" s="666"/>
      <c r="C67" s="667"/>
      <c r="D67" s="667"/>
      <c r="E67" s="667"/>
      <c r="F67" s="667"/>
      <c r="G67" s="667"/>
      <c r="H67" s="667"/>
      <c r="I67" s="667"/>
      <c r="J67" s="667"/>
      <c r="K67" s="667"/>
      <c r="L67" s="667"/>
      <c r="M67" s="667"/>
      <c r="N67" s="667"/>
      <c r="O67" s="667"/>
    </row>
    <row r="68" spans="1:15" ht="16" thickBot="1">
      <c r="A68" s="662"/>
      <c r="B68" s="722" t="s">
        <v>743</v>
      </c>
      <c r="C68" s="723">
        <f t="shared" ref="C68:N68" si="46">C65</f>
        <v>45658</v>
      </c>
      <c r="D68" s="723">
        <f t="shared" si="46"/>
        <v>45689</v>
      </c>
      <c r="E68" s="723">
        <f t="shared" si="46"/>
        <v>45717</v>
      </c>
      <c r="F68" s="723">
        <f t="shared" si="46"/>
        <v>45748</v>
      </c>
      <c r="G68" s="723">
        <f t="shared" si="46"/>
        <v>45778</v>
      </c>
      <c r="H68" s="723">
        <f t="shared" si="46"/>
        <v>45809</v>
      </c>
      <c r="I68" s="723">
        <f t="shared" si="46"/>
        <v>45839</v>
      </c>
      <c r="J68" s="723">
        <f t="shared" si="46"/>
        <v>45870</v>
      </c>
      <c r="K68" s="723">
        <f t="shared" si="46"/>
        <v>45901</v>
      </c>
      <c r="L68" s="723">
        <f t="shared" si="46"/>
        <v>45931</v>
      </c>
      <c r="M68" s="723">
        <f t="shared" si="46"/>
        <v>45962</v>
      </c>
      <c r="N68" s="723">
        <f t="shared" si="46"/>
        <v>45992</v>
      </c>
      <c r="O68" s="723">
        <f>O65</f>
        <v>45778</v>
      </c>
    </row>
    <row r="69" spans="1:15" ht="16">
      <c r="A69" s="662"/>
      <c r="B69" s="724" t="s">
        <v>22</v>
      </c>
      <c r="C69" s="725" t="s">
        <v>444</v>
      </c>
      <c r="D69" s="725" t="s">
        <v>444</v>
      </c>
      <c r="E69" s="725" t="s">
        <v>444</v>
      </c>
      <c r="F69" s="725" t="s">
        <v>444</v>
      </c>
      <c r="G69" s="725" t="s">
        <v>444</v>
      </c>
      <c r="H69" s="725" t="s">
        <v>444</v>
      </c>
      <c r="I69" s="729" t="s">
        <v>444</v>
      </c>
      <c r="J69" s="725" t="s">
        <v>444</v>
      </c>
      <c r="K69" s="725" t="s">
        <v>444</v>
      </c>
      <c r="L69" s="725" t="s">
        <v>444</v>
      </c>
      <c r="M69" s="725" t="s">
        <v>444</v>
      </c>
      <c r="N69" s="725" t="s">
        <v>444</v>
      </c>
      <c r="O69" s="725" t="s">
        <v>444</v>
      </c>
    </row>
    <row r="70" spans="1:15">
      <c r="A70" s="662">
        <v>1</v>
      </c>
      <c r="B70" s="668" t="s">
        <v>849</v>
      </c>
      <c r="C70" s="669"/>
      <c r="D70" s="670"/>
      <c r="E70" s="671">
        <v>28545</v>
      </c>
      <c r="F70" s="672"/>
      <c r="G70" s="671"/>
      <c r="H70" s="671"/>
      <c r="I70" s="673"/>
      <c r="J70" s="671"/>
      <c r="K70" s="671"/>
      <c r="L70" s="671"/>
      <c r="M70" s="671"/>
      <c r="N70" s="1456"/>
      <c r="O70" s="1491"/>
    </row>
    <row r="71" spans="1:15">
      <c r="A71" s="662">
        <v>2</v>
      </c>
      <c r="B71" s="668" t="s">
        <v>744</v>
      </c>
      <c r="C71" s="671">
        <v>37712</v>
      </c>
      <c r="D71" s="671"/>
      <c r="E71" s="671"/>
      <c r="F71" s="672"/>
      <c r="G71" s="671"/>
      <c r="H71" s="671"/>
      <c r="I71" s="671"/>
      <c r="J71" s="671"/>
      <c r="K71" s="671"/>
      <c r="L71" s="671"/>
      <c r="M71" s="671"/>
      <c r="N71" s="1456"/>
      <c r="O71" s="1491"/>
    </row>
    <row r="72" spans="1:15">
      <c r="A72" s="662">
        <v>3</v>
      </c>
      <c r="B72" s="668" t="s">
        <v>745</v>
      </c>
      <c r="C72" s="671">
        <v>112741</v>
      </c>
      <c r="D72" s="671"/>
      <c r="E72" s="671"/>
      <c r="F72" s="672"/>
      <c r="G72" s="671"/>
      <c r="H72" s="671"/>
      <c r="I72" s="671"/>
      <c r="J72" s="671"/>
      <c r="K72" s="671"/>
      <c r="L72" s="671"/>
      <c r="M72" s="671"/>
      <c r="N72" s="1456"/>
      <c r="O72" s="1491"/>
    </row>
    <row r="73" spans="1:15">
      <c r="A73" s="662">
        <v>4</v>
      </c>
      <c r="B73" s="668" t="s">
        <v>746</v>
      </c>
      <c r="C73" s="671"/>
      <c r="D73" s="671">
        <v>80209.399999999994</v>
      </c>
      <c r="E73" s="671"/>
      <c r="F73" s="675"/>
      <c r="G73" s="671"/>
      <c r="H73" s="671"/>
      <c r="I73" s="671"/>
      <c r="J73" s="671"/>
      <c r="K73" s="671"/>
      <c r="L73" s="671"/>
      <c r="M73" s="671"/>
      <c r="N73" s="1456"/>
      <c r="O73" s="1492"/>
    </row>
    <row r="74" spans="1:15">
      <c r="A74" s="662">
        <v>5</v>
      </c>
      <c r="B74" s="668" t="s">
        <v>747</v>
      </c>
      <c r="C74" s="671"/>
      <c r="D74" s="671">
        <v>66627.81</v>
      </c>
      <c r="E74" s="671"/>
      <c r="F74" s="675"/>
      <c r="G74" s="671"/>
      <c r="H74" s="671"/>
      <c r="I74" s="671"/>
      <c r="J74" s="671"/>
      <c r="K74" s="671"/>
      <c r="L74" s="671"/>
      <c r="M74" s="671"/>
      <c r="N74" s="1456"/>
      <c r="O74" s="1492"/>
    </row>
    <row r="75" spans="1:15">
      <c r="A75" s="662">
        <v>6</v>
      </c>
      <c r="B75" s="668" t="s">
        <v>748</v>
      </c>
      <c r="C75" s="671"/>
      <c r="D75" s="671">
        <v>96628</v>
      </c>
      <c r="E75" s="671"/>
      <c r="F75" s="672"/>
      <c r="G75" s="671"/>
      <c r="H75" s="671"/>
      <c r="I75" s="671"/>
      <c r="J75" s="671"/>
      <c r="K75" s="671"/>
      <c r="L75" s="671"/>
      <c r="M75" s="671"/>
      <c r="N75" s="1456"/>
      <c r="O75" s="1491"/>
    </row>
    <row r="76" spans="1:15">
      <c r="A76" s="662"/>
      <c r="B76" s="668" t="s">
        <v>850</v>
      </c>
      <c r="C76" s="671"/>
      <c r="D76" s="671"/>
      <c r="E76" s="671"/>
      <c r="F76" s="738">
        <v>84975</v>
      </c>
      <c r="G76" s="671"/>
      <c r="H76" s="671"/>
      <c r="I76" s="671"/>
      <c r="J76" s="671"/>
      <c r="K76" s="671"/>
      <c r="L76" s="671"/>
      <c r="M76" s="671"/>
      <c r="N76" s="1456"/>
      <c r="O76" s="1492"/>
    </row>
    <row r="77" spans="1:15">
      <c r="A77" s="662"/>
      <c r="B77" s="970" t="s">
        <v>1015</v>
      </c>
      <c r="C77" s="671"/>
      <c r="D77" s="671"/>
      <c r="E77" s="671">
        <v>112981</v>
      </c>
      <c r="F77" s="675"/>
      <c r="G77" s="671"/>
      <c r="H77" s="671"/>
      <c r="I77" s="671"/>
      <c r="J77" s="671"/>
      <c r="K77" s="671"/>
      <c r="L77" s="671"/>
      <c r="M77" s="671"/>
      <c r="N77" s="1456"/>
      <c r="O77" s="1492"/>
    </row>
    <row r="78" spans="1:15">
      <c r="A78" s="662"/>
      <c r="B78" s="2243" t="s">
        <v>994</v>
      </c>
      <c r="C78" s="2244"/>
      <c r="D78" s="2244"/>
      <c r="E78" s="2244"/>
      <c r="F78" s="2244">
        <v>84225</v>
      </c>
      <c r="G78" s="2244"/>
      <c r="H78" s="671"/>
      <c r="I78" s="671"/>
      <c r="J78" s="671"/>
      <c r="K78" s="671"/>
      <c r="L78" s="671"/>
      <c r="M78" s="671"/>
      <c r="N78" s="1456"/>
      <c r="O78" s="1493"/>
    </row>
    <row r="79" spans="1:15">
      <c r="A79" s="662"/>
      <c r="B79" s="2235" t="s">
        <v>1286</v>
      </c>
      <c r="C79" s="2233"/>
      <c r="D79" s="2233"/>
      <c r="E79" s="2233"/>
      <c r="F79" s="2236"/>
      <c r="G79" s="2233">
        <v>101319</v>
      </c>
      <c r="H79" s="2234"/>
      <c r="I79" s="2234"/>
      <c r="J79" s="2234"/>
      <c r="K79" s="2234"/>
      <c r="L79" s="671"/>
      <c r="M79" s="671"/>
      <c r="N79" s="1456"/>
      <c r="O79" s="1493"/>
    </row>
    <row r="80" spans="1:15">
      <c r="A80" s="662"/>
      <c r="B80" s="2235" t="s">
        <v>1259</v>
      </c>
      <c r="C80" s="2233"/>
      <c r="D80" s="2233"/>
      <c r="E80" s="2233"/>
      <c r="F80" s="2237"/>
      <c r="G80" s="2233">
        <v>33475</v>
      </c>
      <c r="H80" s="2234"/>
      <c r="I80" s="2234"/>
      <c r="J80" s="2234"/>
      <c r="K80" s="2234"/>
      <c r="L80" s="671"/>
      <c r="M80" s="671"/>
      <c r="N80" s="1456"/>
      <c r="O80" s="1493"/>
    </row>
    <row r="81" spans="1:15">
      <c r="A81" s="662"/>
      <c r="B81" s="2235" t="s">
        <v>1287</v>
      </c>
      <c r="C81" s="2234"/>
      <c r="D81" s="2234"/>
      <c r="E81" s="2234"/>
      <c r="F81" s="2234"/>
      <c r="G81" s="2234">
        <v>60296</v>
      </c>
      <c r="H81" s="2234"/>
      <c r="I81" s="2234"/>
      <c r="J81" s="2234"/>
      <c r="K81" s="2234"/>
      <c r="L81" s="671"/>
      <c r="M81" s="671"/>
      <c r="N81" s="1456"/>
      <c r="O81" s="1493"/>
    </row>
    <row r="82" spans="1:15">
      <c r="A82" s="662"/>
      <c r="B82" s="2238" t="s">
        <v>1377</v>
      </c>
      <c r="C82" s="2234"/>
      <c r="D82" s="2234"/>
      <c r="E82" s="2234"/>
      <c r="F82" s="2234"/>
      <c r="G82" s="2234"/>
      <c r="H82" s="2234">
        <v>13996</v>
      </c>
      <c r="I82" s="2234"/>
      <c r="J82" s="2234"/>
      <c r="K82" s="2234"/>
      <c r="L82" s="671"/>
      <c r="M82" s="671"/>
      <c r="N82" s="1456"/>
      <c r="O82" s="1493"/>
    </row>
    <row r="83" spans="1:15">
      <c r="A83" s="662"/>
      <c r="B83" s="2238" t="s">
        <v>1376</v>
      </c>
      <c r="C83" s="2234"/>
      <c r="D83" s="2234"/>
      <c r="E83" s="2234"/>
      <c r="F83" s="2234"/>
      <c r="G83" s="2234"/>
      <c r="H83" s="2234">
        <v>47800</v>
      </c>
      <c r="I83" s="2234"/>
      <c r="J83" s="2234"/>
      <c r="K83" s="2234"/>
      <c r="L83" s="671"/>
      <c r="M83" s="671"/>
      <c r="N83" s="1456"/>
      <c r="O83" s="1493"/>
    </row>
    <row r="84" spans="1:15">
      <c r="A84" s="662"/>
      <c r="B84" s="2239" t="s">
        <v>1505</v>
      </c>
      <c r="C84" s="2234"/>
      <c r="D84" s="2234"/>
      <c r="E84" s="2234"/>
      <c r="F84" s="2240"/>
      <c r="G84" s="2234"/>
      <c r="H84" s="2234"/>
      <c r="I84" s="2234"/>
      <c r="J84" s="2234"/>
      <c r="K84" s="2234"/>
      <c r="L84" s="671"/>
      <c r="M84" s="2234"/>
      <c r="N84" s="1456"/>
      <c r="O84" s="1491"/>
    </row>
    <row r="85" spans="1:15">
      <c r="A85" s="662"/>
      <c r="B85" s="2239" t="s">
        <v>1506</v>
      </c>
      <c r="C85" s="2234"/>
      <c r="D85" s="2234"/>
      <c r="E85" s="2234"/>
      <c r="F85" s="2241"/>
      <c r="G85" s="2234"/>
      <c r="H85" s="2234"/>
      <c r="I85" s="2234"/>
      <c r="J85" s="2234"/>
      <c r="K85" s="2234"/>
      <c r="L85" s="671"/>
      <c r="M85" s="2234"/>
      <c r="N85" s="1456"/>
      <c r="O85" s="1492"/>
    </row>
    <row r="86" spans="1:15">
      <c r="A86" s="662"/>
      <c r="B86" s="2239" t="s">
        <v>1507</v>
      </c>
      <c r="C86" s="2234"/>
      <c r="D86" s="2234"/>
      <c r="E86" s="2234"/>
      <c r="F86" s="2241"/>
      <c r="G86" s="2234"/>
      <c r="H86" s="2234"/>
      <c r="I86" s="2234"/>
      <c r="J86" s="2234"/>
      <c r="K86" s="2234"/>
      <c r="L86" s="671"/>
      <c r="M86" s="2234"/>
      <c r="N86" s="1456"/>
      <c r="O86" s="1492"/>
    </row>
    <row r="87" spans="1:15">
      <c r="A87" s="662"/>
      <c r="B87" s="2239" t="s">
        <v>1508</v>
      </c>
      <c r="C87" s="2234"/>
      <c r="D87" s="2234"/>
      <c r="E87" s="2234"/>
      <c r="F87" s="2240"/>
      <c r="G87" s="2234"/>
      <c r="H87" s="2234"/>
      <c r="I87" s="2234"/>
      <c r="J87" s="2234">
        <v>20000</v>
      </c>
      <c r="K87" s="2234"/>
      <c r="L87" s="2234"/>
      <c r="M87" s="671"/>
      <c r="N87" s="1456"/>
      <c r="O87" s="1491"/>
    </row>
    <row r="88" spans="1:15">
      <c r="A88" s="662"/>
      <c r="B88" s="2242" t="s">
        <v>1698</v>
      </c>
      <c r="C88" s="2234"/>
      <c r="D88" s="2234"/>
      <c r="E88" s="2234"/>
      <c r="F88" s="2241"/>
      <c r="G88" s="2234"/>
      <c r="H88" s="2234"/>
      <c r="I88" s="2234"/>
      <c r="J88" s="2234"/>
      <c r="K88" s="2234"/>
      <c r="L88" s="2234">
        <v>45000</v>
      </c>
      <c r="M88" s="671"/>
      <c r="N88" s="1456"/>
      <c r="O88" s="1492"/>
    </row>
    <row r="89" spans="1:15">
      <c r="A89" s="2388"/>
      <c r="B89" s="2389" t="s">
        <v>1861</v>
      </c>
      <c r="C89" s="2390"/>
      <c r="D89" s="2390"/>
      <c r="E89" s="2390"/>
      <c r="F89" s="2391"/>
      <c r="G89" s="2390"/>
      <c r="H89" s="2390"/>
      <c r="I89" s="2390"/>
      <c r="J89" s="2390"/>
      <c r="K89" s="2390"/>
      <c r="L89" s="2390"/>
      <c r="M89" s="2392"/>
      <c r="N89" s="2392"/>
      <c r="O89" s="2393"/>
    </row>
    <row r="90" spans="1:15">
      <c r="A90" s="2462"/>
      <c r="B90" s="2389" t="s">
        <v>1925</v>
      </c>
      <c r="C90" s="2390"/>
      <c r="D90" s="2390"/>
      <c r="E90" s="2390"/>
      <c r="F90" s="2391"/>
      <c r="G90" s="2390"/>
      <c r="H90" s="2390"/>
      <c r="I90" s="2390"/>
      <c r="J90" s="2390"/>
      <c r="K90" s="2390"/>
      <c r="L90" s="2390"/>
      <c r="M90" s="2392"/>
      <c r="N90" s="2392">
        <v>74044</v>
      </c>
      <c r="O90" s="2393"/>
    </row>
    <row r="91" spans="1:15">
      <c r="A91" s="2462"/>
      <c r="B91" s="2389" t="s">
        <v>1926</v>
      </c>
      <c r="C91" s="2390"/>
      <c r="D91" s="2390"/>
      <c r="E91" s="2390"/>
      <c r="F91" s="2391"/>
      <c r="G91" s="2390"/>
      <c r="H91" s="2390"/>
      <c r="I91" s="2390"/>
      <c r="J91" s="2390"/>
      <c r="K91" s="2390"/>
      <c r="L91" s="2390"/>
      <c r="M91" s="2392"/>
      <c r="N91" s="2392">
        <v>52666</v>
      </c>
      <c r="O91" s="2393"/>
    </row>
    <row r="92" spans="1:15">
      <c r="A92" s="662"/>
      <c r="B92" s="792" t="s">
        <v>1862</v>
      </c>
      <c r="C92" s="671"/>
      <c r="D92" s="671"/>
      <c r="E92" s="671"/>
      <c r="F92" s="675"/>
      <c r="G92" s="671"/>
      <c r="H92" s="671"/>
      <c r="I92" s="671"/>
      <c r="J92" s="671"/>
      <c r="K92" s="671"/>
      <c r="L92" s="671"/>
      <c r="M92" s="671"/>
      <c r="N92" s="1456"/>
      <c r="O92" s="1492"/>
    </row>
    <row r="93" spans="1:15">
      <c r="A93" s="2462"/>
      <c r="B93" s="2463" t="s">
        <v>1900</v>
      </c>
      <c r="C93" s="2464"/>
      <c r="D93" s="2464"/>
      <c r="E93" s="2464"/>
      <c r="F93" s="2465"/>
      <c r="G93" s="2464"/>
      <c r="H93" s="2464"/>
      <c r="I93" s="2464"/>
      <c r="J93" s="2464"/>
      <c r="K93" s="2464"/>
      <c r="L93" s="2464"/>
      <c r="M93" s="2464"/>
      <c r="N93" s="2464">
        <v>52075</v>
      </c>
      <c r="O93" s="2465"/>
    </row>
    <row r="94" spans="1:15" ht="16" thickBot="1">
      <c r="A94" s="726"/>
      <c r="B94" s="727" t="s">
        <v>749</v>
      </c>
      <c r="C94" s="728">
        <f>SUM(C70:C92)</f>
        <v>150453</v>
      </c>
      <c r="D94" s="728">
        <f t="shared" ref="D94:M94" si="47">SUM(D70:D92)</f>
        <v>243465.21</v>
      </c>
      <c r="E94" s="728">
        <f t="shared" si="47"/>
        <v>141526</v>
      </c>
      <c r="F94" s="728">
        <f t="shared" si="47"/>
        <v>169200</v>
      </c>
      <c r="G94" s="728">
        <f t="shared" si="47"/>
        <v>195090</v>
      </c>
      <c r="H94" s="728">
        <f t="shared" si="47"/>
        <v>61796</v>
      </c>
      <c r="I94" s="728">
        <f t="shared" si="47"/>
        <v>0</v>
      </c>
      <c r="J94" s="728">
        <f t="shared" si="47"/>
        <v>20000</v>
      </c>
      <c r="K94" s="728">
        <f t="shared" si="47"/>
        <v>0</v>
      </c>
      <c r="L94" s="728">
        <f t="shared" si="47"/>
        <v>45000</v>
      </c>
      <c r="M94" s="728">
        <f t="shared" si="47"/>
        <v>0</v>
      </c>
      <c r="N94" s="728">
        <f>SUM(N70:N93)</f>
        <v>178785</v>
      </c>
      <c r="O94" s="728">
        <f>SUM(O70:O92)</f>
        <v>0</v>
      </c>
    </row>
    <row r="95" spans="1:15">
      <c r="A95" s="657"/>
      <c r="B95" s="676"/>
      <c r="C95" s="677"/>
      <c r="D95" s="677"/>
      <c r="E95" s="677"/>
      <c r="F95" s="677"/>
      <c r="G95" s="677"/>
      <c r="H95" s="677"/>
      <c r="I95" s="677"/>
      <c r="J95" s="677"/>
      <c r="K95" s="678"/>
      <c r="L95" s="678"/>
      <c r="M95" s="678"/>
      <c r="N95" s="678"/>
      <c r="O95" s="677"/>
    </row>
    <row r="96" spans="1:15" ht="16" thickBot="1">
      <c r="A96" s="657"/>
      <c r="B96" s="679"/>
      <c r="C96" s="661"/>
      <c r="D96" s="661"/>
      <c r="E96" s="661"/>
      <c r="F96" s="661"/>
      <c r="G96" s="661"/>
      <c r="H96" s="661"/>
      <c r="I96" s="661"/>
      <c r="J96" s="661"/>
      <c r="K96" s="661"/>
      <c r="L96" s="661"/>
      <c r="M96" s="661"/>
      <c r="N96" s="661"/>
      <c r="O96" s="661"/>
    </row>
    <row r="97" spans="1:15" ht="16" thickBot="1">
      <c r="A97" s="662"/>
      <c r="B97" s="722" t="s">
        <v>32</v>
      </c>
      <c r="C97" s="723">
        <f t="shared" ref="C97:N97" si="48">C65</f>
        <v>45658</v>
      </c>
      <c r="D97" s="723">
        <f t="shared" si="48"/>
        <v>45689</v>
      </c>
      <c r="E97" s="723">
        <f t="shared" si="48"/>
        <v>45717</v>
      </c>
      <c r="F97" s="723">
        <f t="shared" si="48"/>
        <v>45748</v>
      </c>
      <c r="G97" s="723">
        <f t="shared" si="48"/>
        <v>45778</v>
      </c>
      <c r="H97" s="723">
        <f t="shared" si="48"/>
        <v>45809</v>
      </c>
      <c r="I97" s="723">
        <f t="shared" si="48"/>
        <v>45839</v>
      </c>
      <c r="J97" s="723">
        <f t="shared" si="48"/>
        <v>45870</v>
      </c>
      <c r="K97" s="723">
        <f t="shared" si="48"/>
        <v>45901</v>
      </c>
      <c r="L97" s="723">
        <f t="shared" si="48"/>
        <v>45931</v>
      </c>
      <c r="M97" s="723">
        <f t="shared" si="48"/>
        <v>45962</v>
      </c>
      <c r="N97" s="723">
        <f t="shared" si="48"/>
        <v>45992</v>
      </c>
      <c r="O97" s="723">
        <f>O65</f>
        <v>45778</v>
      </c>
    </row>
    <row r="98" spans="1:15" ht="16">
      <c r="A98" s="662"/>
      <c r="B98" s="724" t="s">
        <v>22</v>
      </c>
      <c r="C98" s="725" t="s">
        <v>444</v>
      </c>
      <c r="D98" s="725" t="s">
        <v>444</v>
      </c>
      <c r="E98" s="725" t="s">
        <v>444</v>
      </c>
      <c r="F98" s="725" t="s">
        <v>444</v>
      </c>
      <c r="G98" s="725" t="s">
        <v>444</v>
      </c>
      <c r="H98" s="725" t="s">
        <v>444</v>
      </c>
      <c r="I98" s="725" t="s">
        <v>444</v>
      </c>
      <c r="J98" s="725" t="s">
        <v>444</v>
      </c>
      <c r="K98" s="725" t="s">
        <v>444</v>
      </c>
      <c r="L98" s="725" t="s">
        <v>444</v>
      </c>
      <c r="M98" s="725" t="s">
        <v>444</v>
      </c>
      <c r="N98" s="725" t="s">
        <v>444</v>
      </c>
      <c r="O98" s="725" t="s">
        <v>444</v>
      </c>
    </row>
    <row r="99" spans="1:15">
      <c r="A99" s="662"/>
      <c r="B99" s="680" t="s">
        <v>750</v>
      </c>
      <c r="C99" s="671"/>
      <c r="D99" s="671"/>
      <c r="E99" s="671"/>
      <c r="F99" s="671"/>
      <c r="G99" s="671"/>
      <c r="H99" s="671"/>
      <c r="I99" s="671"/>
      <c r="J99" s="671"/>
      <c r="K99" s="671"/>
      <c r="L99" s="671"/>
      <c r="M99" s="671"/>
      <c r="N99" s="674"/>
      <c r="O99" s="671"/>
    </row>
    <row r="100" spans="1:15">
      <c r="A100" s="662"/>
      <c r="B100" s="680" t="s">
        <v>646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2"/>
      <c r="O100" s="681"/>
    </row>
    <row r="101" spans="1:15" ht="16" thickBot="1">
      <c r="A101" s="662"/>
      <c r="B101" s="727" t="s">
        <v>31</v>
      </c>
      <c r="C101" s="728">
        <f t="shared" ref="C101:N101" si="49">SUM(C99:C100)</f>
        <v>0</v>
      </c>
      <c r="D101" s="728">
        <f t="shared" si="49"/>
        <v>0</v>
      </c>
      <c r="E101" s="728">
        <f t="shared" si="49"/>
        <v>0</v>
      </c>
      <c r="F101" s="728">
        <f t="shared" si="49"/>
        <v>0</v>
      </c>
      <c r="G101" s="728">
        <f t="shared" si="49"/>
        <v>0</v>
      </c>
      <c r="H101" s="728">
        <f t="shared" si="49"/>
        <v>0</v>
      </c>
      <c r="I101" s="728">
        <f t="shared" si="49"/>
        <v>0</v>
      </c>
      <c r="J101" s="728">
        <f t="shared" si="49"/>
        <v>0</v>
      </c>
      <c r="K101" s="728">
        <f t="shared" si="49"/>
        <v>0</v>
      </c>
      <c r="L101" s="728">
        <f t="shared" si="49"/>
        <v>0</v>
      </c>
      <c r="M101" s="728">
        <f t="shared" si="49"/>
        <v>0</v>
      </c>
      <c r="N101" s="728">
        <f t="shared" si="49"/>
        <v>0</v>
      </c>
      <c r="O101" s="728">
        <f>SUM(O99:O100)</f>
        <v>0</v>
      </c>
    </row>
    <row r="102" spans="1:15" ht="16" thickBot="1">
      <c r="A102" s="657"/>
      <c r="B102" s="683"/>
      <c r="C102" s="667"/>
      <c r="D102" s="667"/>
      <c r="E102" s="667"/>
      <c r="F102" s="667"/>
      <c r="G102" s="667"/>
      <c r="H102" s="667"/>
      <c r="I102" s="667"/>
      <c r="J102" s="667"/>
      <c r="K102" s="667"/>
      <c r="L102" s="667"/>
      <c r="M102" s="667"/>
      <c r="N102" s="667"/>
      <c r="O102" s="667"/>
    </row>
    <row r="103" spans="1:15" ht="16" thickBot="1">
      <c r="A103" s="662"/>
      <c r="B103" s="722" t="s">
        <v>751</v>
      </c>
      <c r="C103" s="723">
        <f t="shared" ref="C103:N103" si="50">C65</f>
        <v>45658</v>
      </c>
      <c r="D103" s="723">
        <f t="shared" si="50"/>
        <v>45689</v>
      </c>
      <c r="E103" s="723">
        <f t="shared" si="50"/>
        <v>45717</v>
      </c>
      <c r="F103" s="723">
        <f t="shared" si="50"/>
        <v>45748</v>
      </c>
      <c r="G103" s="723">
        <f t="shared" si="50"/>
        <v>45778</v>
      </c>
      <c r="H103" s="723">
        <f t="shared" si="50"/>
        <v>45809</v>
      </c>
      <c r="I103" s="723">
        <f t="shared" si="50"/>
        <v>45839</v>
      </c>
      <c r="J103" s="723">
        <f t="shared" si="50"/>
        <v>45870</v>
      </c>
      <c r="K103" s="723">
        <f t="shared" si="50"/>
        <v>45901</v>
      </c>
      <c r="L103" s="723">
        <f t="shared" si="50"/>
        <v>45931</v>
      </c>
      <c r="M103" s="723">
        <f t="shared" si="50"/>
        <v>45962</v>
      </c>
      <c r="N103" s="723">
        <f t="shared" si="50"/>
        <v>45992</v>
      </c>
      <c r="O103" s="723">
        <f>O65</f>
        <v>45778</v>
      </c>
    </row>
    <row r="104" spans="1:15" ht="16">
      <c r="A104" s="662"/>
      <c r="B104" s="724"/>
      <c r="C104" s="725" t="s">
        <v>444</v>
      </c>
      <c r="D104" s="725" t="s">
        <v>444</v>
      </c>
      <c r="E104" s="725" t="s">
        <v>444</v>
      </c>
      <c r="F104" s="725" t="s">
        <v>444</v>
      </c>
      <c r="G104" s="725" t="s">
        <v>444</v>
      </c>
      <c r="H104" s="725" t="s">
        <v>444</v>
      </c>
      <c r="I104" s="725" t="s">
        <v>444</v>
      </c>
      <c r="J104" s="725" t="s">
        <v>444</v>
      </c>
      <c r="K104" s="725" t="s">
        <v>444</v>
      </c>
      <c r="L104" s="725" t="s">
        <v>444</v>
      </c>
      <c r="M104" s="725" t="s">
        <v>444</v>
      </c>
      <c r="N104" s="725" t="s">
        <v>444</v>
      </c>
      <c r="O104" s="725" t="s">
        <v>444</v>
      </c>
    </row>
    <row r="105" spans="1:15" ht="16" thickBot="1">
      <c r="A105" s="662"/>
      <c r="B105" s="727" t="s">
        <v>6</v>
      </c>
      <c r="C105" s="728">
        <f t="shared" ref="C105:N105" si="51">C94+C101</f>
        <v>150453</v>
      </c>
      <c r="D105" s="728">
        <f t="shared" si="51"/>
        <v>243465.21</v>
      </c>
      <c r="E105" s="728">
        <f t="shared" si="51"/>
        <v>141526</v>
      </c>
      <c r="F105" s="728">
        <f t="shared" si="51"/>
        <v>169200</v>
      </c>
      <c r="G105" s="728">
        <f t="shared" si="51"/>
        <v>195090</v>
      </c>
      <c r="H105" s="728">
        <f t="shared" si="51"/>
        <v>61796</v>
      </c>
      <c r="I105" s="728">
        <f t="shared" si="51"/>
        <v>0</v>
      </c>
      <c r="J105" s="728">
        <f t="shared" si="51"/>
        <v>20000</v>
      </c>
      <c r="K105" s="728">
        <f t="shared" si="51"/>
        <v>0</v>
      </c>
      <c r="L105" s="728">
        <f t="shared" si="51"/>
        <v>45000</v>
      </c>
      <c r="M105" s="728">
        <f t="shared" si="51"/>
        <v>0</v>
      </c>
      <c r="N105" s="728">
        <f t="shared" si="51"/>
        <v>178785</v>
      </c>
      <c r="O105" s="728">
        <f>O94+O101</f>
        <v>0</v>
      </c>
    </row>
    <row r="106" spans="1:15" ht="16" thickBot="1">
      <c r="A106" s="657"/>
      <c r="B106" s="667"/>
      <c r="C106" s="667"/>
      <c r="D106" s="667"/>
      <c r="E106" s="667"/>
      <c r="F106" s="667"/>
      <c r="G106" s="667"/>
      <c r="H106" s="667"/>
      <c r="I106" s="667"/>
      <c r="J106" s="667"/>
      <c r="K106" s="667"/>
      <c r="L106" s="667"/>
      <c r="M106" s="667"/>
      <c r="N106" s="667"/>
      <c r="O106" s="667"/>
    </row>
    <row r="107" spans="1:15" ht="16" thickBot="1">
      <c r="A107" s="662"/>
      <c r="B107" s="730"/>
      <c r="C107" s="723">
        <f t="shared" ref="C107:N107" si="52">C65</f>
        <v>45658</v>
      </c>
      <c r="D107" s="723">
        <f t="shared" si="52"/>
        <v>45689</v>
      </c>
      <c r="E107" s="723">
        <f t="shared" si="52"/>
        <v>45717</v>
      </c>
      <c r="F107" s="723">
        <f t="shared" si="52"/>
        <v>45748</v>
      </c>
      <c r="G107" s="723">
        <f t="shared" si="52"/>
        <v>45778</v>
      </c>
      <c r="H107" s="723">
        <f t="shared" si="52"/>
        <v>45809</v>
      </c>
      <c r="I107" s="723">
        <f t="shared" si="52"/>
        <v>45839</v>
      </c>
      <c r="J107" s="723">
        <f t="shared" si="52"/>
        <v>45870</v>
      </c>
      <c r="K107" s="723">
        <f t="shared" si="52"/>
        <v>45901</v>
      </c>
      <c r="L107" s="723">
        <f t="shared" si="52"/>
        <v>45931</v>
      </c>
      <c r="M107" s="723">
        <f t="shared" si="52"/>
        <v>45962</v>
      </c>
      <c r="N107" s="723">
        <f t="shared" si="52"/>
        <v>45992</v>
      </c>
      <c r="O107" s="723">
        <f>O65</f>
        <v>45778</v>
      </c>
    </row>
    <row r="108" spans="1:15" ht="17" thickBot="1">
      <c r="A108" s="662"/>
      <c r="B108" s="731" t="s">
        <v>648</v>
      </c>
      <c r="C108" s="732" t="s">
        <v>444</v>
      </c>
      <c r="D108" s="732" t="s">
        <v>444</v>
      </c>
      <c r="E108" s="732" t="s">
        <v>444</v>
      </c>
      <c r="F108" s="732" t="s">
        <v>444</v>
      </c>
      <c r="G108" s="732" t="s">
        <v>444</v>
      </c>
      <c r="H108" s="732" t="s">
        <v>444</v>
      </c>
      <c r="I108" s="732" t="s">
        <v>444</v>
      </c>
      <c r="J108" s="732" t="s">
        <v>444</v>
      </c>
      <c r="K108" s="732" t="s">
        <v>444</v>
      </c>
      <c r="L108" s="732" t="s">
        <v>444</v>
      </c>
      <c r="M108" s="732" t="s">
        <v>444</v>
      </c>
      <c r="N108" s="732" t="s">
        <v>444</v>
      </c>
      <c r="O108" s="732" t="s">
        <v>444</v>
      </c>
    </row>
    <row r="109" spans="1:15" ht="16" thickBot="1">
      <c r="A109" s="662"/>
      <c r="B109" s="733"/>
      <c r="C109" s="734">
        <f t="shared" ref="C109:N109" si="53">C105</f>
        <v>150453</v>
      </c>
      <c r="D109" s="734">
        <f t="shared" si="53"/>
        <v>243465.21</v>
      </c>
      <c r="E109" s="734">
        <f t="shared" si="53"/>
        <v>141526</v>
      </c>
      <c r="F109" s="734">
        <f t="shared" si="53"/>
        <v>169200</v>
      </c>
      <c r="G109" s="734">
        <f t="shared" si="53"/>
        <v>195090</v>
      </c>
      <c r="H109" s="734">
        <f t="shared" si="53"/>
        <v>61796</v>
      </c>
      <c r="I109" s="734">
        <f t="shared" si="53"/>
        <v>0</v>
      </c>
      <c r="J109" s="734">
        <f t="shared" si="53"/>
        <v>20000</v>
      </c>
      <c r="K109" s="734">
        <f t="shared" si="53"/>
        <v>0</v>
      </c>
      <c r="L109" s="734">
        <f t="shared" si="53"/>
        <v>45000</v>
      </c>
      <c r="M109" s="734">
        <f t="shared" si="53"/>
        <v>0</v>
      </c>
      <c r="N109" s="734">
        <f t="shared" si="53"/>
        <v>178785</v>
      </c>
      <c r="O109" s="734">
        <f>O105</f>
        <v>0</v>
      </c>
    </row>
    <row r="110" spans="1:15" ht="16" thickBot="1">
      <c r="A110" s="657"/>
      <c r="B110" s="667"/>
      <c r="C110" s="684"/>
      <c r="D110" s="684"/>
      <c r="E110" s="684"/>
      <c r="F110" s="684"/>
      <c r="G110" s="684"/>
      <c r="H110" s="684"/>
      <c r="I110" s="684"/>
      <c r="J110" s="684"/>
      <c r="K110" s="684"/>
      <c r="L110" s="684"/>
      <c r="M110" s="684"/>
      <c r="N110" s="684"/>
      <c r="O110" s="684"/>
    </row>
    <row r="111" spans="1:15" ht="16" thickBot="1">
      <c r="A111" s="1842" t="s">
        <v>1467</v>
      </c>
      <c r="B111" s="722" t="s">
        <v>649</v>
      </c>
      <c r="C111" s="723" t="s">
        <v>1468</v>
      </c>
      <c r="D111" s="723" t="s">
        <v>1469</v>
      </c>
      <c r="E111" s="723" t="s">
        <v>1470</v>
      </c>
      <c r="F111" s="723" t="s">
        <v>1471</v>
      </c>
      <c r="G111" s="723" t="s">
        <v>1472</v>
      </c>
      <c r="H111" s="723" t="s">
        <v>1473</v>
      </c>
      <c r="I111" s="1949" t="s">
        <v>1531</v>
      </c>
      <c r="J111" s="1949" t="s">
        <v>1600</v>
      </c>
      <c r="K111" s="1949" t="s">
        <v>1601</v>
      </c>
      <c r="L111" s="1949" t="s">
        <v>1602</v>
      </c>
      <c r="M111" s="2466" t="s">
        <v>1603</v>
      </c>
      <c r="N111" s="2466" t="s">
        <v>1604</v>
      </c>
      <c r="O111" s="723">
        <f>O65</f>
        <v>45778</v>
      </c>
    </row>
    <row r="112" spans="1:15" ht="16" thickBot="1">
      <c r="A112" s="1842"/>
      <c r="B112" s="685" t="s">
        <v>38</v>
      </c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</row>
    <row r="113" spans="1:15" ht="16" thickBot="1">
      <c r="A113" s="1842"/>
      <c r="B113" s="687"/>
      <c r="C113" s="688"/>
      <c r="D113" s="689"/>
      <c r="E113" s="689"/>
      <c r="F113" s="689"/>
      <c r="G113" s="689"/>
      <c r="H113" s="689"/>
      <c r="I113" s="689"/>
      <c r="J113" s="689"/>
      <c r="K113" s="689"/>
      <c r="L113" s="690"/>
      <c r="M113" s="690"/>
      <c r="N113" s="690"/>
      <c r="O113" s="689"/>
    </row>
    <row r="114" spans="1:15" ht="16" thickBot="1">
      <c r="A114" s="1842"/>
      <c r="B114" s="687"/>
      <c r="C114" s="691"/>
      <c r="D114" s="692"/>
      <c r="E114" s="692"/>
      <c r="F114" s="692"/>
      <c r="G114" s="692"/>
      <c r="H114" s="692"/>
      <c r="I114" s="692"/>
      <c r="J114" s="692"/>
      <c r="K114" s="692"/>
      <c r="L114" s="693"/>
      <c r="M114" s="693"/>
      <c r="N114" s="693"/>
      <c r="O114" s="692"/>
    </row>
    <row r="115" spans="1:15" ht="16" thickBot="1">
      <c r="A115" s="1842"/>
      <c r="B115" s="687"/>
      <c r="C115" s="694"/>
      <c r="D115" s="695"/>
      <c r="E115" s="695"/>
      <c r="F115" s="695"/>
      <c r="G115" s="695"/>
      <c r="H115" s="695"/>
      <c r="I115" s="695"/>
      <c r="J115" s="695"/>
      <c r="K115" s="695"/>
      <c r="L115" s="696"/>
      <c r="M115" s="696"/>
      <c r="N115" s="696"/>
      <c r="O115" s="695"/>
    </row>
    <row r="116" spans="1:15" ht="16" thickBot="1">
      <c r="A116" s="1842"/>
      <c r="B116" s="697" t="s">
        <v>676</v>
      </c>
      <c r="C116" s="735">
        <f t="shared" ref="C116:N116" si="54">SUM(C113:C115)</f>
        <v>0</v>
      </c>
      <c r="D116" s="735">
        <f t="shared" si="54"/>
        <v>0</v>
      </c>
      <c r="E116" s="735">
        <f t="shared" si="54"/>
        <v>0</v>
      </c>
      <c r="F116" s="735">
        <f t="shared" si="54"/>
        <v>0</v>
      </c>
      <c r="G116" s="735">
        <f t="shared" si="54"/>
        <v>0</v>
      </c>
      <c r="H116" s="735">
        <f t="shared" si="54"/>
        <v>0</v>
      </c>
      <c r="I116" s="735">
        <f t="shared" si="54"/>
        <v>0</v>
      </c>
      <c r="J116" s="735">
        <f t="shared" si="54"/>
        <v>0</v>
      </c>
      <c r="K116" s="735">
        <f t="shared" si="54"/>
        <v>0</v>
      </c>
      <c r="L116" s="735">
        <f t="shared" si="54"/>
        <v>0</v>
      </c>
      <c r="M116" s="735">
        <f t="shared" si="54"/>
        <v>0</v>
      </c>
      <c r="N116" s="735">
        <f t="shared" si="54"/>
        <v>0</v>
      </c>
      <c r="O116" s="735">
        <f>SUM(O113:O115)</f>
        <v>0</v>
      </c>
    </row>
    <row r="117" spans="1:15" ht="16" thickBot="1">
      <c r="A117" s="1842"/>
      <c r="B117" s="698" t="s">
        <v>677</v>
      </c>
      <c r="C117" s="736"/>
      <c r="D117" s="736"/>
      <c r="E117" s="736"/>
      <c r="F117" s="736"/>
      <c r="G117" s="736"/>
      <c r="H117" s="736"/>
      <c r="I117" s="736"/>
      <c r="J117" s="736"/>
      <c r="K117" s="736"/>
      <c r="L117" s="736"/>
      <c r="M117" s="736"/>
      <c r="N117" s="736"/>
      <c r="O117" s="736"/>
    </row>
    <row r="118" spans="1:15" ht="16" thickBot="1">
      <c r="A118" s="1842"/>
      <c r="B118" s="699"/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</row>
    <row r="119" spans="1:15" ht="16" thickBot="1">
      <c r="A119" s="1842"/>
      <c r="B119" s="685" t="s">
        <v>68</v>
      </c>
      <c r="C119" s="700">
        <f t="shared" ref="C119:N119" si="55">SUM(C116:C118)</f>
        <v>0</v>
      </c>
      <c r="D119" s="700">
        <f t="shared" si="55"/>
        <v>0</v>
      </c>
      <c r="E119" s="700">
        <f t="shared" si="55"/>
        <v>0</v>
      </c>
      <c r="F119" s="700">
        <f t="shared" si="55"/>
        <v>0</v>
      </c>
      <c r="G119" s="700">
        <f t="shared" si="55"/>
        <v>0</v>
      </c>
      <c r="H119" s="700">
        <f t="shared" si="55"/>
        <v>0</v>
      </c>
      <c r="I119" s="700">
        <f t="shared" si="55"/>
        <v>0</v>
      </c>
      <c r="J119" s="700">
        <f t="shared" si="55"/>
        <v>0</v>
      </c>
      <c r="K119" s="700">
        <f t="shared" si="55"/>
        <v>0</v>
      </c>
      <c r="L119" s="700">
        <f t="shared" si="55"/>
        <v>0</v>
      </c>
      <c r="M119" s="700">
        <f t="shared" si="55"/>
        <v>0</v>
      </c>
      <c r="N119" s="700">
        <f t="shared" si="55"/>
        <v>0</v>
      </c>
      <c r="O119" s="700">
        <f>SUM(O116:O118)</f>
        <v>0</v>
      </c>
    </row>
    <row r="120" spans="1:15" ht="16" thickBot="1">
      <c r="A120" s="1842"/>
      <c r="B120" s="701" t="s">
        <v>69</v>
      </c>
      <c r="C120" s="700"/>
      <c r="D120" s="700"/>
      <c r="E120" s="700"/>
      <c r="F120" s="700"/>
      <c r="G120" s="700"/>
      <c r="H120" s="700"/>
      <c r="I120" s="700"/>
      <c r="J120" s="700"/>
      <c r="K120" s="700"/>
      <c r="L120" s="700"/>
      <c r="M120" s="700"/>
      <c r="N120" s="700"/>
      <c r="O120" s="700"/>
    </row>
    <row r="121" spans="1:15" ht="16" thickBot="1">
      <c r="A121" s="1842"/>
      <c r="B121" s="702" t="s">
        <v>31</v>
      </c>
      <c r="C121" s="700">
        <f t="shared" ref="C121:N121" si="56">SUM(C119:C120)</f>
        <v>0</v>
      </c>
      <c r="D121" s="700">
        <f t="shared" si="56"/>
        <v>0</v>
      </c>
      <c r="E121" s="700">
        <f t="shared" si="56"/>
        <v>0</v>
      </c>
      <c r="F121" s="700">
        <f t="shared" si="56"/>
        <v>0</v>
      </c>
      <c r="G121" s="700">
        <f t="shared" si="56"/>
        <v>0</v>
      </c>
      <c r="H121" s="700">
        <f t="shared" si="56"/>
        <v>0</v>
      </c>
      <c r="I121" s="700">
        <f t="shared" si="56"/>
        <v>0</v>
      </c>
      <c r="J121" s="700">
        <f t="shared" si="56"/>
        <v>0</v>
      </c>
      <c r="K121" s="700">
        <f t="shared" si="56"/>
        <v>0</v>
      </c>
      <c r="L121" s="700">
        <f t="shared" si="56"/>
        <v>0</v>
      </c>
      <c r="M121" s="700">
        <f t="shared" si="56"/>
        <v>0</v>
      </c>
      <c r="N121" s="700">
        <f t="shared" si="56"/>
        <v>0</v>
      </c>
      <c r="O121" s="700">
        <f>SUM(O119:O120)</f>
        <v>0</v>
      </c>
    </row>
    <row r="122" spans="1:15" ht="16" thickBot="1">
      <c r="A122" s="1843"/>
      <c r="B122" s="683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</row>
    <row r="123" spans="1:15" ht="16" thickBot="1">
      <c r="A123" s="1842"/>
      <c r="B123" s="722" t="s">
        <v>678</v>
      </c>
      <c r="C123" s="723">
        <f t="shared" ref="C123:N123" si="57">C65</f>
        <v>45658</v>
      </c>
      <c r="D123" s="723">
        <f t="shared" si="57"/>
        <v>45689</v>
      </c>
      <c r="E123" s="723">
        <f t="shared" si="57"/>
        <v>45717</v>
      </c>
      <c r="F123" s="723">
        <f t="shared" si="57"/>
        <v>45748</v>
      </c>
      <c r="G123" s="723">
        <f t="shared" si="57"/>
        <v>45778</v>
      </c>
      <c r="H123" s="723">
        <f t="shared" si="57"/>
        <v>45809</v>
      </c>
      <c r="I123" s="723">
        <f t="shared" si="57"/>
        <v>45839</v>
      </c>
      <c r="J123" s="723">
        <f t="shared" si="57"/>
        <v>45870</v>
      </c>
      <c r="K123" s="723">
        <f t="shared" si="57"/>
        <v>45901</v>
      </c>
      <c r="L123" s="723">
        <f t="shared" si="57"/>
        <v>45931</v>
      </c>
      <c r="M123" s="723">
        <f t="shared" si="57"/>
        <v>45962</v>
      </c>
      <c r="N123" s="723">
        <f t="shared" si="57"/>
        <v>45992</v>
      </c>
      <c r="O123" s="723">
        <f>O65</f>
        <v>45778</v>
      </c>
    </row>
    <row r="124" spans="1:15" ht="17" thickBot="1">
      <c r="A124" s="1842"/>
      <c r="B124" s="703" t="s">
        <v>38</v>
      </c>
      <c r="C124" s="704" t="s">
        <v>444</v>
      </c>
      <c r="D124" s="705" t="s">
        <v>444</v>
      </c>
      <c r="E124" s="705" t="s">
        <v>444</v>
      </c>
      <c r="F124" s="705" t="s">
        <v>444</v>
      </c>
      <c r="G124" s="705" t="s">
        <v>444</v>
      </c>
      <c r="H124" s="705" t="s">
        <v>444</v>
      </c>
      <c r="I124" s="705" t="s">
        <v>444</v>
      </c>
      <c r="J124" s="705" t="s">
        <v>444</v>
      </c>
      <c r="K124" s="705" t="s">
        <v>444</v>
      </c>
      <c r="L124" s="705" t="s">
        <v>444</v>
      </c>
      <c r="M124" s="705" t="s">
        <v>444</v>
      </c>
      <c r="N124" s="705" t="s">
        <v>444</v>
      </c>
      <c r="O124" s="705" t="s">
        <v>444</v>
      </c>
    </row>
    <row r="125" spans="1:15" ht="17" customHeight="1" thickBot="1">
      <c r="A125" s="1842" t="s">
        <v>1463</v>
      </c>
      <c r="B125" s="971" t="s">
        <v>1016</v>
      </c>
      <c r="C125" s="793"/>
      <c r="D125" s="1638">
        <v>1995</v>
      </c>
      <c r="E125" s="1638"/>
      <c r="F125" s="1638"/>
      <c r="G125" s="1638"/>
      <c r="H125" s="1638"/>
      <c r="I125" s="1638"/>
      <c r="J125" s="1638"/>
      <c r="K125" s="1639"/>
      <c r="L125" s="1639"/>
      <c r="M125" s="1639"/>
      <c r="N125" s="1639"/>
      <c r="O125" s="1638"/>
    </row>
    <row r="126" spans="1:15" ht="17" customHeight="1" thickBot="1">
      <c r="A126" s="2333" t="s">
        <v>1462</v>
      </c>
      <c r="B126" s="1636" t="s">
        <v>1017</v>
      </c>
      <c r="C126" s="1640"/>
      <c r="D126" s="1641"/>
      <c r="E126" s="1641">
        <v>51349</v>
      </c>
      <c r="F126" s="1641"/>
      <c r="G126" s="1641"/>
      <c r="H126" s="1641"/>
      <c r="I126" s="1641"/>
      <c r="J126" s="1641"/>
      <c r="K126" s="1642"/>
      <c r="L126" s="1642"/>
      <c r="M126" s="1642"/>
      <c r="N126" s="1642"/>
      <c r="O126" s="1643"/>
    </row>
    <row r="127" spans="1:15" ht="17" customHeight="1" thickBot="1">
      <c r="A127" s="2333" t="s">
        <v>1462</v>
      </c>
      <c r="B127" s="1636" t="s">
        <v>1378</v>
      </c>
      <c r="C127" s="1640"/>
      <c r="D127" s="1641"/>
      <c r="E127" s="1641"/>
      <c r="F127" s="1641"/>
      <c r="G127" s="1641">
        <v>36217</v>
      </c>
      <c r="H127" s="1641"/>
      <c r="I127" s="1641"/>
      <c r="J127" s="1641"/>
      <c r="K127" s="1642"/>
      <c r="L127" s="1642"/>
      <c r="M127" s="1642"/>
      <c r="N127" s="1642"/>
      <c r="O127" s="1643"/>
    </row>
    <row r="128" spans="1:15" ht="17" customHeight="1" thickBot="1">
      <c r="A128" s="2333" t="s">
        <v>1462</v>
      </c>
      <c r="B128" s="1636" t="s">
        <v>1863</v>
      </c>
      <c r="C128" s="2394"/>
      <c r="D128" s="2395"/>
      <c r="E128" s="2395"/>
      <c r="F128" s="2395"/>
      <c r="G128" s="2395"/>
      <c r="H128" s="2395"/>
      <c r="I128" s="2395"/>
      <c r="J128" s="2395"/>
      <c r="K128" s="2396"/>
      <c r="L128" s="2396">
        <v>83731</v>
      </c>
      <c r="M128" s="2396"/>
      <c r="N128" s="2396">
        <v>16410</v>
      </c>
      <c r="O128" s="2397"/>
    </row>
    <row r="129" spans="1:15" ht="17" customHeight="1" thickBot="1">
      <c r="A129" s="2333" t="s">
        <v>1462</v>
      </c>
      <c r="B129" s="1636" t="s">
        <v>1927</v>
      </c>
      <c r="C129" s="2394"/>
      <c r="D129" s="2395"/>
      <c r="E129" s="2395"/>
      <c r="F129" s="2395"/>
      <c r="G129" s="2395"/>
      <c r="H129" s="2395"/>
      <c r="I129" s="2395"/>
      <c r="J129" s="2395"/>
      <c r="K129" s="2396"/>
      <c r="L129" s="2396"/>
      <c r="M129" s="2396"/>
      <c r="N129" s="2396">
        <v>200000</v>
      </c>
      <c r="O129" s="2397"/>
    </row>
    <row r="130" spans="1:15" ht="17" customHeight="1" thickBot="1">
      <c r="A130" s="1842" t="s">
        <v>1463</v>
      </c>
      <c r="B130" s="1636" t="s">
        <v>1379</v>
      </c>
      <c r="C130" s="1640"/>
      <c r="D130" s="1641"/>
      <c r="E130" s="1641"/>
      <c r="F130" s="1641"/>
      <c r="G130" s="1641">
        <v>9900</v>
      </c>
      <c r="H130" s="1641"/>
      <c r="I130" s="1641"/>
      <c r="J130" s="1641"/>
      <c r="K130" s="1642"/>
      <c r="L130" s="1642"/>
      <c r="M130" s="1642"/>
      <c r="N130" s="1642"/>
      <c r="O130" s="1643"/>
    </row>
    <row r="131" spans="1:15" ht="17" customHeight="1" thickBot="1">
      <c r="A131" s="1842" t="s">
        <v>1463</v>
      </c>
      <c r="B131" s="1637" t="s">
        <v>1380</v>
      </c>
      <c r="C131" s="1644"/>
      <c r="D131" s="1645"/>
      <c r="E131" s="1645"/>
      <c r="F131" s="1645"/>
      <c r="G131" s="1645"/>
      <c r="H131" s="1645">
        <v>2663</v>
      </c>
      <c r="I131" s="1645">
        <v>1500</v>
      </c>
      <c r="J131" s="1645"/>
      <c r="K131" s="1646"/>
      <c r="L131" s="1646">
        <v>1680</v>
      </c>
      <c r="M131" s="1646"/>
      <c r="N131" s="1646"/>
      <c r="O131" s="1645"/>
    </row>
    <row r="132" spans="1:15" ht="17" customHeight="1" thickBot="1">
      <c r="A132" s="1842"/>
      <c r="B132" s="737" t="s">
        <v>687</v>
      </c>
      <c r="C132" s="735">
        <f>SUM(C125:C126)</f>
        <v>0</v>
      </c>
      <c r="D132" s="735">
        <f>SUM(D125:D126)</f>
        <v>1995</v>
      </c>
      <c r="E132" s="735">
        <f>SUM(E125:E131)</f>
        <v>51349</v>
      </c>
      <c r="F132" s="735">
        <f>SUM(F125:F131)</f>
        <v>0</v>
      </c>
      <c r="G132" s="735">
        <f>SUM(G125:G131)</f>
        <v>46117</v>
      </c>
      <c r="H132" s="735">
        <f>SUM(H125:H131)</f>
        <v>2663</v>
      </c>
      <c r="I132" s="735">
        <f t="shared" ref="I132:N132" si="58">SUM(I125:I131)</f>
        <v>1500</v>
      </c>
      <c r="J132" s="735">
        <f t="shared" si="58"/>
        <v>0</v>
      </c>
      <c r="K132" s="735">
        <f t="shared" si="58"/>
        <v>0</v>
      </c>
      <c r="L132" s="735">
        <f t="shared" si="58"/>
        <v>85411</v>
      </c>
      <c r="M132" s="735">
        <f t="shared" si="58"/>
        <v>0</v>
      </c>
      <c r="N132" s="735">
        <f t="shared" si="58"/>
        <v>216410</v>
      </c>
      <c r="O132" s="735">
        <f t="shared" ref="O132" si="59">SUM(O125:O126)</f>
        <v>0</v>
      </c>
    </row>
    <row r="133" spans="1:15" ht="17" customHeight="1" thickBot="1">
      <c r="A133" s="1842"/>
      <c r="B133" s="737" t="s">
        <v>688</v>
      </c>
      <c r="C133" s="738"/>
      <c r="D133" s="738"/>
      <c r="E133" s="738"/>
      <c r="F133" s="738"/>
      <c r="G133" s="738"/>
      <c r="H133" s="738"/>
      <c r="I133" s="738"/>
      <c r="J133" s="738"/>
      <c r="K133" s="738"/>
      <c r="L133" s="738"/>
      <c r="M133" s="738"/>
      <c r="N133" s="739"/>
      <c r="O133" s="738"/>
    </row>
    <row r="134" spans="1:15" ht="17" customHeight="1" thickBot="1">
      <c r="A134" s="1842" t="s">
        <v>1465</v>
      </c>
      <c r="B134" s="740" t="s">
        <v>689</v>
      </c>
      <c r="C134" s="738"/>
      <c r="D134" s="738"/>
      <c r="E134" s="738">
        <v>2000</v>
      </c>
      <c r="F134" s="738">
        <v>1500</v>
      </c>
      <c r="G134" s="738">
        <v>1500</v>
      </c>
      <c r="H134" s="738">
        <v>1500</v>
      </c>
      <c r="I134" s="738">
        <v>1000</v>
      </c>
      <c r="J134" s="738">
        <v>1000</v>
      </c>
      <c r="K134" s="2398">
        <v>1000</v>
      </c>
      <c r="L134" s="738">
        <v>3000</v>
      </c>
      <c r="M134" s="738">
        <v>1000</v>
      </c>
      <c r="N134" s="739">
        <v>2000</v>
      </c>
      <c r="O134" s="738"/>
    </row>
    <row r="135" spans="1:15" ht="17" customHeight="1" thickBot="1">
      <c r="A135" s="1842"/>
      <c r="B135" s="702" t="s">
        <v>31</v>
      </c>
      <c r="C135" s="700">
        <f t="shared" ref="C135:N135" si="60">SUM(C132:C134)</f>
        <v>0</v>
      </c>
      <c r="D135" s="700">
        <f>SUM(D132:D134)</f>
        <v>1995</v>
      </c>
      <c r="E135" s="700">
        <f>SUM(E132:E134)</f>
        <v>53349</v>
      </c>
      <c r="F135" s="700">
        <f t="shared" si="60"/>
        <v>1500</v>
      </c>
      <c r="G135" s="700">
        <f t="shared" si="60"/>
        <v>47617</v>
      </c>
      <c r="H135" s="700">
        <f t="shared" si="60"/>
        <v>4163</v>
      </c>
      <c r="I135" s="700">
        <f t="shared" si="60"/>
        <v>2500</v>
      </c>
      <c r="J135" s="700">
        <f t="shared" si="60"/>
        <v>1000</v>
      </c>
      <c r="K135" s="700">
        <f t="shared" si="60"/>
        <v>1000</v>
      </c>
      <c r="L135" s="700">
        <f t="shared" si="60"/>
        <v>88411</v>
      </c>
      <c r="M135" s="700">
        <f t="shared" si="60"/>
        <v>1000</v>
      </c>
      <c r="N135" s="700">
        <f t="shared" si="60"/>
        <v>218410</v>
      </c>
      <c r="O135" s="700">
        <f>SUM(O132:O134)</f>
        <v>0</v>
      </c>
    </row>
    <row r="136" spans="1:15" ht="17" customHeight="1" thickBot="1">
      <c r="A136" s="1843"/>
      <c r="B136" s="683"/>
      <c r="C136" s="667"/>
      <c r="D136" s="706"/>
      <c r="E136" s="706"/>
      <c r="F136" s="706"/>
      <c r="G136" s="706"/>
      <c r="H136" s="706"/>
      <c r="I136" s="706"/>
      <c r="J136" s="706"/>
      <c r="K136" s="706"/>
      <c r="L136" s="706"/>
      <c r="M136" s="706"/>
      <c r="N136" s="706"/>
      <c r="O136" s="706"/>
    </row>
    <row r="137" spans="1:15" ht="17" customHeight="1" thickBot="1">
      <c r="A137" s="1842"/>
      <c r="B137" s="722" t="s">
        <v>9</v>
      </c>
      <c r="C137" s="741">
        <f t="shared" ref="C137:N137" si="61">C65</f>
        <v>45658</v>
      </c>
      <c r="D137" s="741">
        <f t="shared" si="61"/>
        <v>45689</v>
      </c>
      <c r="E137" s="741">
        <f t="shared" si="61"/>
        <v>45717</v>
      </c>
      <c r="F137" s="741">
        <f t="shared" si="61"/>
        <v>45748</v>
      </c>
      <c r="G137" s="741">
        <f t="shared" si="61"/>
        <v>45778</v>
      </c>
      <c r="H137" s="741">
        <f t="shared" si="61"/>
        <v>45809</v>
      </c>
      <c r="I137" s="741">
        <f t="shared" si="61"/>
        <v>45839</v>
      </c>
      <c r="J137" s="741">
        <f t="shared" si="61"/>
        <v>45870</v>
      </c>
      <c r="K137" s="741">
        <f t="shared" si="61"/>
        <v>45901</v>
      </c>
      <c r="L137" s="741">
        <f t="shared" si="61"/>
        <v>45931</v>
      </c>
      <c r="M137" s="741">
        <f t="shared" si="61"/>
        <v>45962</v>
      </c>
      <c r="N137" s="741">
        <f t="shared" si="61"/>
        <v>45992</v>
      </c>
      <c r="O137" s="741">
        <f>O65</f>
        <v>45778</v>
      </c>
    </row>
    <row r="138" spans="1:15" ht="17" customHeight="1" thickBot="1">
      <c r="A138" s="1842"/>
      <c r="B138" s="742" t="s">
        <v>692</v>
      </c>
      <c r="C138" s="743">
        <f t="shared" ref="C138:N138" si="62">SUM(C139:C140)</f>
        <v>0</v>
      </c>
      <c r="D138" s="738">
        <f t="shared" si="62"/>
        <v>0</v>
      </c>
      <c r="E138" s="738">
        <f t="shared" si="62"/>
        <v>5320</v>
      </c>
      <c r="F138" s="738">
        <f t="shared" si="62"/>
        <v>0</v>
      </c>
      <c r="G138" s="738">
        <f t="shared" si="62"/>
        <v>0</v>
      </c>
      <c r="H138" s="738">
        <f t="shared" si="62"/>
        <v>0</v>
      </c>
      <c r="I138" s="738">
        <f t="shared" si="62"/>
        <v>0</v>
      </c>
      <c r="J138" s="738">
        <f t="shared" si="62"/>
        <v>0</v>
      </c>
      <c r="K138" s="738">
        <f t="shared" si="62"/>
        <v>0</v>
      </c>
      <c r="L138" s="738">
        <f t="shared" si="62"/>
        <v>0</v>
      </c>
      <c r="M138" s="738">
        <f t="shared" si="62"/>
        <v>0</v>
      </c>
      <c r="N138" s="739">
        <f t="shared" si="62"/>
        <v>0</v>
      </c>
      <c r="O138" s="738">
        <f>SUM(O139:O140)</f>
        <v>0</v>
      </c>
    </row>
    <row r="139" spans="1:15" ht="17" customHeight="1" thickBot="1">
      <c r="A139" s="1842" t="s">
        <v>1465</v>
      </c>
      <c r="B139" s="972" t="s">
        <v>1018</v>
      </c>
      <c r="C139" s="707"/>
      <c r="D139" s="671"/>
      <c r="E139" s="671">
        <v>5320</v>
      </c>
      <c r="F139" s="671"/>
      <c r="G139" s="671"/>
      <c r="H139" s="671"/>
      <c r="I139" s="671"/>
      <c r="J139" s="671"/>
      <c r="K139" s="671"/>
      <c r="L139" s="671"/>
      <c r="M139" s="671"/>
      <c r="N139" s="674"/>
      <c r="O139" s="671"/>
    </row>
    <row r="140" spans="1:15" ht="17" customHeight="1" thickBot="1">
      <c r="A140" s="1842"/>
      <c r="B140" s="687"/>
      <c r="C140" s="707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4"/>
      <c r="O140" s="671"/>
    </row>
    <row r="141" spans="1:15" ht="17" customHeight="1" thickBot="1">
      <c r="A141" s="1842"/>
      <c r="B141" s="742" t="s">
        <v>694</v>
      </c>
      <c r="C141" s="743">
        <f>SUM(C142:C142)</f>
        <v>0</v>
      </c>
      <c r="D141" s="738">
        <f>SUM(D142:D142)</f>
        <v>0</v>
      </c>
      <c r="E141" s="738">
        <f>SUM(E142:E142)</f>
        <v>0</v>
      </c>
      <c r="F141" s="738">
        <f>SUM(F142:F142)</f>
        <v>0</v>
      </c>
      <c r="G141" s="738">
        <f t="shared" ref="G141:N141" si="63">SUM(G142:G145)</f>
        <v>0</v>
      </c>
      <c r="H141" s="738">
        <f t="shared" si="63"/>
        <v>0</v>
      </c>
      <c r="I141" s="738">
        <f t="shared" si="63"/>
        <v>0</v>
      </c>
      <c r="J141" s="738">
        <f t="shared" si="63"/>
        <v>0</v>
      </c>
      <c r="K141" s="738">
        <f t="shared" si="63"/>
        <v>0</v>
      </c>
      <c r="L141" s="738">
        <f t="shared" si="63"/>
        <v>0</v>
      </c>
      <c r="M141" s="738">
        <f t="shared" si="63"/>
        <v>0</v>
      </c>
      <c r="N141" s="738">
        <f t="shared" si="63"/>
        <v>0</v>
      </c>
      <c r="O141" s="738">
        <f>SUM(O142:O142)</f>
        <v>0</v>
      </c>
    </row>
    <row r="142" spans="1:15" ht="17" customHeight="1" thickBot="1">
      <c r="A142" s="1842"/>
      <c r="B142" s="708"/>
      <c r="C142" s="707"/>
      <c r="D142" s="671"/>
      <c r="E142" s="671"/>
      <c r="F142" s="671"/>
      <c r="G142" s="671"/>
      <c r="H142" s="671"/>
      <c r="I142" s="671"/>
      <c r="J142" s="671"/>
      <c r="K142" s="671"/>
      <c r="L142" s="671"/>
      <c r="M142" s="671"/>
      <c r="N142" s="674"/>
      <c r="O142" s="671"/>
    </row>
    <row r="143" spans="1:15" ht="17" customHeight="1" thickBot="1">
      <c r="A143" s="1842"/>
      <c r="B143" s="708"/>
      <c r="C143" s="707"/>
      <c r="D143" s="671"/>
      <c r="E143" s="671"/>
      <c r="F143" s="671"/>
      <c r="G143" s="671"/>
      <c r="H143" s="671"/>
      <c r="I143" s="671"/>
      <c r="J143" s="671"/>
      <c r="K143" s="671"/>
      <c r="L143" s="671"/>
      <c r="M143" s="671"/>
      <c r="N143" s="674"/>
      <c r="O143" s="671"/>
    </row>
    <row r="144" spans="1:15" ht="17" customHeight="1" thickBot="1">
      <c r="A144" s="1842"/>
      <c r="B144" s="708"/>
      <c r="C144" s="707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4"/>
      <c r="O144" s="671"/>
    </row>
    <row r="145" spans="1:15" ht="17" customHeight="1" thickBot="1">
      <c r="A145" s="1842"/>
      <c r="B145" s="687"/>
      <c r="C145" s="707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4"/>
      <c r="O145" s="671"/>
    </row>
    <row r="146" spans="1:15" ht="17" customHeight="1" thickBot="1">
      <c r="A146" s="1842"/>
      <c r="B146" s="742" t="s">
        <v>698</v>
      </c>
      <c r="C146" s="743"/>
      <c r="D146" s="738"/>
      <c r="E146" s="738"/>
      <c r="F146" s="738"/>
      <c r="G146" s="738"/>
      <c r="H146" s="738"/>
      <c r="I146" s="738"/>
      <c r="J146" s="738"/>
      <c r="K146" s="738"/>
      <c r="L146" s="738"/>
      <c r="M146" s="738"/>
      <c r="N146" s="739"/>
      <c r="O146" s="738"/>
    </row>
    <row r="147" spans="1:15" ht="17" customHeight="1" thickBot="1">
      <c r="A147" s="1842"/>
      <c r="B147" s="742" t="s">
        <v>752</v>
      </c>
      <c r="C147" s="743"/>
      <c r="D147" s="738"/>
      <c r="E147" s="738"/>
      <c r="F147" s="738"/>
      <c r="G147" s="738"/>
      <c r="H147" s="738"/>
      <c r="I147" s="738"/>
      <c r="J147" s="738"/>
      <c r="K147" s="738"/>
      <c r="L147" s="738"/>
      <c r="M147" s="738"/>
      <c r="N147" s="739"/>
      <c r="O147" s="738"/>
    </row>
    <row r="148" spans="1:15" ht="17" customHeight="1" thickBot="1">
      <c r="A148" s="1842"/>
      <c r="B148" s="742" t="s">
        <v>700</v>
      </c>
      <c r="C148" s="743"/>
      <c r="D148" s="738"/>
      <c r="E148" s="738"/>
      <c r="F148" s="738"/>
      <c r="G148" s="738"/>
      <c r="H148" s="738"/>
      <c r="I148" s="738"/>
      <c r="J148" s="738"/>
      <c r="K148" s="738"/>
      <c r="L148" s="738"/>
      <c r="M148" s="738"/>
      <c r="N148" s="739"/>
      <c r="O148" s="738"/>
    </row>
    <row r="149" spans="1:15" ht="17" customHeight="1" thickBot="1">
      <c r="A149" s="1842"/>
      <c r="B149" s="742" t="s">
        <v>701</v>
      </c>
      <c r="C149" s="743"/>
      <c r="D149" s="738"/>
      <c r="E149" s="738"/>
      <c r="F149" s="738"/>
      <c r="G149" s="738"/>
      <c r="H149" s="738"/>
      <c r="I149" s="738"/>
      <c r="J149" s="738"/>
      <c r="K149" s="744"/>
      <c r="L149" s="738"/>
      <c r="M149" s="738"/>
      <c r="N149" s="739"/>
      <c r="O149" s="738"/>
    </row>
    <row r="150" spans="1:15" ht="17" customHeight="1" thickBot="1">
      <c r="A150" s="1842"/>
      <c r="B150" s="742" t="s">
        <v>753</v>
      </c>
      <c r="C150" s="745"/>
      <c r="D150" s="736"/>
      <c r="E150" s="736"/>
      <c r="F150" s="736"/>
      <c r="G150" s="736"/>
      <c r="H150" s="746"/>
      <c r="I150" s="736"/>
      <c r="J150" s="736"/>
      <c r="K150" s="736"/>
      <c r="L150" s="736"/>
      <c r="M150" s="736"/>
      <c r="N150" s="747"/>
      <c r="O150" s="736"/>
    </row>
    <row r="151" spans="1:15" ht="17" customHeight="1" thickBot="1">
      <c r="A151" s="1842"/>
      <c r="B151" s="702" t="s">
        <v>31</v>
      </c>
      <c r="C151" s="700">
        <f t="shared" ref="C151:N151" si="64">C138+C141+C146+C147+C148+C149+C150</f>
        <v>0</v>
      </c>
      <c r="D151" s="700">
        <f t="shared" si="64"/>
        <v>0</v>
      </c>
      <c r="E151" s="700">
        <f t="shared" si="64"/>
        <v>5320</v>
      </c>
      <c r="F151" s="700">
        <f t="shared" si="64"/>
        <v>0</v>
      </c>
      <c r="G151" s="700">
        <f t="shared" si="64"/>
        <v>0</v>
      </c>
      <c r="H151" s="700">
        <f t="shared" si="64"/>
        <v>0</v>
      </c>
      <c r="I151" s="700">
        <f t="shared" si="64"/>
        <v>0</v>
      </c>
      <c r="J151" s="700">
        <f t="shared" si="64"/>
        <v>0</v>
      </c>
      <c r="K151" s="700">
        <f t="shared" si="64"/>
        <v>0</v>
      </c>
      <c r="L151" s="700">
        <f t="shared" si="64"/>
        <v>0</v>
      </c>
      <c r="M151" s="700">
        <f t="shared" si="64"/>
        <v>0</v>
      </c>
      <c r="N151" s="700">
        <f t="shared" si="64"/>
        <v>0</v>
      </c>
      <c r="O151" s="700">
        <f>O138+O141+O146+O147+O148+O149+O150</f>
        <v>0</v>
      </c>
    </row>
    <row r="152" spans="1:15" ht="16" thickBot="1">
      <c r="A152" s="1843"/>
      <c r="B152" s="683"/>
      <c r="C152" s="667"/>
      <c r="D152" s="706"/>
      <c r="E152" s="706"/>
      <c r="F152" s="706"/>
      <c r="G152" s="706"/>
      <c r="H152" s="706"/>
      <c r="I152" s="706"/>
      <c r="J152" s="706"/>
      <c r="K152" s="706"/>
      <c r="L152" s="706"/>
      <c r="M152" s="706"/>
      <c r="N152" s="706"/>
      <c r="O152" s="706"/>
    </row>
    <row r="153" spans="1:15" ht="17" customHeight="1" thickBot="1">
      <c r="A153" s="1842"/>
      <c r="B153" s="722" t="s">
        <v>703</v>
      </c>
      <c r="C153" s="741">
        <f t="shared" ref="C153:N153" si="65">C65</f>
        <v>45658</v>
      </c>
      <c r="D153" s="741">
        <f t="shared" si="65"/>
        <v>45689</v>
      </c>
      <c r="E153" s="741">
        <f t="shared" si="65"/>
        <v>45717</v>
      </c>
      <c r="F153" s="741">
        <f t="shared" si="65"/>
        <v>45748</v>
      </c>
      <c r="G153" s="741">
        <f t="shared" si="65"/>
        <v>45778</v>
      </c>
      <c r="H153" s="741">
        <f t="shared" si="65"/>
        <v>45809</v>
      </c>
      <c r="I153" s="741">
        <f t="shared" si="65"/>
        <v>45839</v>
      </c>
      <c r="J153" s="741">
        <f t="shared" si="65"/>
        <v>45870</v>
      </c>
      <c r="K153" s="741">
        <f t="shared" si="65"/>
        <v>45901</v>
      </c>
      <c r="L153" s="741">
        <f t="shared" si="65"/>
        <v>45931</v>
      </c>
      <c r="M153" s="741">
        <f t="shared" si="65"/>
        <v>45962</v>
      </c>
      <c r="N153" s="741">
        <f t="shared" si="65"/>
        <v>45992</v>
      </c>
      <c r="O153" s="741">
        <f>O65</f>
        <v>45778</v>
      </c>
    </row>
    <row r="154" spans="1:15" ht="17" customHeight="1" thickBot="1">
      <c r="A154" s="1842"/>
      <c r="B154" s="737" t="s">
        <v>704</v>
      </c>
      <c r="C154" s="738"/>
      <c r="D154" s="738"/>
      <c r="E154" s="738"/>
      <c r="F154" s="738"/>
      <c r="G154" s="738"/>
      <c r="H154" s="738"/>
      <c r="I154" s="738"/>
      <c r="J154" s="738"/>
      <c r="K154" s="738"/>
      <c r="L154" s="738"/>
      <c r="M154" s="738"/>
      <c r="N154" s="739"/>
      <c r="O154" s="738"/>
    </row>
    <row r="155" spans="1:15" ht="17" customHeight="1" thickBot="1">
      <c r="A155" s="1842" t="s">
        <v>1487</v>
      </c>
      <c r="B155" s="737" t="s">
        <v>705</v>
      </c>
      <c r="C155" s="738">
        <v>15</v>
      </c>
      <c r="D155" s="738">
        <v>30</v>
      </c>
      <c r="E155" s="738">
        <v>59</v>
      </c>
      <c r="F155" s="738">
        <v>15</v>
      </c>
      <c r="G155" s="738">
        <v>49</v>
      </c>
      <c r="H155" s="738">
        <v>15</v>
      </c>
      <c r="I155" s="738">
        <v>17</v>
      </c>
      <c r="J155" s="738">
        <v>15</v>
      </c>
      <c r="K155" s="738"/>
      <c r="L155" s="738"/>
      <c r="M155" s="738"/>
      <c r="N155" s="739"/>
      <c r="O155" s="738"/>
    </row>
    <row r="156" spans="1:15" ht="17" customHeight="1" thickBot="1">
      <c r="A156" s="1842"/>
      <c r="B156" s="737" t="s">
        <v>706</v>
      </c>
      <c r="C156" s="738"/>
      <c r="D156" s="738"/>
      <c r="E156" s="738"/>
      <c r="F156" s="738"/>
      <c r="G156" s="738"/>
      <c r="H156" s="738"/>
      <c r="I156" s="738"/>
      <c r="J156" s="738"/>
      <c r="K156" s="738"/>
      <c r="L156" s="738"/>
      <c r="M156" s="738"/>
      <c r="N156" s="739"/>
      <c r="O156" s="738"/>
    </row>
    <row r="157" spans="1:15" ht="17" customHeight="1" thickBot="1">
      <c r="A157" s="1842" t="s">
        <v>1487</v>
      </c>
      <c r="B157" s="737" t="s">
        <v>707</v>
      </c>
      <c r="C157" s="738"/>
      <c r="D157" s="738"/>
      <c r="E157" s="738"/>
      <c r="F157" s="738">
        <v>8383</v>
      </c>
      <c r="G157" s="738"/>
      <c r="H157" s="738"/>
      <c r="I157" s="738"/>
      <c r="J157" s="738"/>
      <c r="K157" s="738"/>
      <c r="L157" s="738"/>
      <c r="M157" s="738"/>
      <c r="N157" s="739"/>
      <c r="O157" s="738"/>
    </row>
    <row r="158" spans="1:15" ht="17" customHeight="1" thickBot="1">
      <c r="A158" s="1842" t="s">
        <v>1465</v>
      </c>
      <c r="B158" s="737" t="s">
        <v>708</v>
      </c>
      <c r="C158" s="736"/>
      <c r="D158" s="736"/>
      <c r="E158" s="736"/>
      <c r="F158" s="736"/>
      <c r="G158" s="736"/>
      <c r="H158" s="736"/>
      <c r="I158" s="736">
        <v>7500</v>
      </c>
      <c r="J158" s="736"/>
      <c r="K158" s="736"/>
      <c r="L158" s="736"/>
      <c r="M158" s="736"/>
      <c r="N158" s="747"/>
      <c r="O158" s="736"/>
    </row>
    <row r="159" spans="1:15" ht="17" customHeight="1" thickBot="1">
      <c r="A159" s="1842"/>
      <c r="B159" s="702" t="s">
        <v>31</v>
      </c>
      <c r="C159" s="700">
        <f t="shared" ref="C159:N159" si="66">SUM(C154:C158)</f>
        <v>15</v>
      </c>
      <c r="D159" s="700">
        <f t="shared" si="66"/>
        <v>30</v>
      </c>
      <c r="E159" s="700">
        <f t="shared" si="66"/>
        <v>59</v>
      </c>
      <c r="F159" s="700">
        <f>SUM(F154:F158)</f>
        <v>8398</v>
      </c>
      <c r="G159" s="700">
        <f t="shared" si="66"/>
        <v>49</v>
      </c>
      <c r="H159" s="700">
        <f t="shared" si="66"/>
        <v>15</v>
      </c>
      <c r="I159" s="700">
        <f t="shared" si="66"/>
        <v>7517</v>
      </c>
      <c r="J159" s="700">
        <f t="shared" si="66"/>
        <v>15</v>
      </c>
      <c r="K159" s="700">
        <f t="shared" si="66"/>
        <v>0</v>
      </c>
      <c r="L159" s="700">
        <f t="shared" si="66"/>
        <v>0</v>
      </c>
      <c r="M159" s="700">
        <f t="shared" si="66"/>
        <v>0</v>
      </c>
      <c r="N159" s="700">
        <f t="shared" si="66"/>
        <v>0</v>
      </c>
      <c r="O159" s="700">
        <f>SUM(O154:O158)</f>
        <v>0</v>
      </c>
    </row>
    <row r="160" spans="1:15" ht="16" thickBot="1">
      <c r="A160" s="1843"/>
      <c r="B160" s="683"/>
      <c r="C160" s="667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</row>
    <row r="161" spans="1:15" ht="16" thickBot="1">
      <c r="A161" s="1842"/>
      <c r="B161" s="722" t="s">
        <v>709</v>
      </c>
      <c r="C161" s="741">
        <f t="shared" ref="C161:N161" si="67">C65</f>
        <v>45658</v>
      </c>
      <c r="D161" s="741">
        <f t="shared" si="67"/>
        <v>45689</v>
      </c>
      <c r="E161" s="741">
        <f t="shared" si="67"/>
        <v>45717</v>
      </c>
      <c r="F161" s="741">
        <f t="shared" si="67"/>
        <v>45748</v>
      </c>
      <c r="G161" s="741">
        <f t="shared" si="67"/>
        <v>45778</v>
      </c>
      <c r="H161" s="741">
        <f t="shared" si="67"/>
        <v>45809</v>
      </c>
      <c r="I161" s="741">
        <f t="shared" si="67"/>
        <v>45839</v>
      </c>
      <c r="J161" s="741">
        <f t="shared" si="67"/>
        <v>45870</v>
      </c>
      <c r="K161" s="741">
        <f t="shared" si="67"/>
        <v>45901</v>
      </c>
      <c r="L161" s="741">
        <f t="shared" si="67"/>
        <v>45931</v>
      </c>
      <c r="M161" s="741">
        <f t="shared" si="67"/>
        <v>45962</v>
      </c>
      <c r="N161" s="741">
        <f t="shared" si="67"/>
        <v>45992</v>
      </c>
      <c r="O161" s="741">
        <f>O65</f>
        <v>45778</v>
      </c>
    </row>
    <row r="162" spans="1:15" ht="16" thickBot="1">
      <c r="A162" s="1842"/>
      <c r="B162" s="698" t="s">
        <v>710</v>
      </c>
      <c r="C162" s="738"/>
      <c r="D162" s="738"/>
      <c r="E162" s="738"/>
      <c r="F162" s="738"/>
      <c r="G162" s="738"/>
      <c r="H162" s="738"/>
      <c r="I162" s="738"/>
      <c r="J162" s="738"/>
      <c r="K162" s="738"/>
      <c r="L162" s="738"/>
      <c r="M162" s="738"/>
      <c r="N162" s="739"/>
      <c r="O162" s="738"/>
    </row>
    <row r="163" spans="1:15" ht="16" thickBot="1">
      <c r="A163" s="1842"/>
      <c r="B163" s="698" t="s">
        <v>711</v>
      </c>
      <c r="C163" s="738"/>
      <c r="D163" s="738"/>
      <c r="E163" s="738"/>
      <c r="F163" s="738"/>
      <c r="G163" s="738"/>
      <c r="H163" s="738"/>
      <c r="I163" s="738"/>
      <c r="J163" s="738"/>
      <c r="K163" s="738"/>
      <c r="L163" s="738"/>
      <c r="M163" s="738"/>
      <c r="N163" s="739"/>
      <c r="O163" s="738"/>
    </row>
    <row r="164" spans="1:15" ht="16" thickBot="1">
      <c r="A164" s="1842"/>
      <c r="B164" s="698" t="s">
        <v>712</v>
      </c>
      <c r="C164" s="736"/>
      <c r="D164" s="736"/>
      <c r="E164" s="736"/>
      <c r="F164" s="736"/>
      <c r="G164" s="736"/>
      <c r="H164" s="736"/>
      <c r="I164" s="736"/>
      <c r="J164" s="736"/>
      <c r="K164" s="736"/>
      <c r="L164" s="736"/>
      <c r="M164" s="736"/>
      <c r="N164" s="747"/>
      <c r="O164" s="736"/>
    </row>
    <row r="165" spans="1:15" ht="16" thickBot="1">
      <c r="A165" s="1842"/>
      <c r="B165" s="709" t="s">
        <v>31</v>
      </c>
      <c r="C165" s="710">
        <f t="shared" ref="C165:N165" si="68">SUM(C162:C164)</f>
        <v>0</v>
      </c>
      <c r="D165" s="700">
        <f t="shared" si="68"/>
        <v>0</v>
      </c>
      <c r="E165" s="700">
        <f t="shared" si="68"/>
        <v>0</v>
      </c>
      <c r="F165" s="700">
        <f t="shared" si="68"/>
        <v>0</v>
      </c>
      <c r="G165" s="700">
        <f t="shared" si="68"/>
        <v>0</v>
      </c>
      <c r="H165" s="700">
        <f t="shared" si="68"/>
        <v>0</v>
      </c>
      <c r="I165" s="700">
        <f t="shared" si="68"/>
        <v>0</v>
      </c>
      <c r="J165" s="700">
        <f t="shared" si="68"/>
        <v>0</v>
      </c>
      <c r="K165" s="700">
        <f t="shared" si="68"/>
        <v>0</v>
      </c>
      <c r="L165" s="700">
        <f t="shared" si="68"/>
        <v>0</v>
      </c>
      <c r="M165" s="700">
        <f t="shared" si="68"/>
        <v>0</v>
      </c>
      <c r="N165" s="700">
        <f t="shared" si="68"/>
        <v>0</v>
      </c>
      <c r="O165" s="700">
        <f>SUM(O162:O164)</f>
        <v>0</v>
      </c>
    </row>
    <row r="166" spans="1:15" ht="16" thickBot="1">
      <c r="A166" s="1843"/>
      <c r="B166" s="683"/>
      <c r="C166" s="667"/>
      <c r="D166" s="706"/>
      <c r="E166" s="706"/>
      <c r="F166" s="706"/>
      <c r="G166" s="706"/>
      <c r="H166" s="706"/>
      <c r="I166" s="706"/>
      <c r="J166" s="706"/>
      <c r="K166" s="706"/>
      <c r="L166" s="706"/>
      <c r="M166" s="706"/>
      <c r="N166" s="706"/>
      <c r="O166" s="706"/>
    </row>
    <row r="167" spans="1:15" ht="16" thickBot="1">
      <c r="A167" s="1842"/>
      <c r="B167" s="722" t="s">
        <v>713</v>
      </c>
      <c r="C167" s="723">
        <f t="shared" ref="C167:N167" si="69">C65</f>
        <v>45658</v>
      </c>
      <c r="D167" s="723">
        <f t="shared" si="69"/>
        <v>45689</v>
      </c>
      <c r="E167" s="723">
        <f t="shared" si="69"/>
        <v>45717</v>
      </c>
      <c r="F167" s="723">
        <f t="shared" si="69"/>
        <v>45748</v>
      </c>
      <c r="G167" s="723">
        <f t="shared" si="69"/>
        <v>45778</v>
      </c>
      <c r="H167" s="723">
        <f t="shared" si="69"/>
        <v>45809</v>
      </c>
      <c r="I167" s="723">
        <f t="shared" si="69"/>
        <v>45839</v>
      </c>
      <c r="J167" s="723">
        <f t="shared" si="69"/>
        <v>45870</v>
      </c>
      <c r="K167" s="723">
        <f t="shared" si="69"/>
        <v>45901</v>
      </c>
      <c r="L167" s="723">
        <f t="shared" si="69"/>
        <v>45931</v>
      </c>
      <c r="M167" s="723">
        <f t="shared" si="69"/>
        <v>45962</v>
      </c>
      <c r="N167" s="723">
        <f t="shared" si="69"/>
        <v>45992</v>
      </c>
      <c r="O167" s="723">
        <f>O65</f>
        <v>45778</v>
      </c>
    </row>
    <row r="168" spans="1:15" ht="16">
      <c r="A168" s="1842"/>
      <c r="B168" s="711" t="s">
        <v>38</v>
      </c>
      <c r="C168" s="712" t="s">
        <v>444</v>
      </c>
      <c r="D168" s="712" t="s">
        <v>444</v>
      </c>
      <c r="E168" s="712" t="s">
        <v>444</v>
      </c>
      <c r="F168" s="712" t="s">
        <v>444</v>
      </c>
      <c r="G168" s="712" t="s">
        <v>444</v>
      </c>
      <c r="H168" s="712" t="s">
        <v>444</v>
      </c>
      <c r="I168" s="712" t="s">
        <v>444</v>
      </c>
      <c r="J168" s="712" t="s">
        <v>444</v>
      </c>
      <c r="K168" s="712" t="s">
        <v>444</v>
      </c>
      <c r="L168" s="712" t="s">
        <v>444</v>
      </c>
      <c r="M168" s="712" t="s">
        <v>444</v>
      </c>
      <c r="N168" s="712" t="s">
        <v>444</v>
      </c>
      <c r="O168" s="712" t="s">
        <v>444</v>
      </c>
    </row>
    <row r="169" spans="1:15">
      <c r="A169" s="1842"/>
      <c r="B169" s="713" t="s">
        <v>754</v>
      </c>
      <c r="C169" s="738"/>
      <c r="D169" s="738"/>
      <c r="E169" s="738"/>
      <c r="F169" s="738"/>
      <c r="G169" s="738"/>
      <c r="H169" s="748"/>
      <c r="I169" s="738"/>
      <c r="J169" s="738"/>
      <c r="K169" s="738"/>
      <c r="L169" s="738"/>
      <c r="M169" s="738"/>
      <c r="N169" s="739"/>
      <c r="O169" s="738"/>
    </row>
    <row r="170" spans="1:15">
      <c r="A170" s="1842"/>
      <c r="B170" s="713" t="s">
        <v>755</v>
      </c>
      <c r="C170" s="738"/>
      <c r="D170" s="738"/>
      <c r="E170" s="738"/>
      <c r="F170" s="738"/>
      <c r="G170" s="738"/>
      <c r="H170" s="738"/>
      <c r="I170" s="738"/>
      <c r="J170" s="738"/>
      <c r="K170" s="738"/>
      <c r="L170" s="738"/>
      <c r="M170" s="738"/>
      <c r="N170" s="739"/>
      <c r="O170" s="738"/>
    </row>
    <row r="171" spans="1:15">
      <c r="A171" s="1842" t="s">
        <v>1464</v>
      </c>
      <c r="B171" s="714" t="s">
        <v>1901</v>
      </c>
      <c r="C171" s="738"/>
      <c r="D171" s="738"/>
      <c r="E171" s="738"/>
      <c r="F171" s="738"/>
      <c r="G171" s="738"/>
      <c r="H171" s="738"/>
      <c r="I171" s="738"/>
      <c r="J171" s="738"/>
      <c r="K171" s="738"/>
      <c r="L171" s="738"/>
      <c r="M171" s="738">
        <v>6408</v>
      </c>
      <c r="N171" s="739"/>
      <c r="O171" s="738"/>
    </row>
    <row r="172" spans="1:15" ht="16" thickBot="1">
      <c r="A172" s="1842"/>
      <c r="B172" s="714"/>
      <c r="C172" s="736"/>
      <c r="D172" s="736"/>
      <c r="E172" s="736"/>
      <c r="F172" s="736"/>
      <c r="G172" s="736"/>
      <c r="H172" s="736"/>
      <c r="I172" s="736"/>
      <c r="J172" s="736"/>
      <c r="K172" s="736"/>
      <c r="L172" s="736"/>
      <c r="M172" s="736"/>
      <c r="N172" s="747"/>
      <c r="O172" s="736"/>
    </row>
    <row r="173" spans="1:15" ht="16" thickBot="1">
      <c r="A173" s="1842"/>
      <c r="B173" s="715" t="s">
        <v>31</v>
      </c>
      <c r="C173" s="700">
        <f t="shared" ref="C173:N173" si="70">SUM(C169:C172)</f>
        <v>0</v>
      </c>
      <c r="D173" s="700">
        <f t="shared" si="70"/>
        <v>0</v>
      </c>
      <c r="E173" s="700">
        <f t="shared" si="70"/>
        <v>0</v>
      </c>
      <c r="F173" s="700">
        <f t="shared" si="70"/>
        <v>0</v>
      </c>
      <c r="G173" s="700">
        <f t="shared" si="70"/>
        <v>0</v>
      </c>
      <c r="H173" s="700">
        <f t="shared" si="70"/>
        <v>0</v>
      </c>
      <c r="I173" s="700">
        <f t="shared" si="70"/>
        <v>0</v>
      </c>
      <c r="J173" s="700">
        <f t="shared" si="70"/>
        <v>0</v>
      </c>
      <c r="K173" s="700">
        <f t="shared" si="70"/>
        <v>0</v>
      </c>
      <c r="L173" s="700">
        <f t="shared" si="70"/>
        <v>0</v>
      </c>
      <c r="M173" s="700">
        <f t="shared" si="70"/>
        <v>6408</v>
      </c>
      <c r="N173" s="700">
        <f t="shared" si="70"/>
        <v>0</v>
      </c>
      <c r="O173" s="700">
        <f>SUM(O169:O172)</f>
        <v>0</v>
      </c>
    </row>
    <row r="174" spans="1:15">
      <c r="A174" s="1843"/>
      <c r="B174" s="676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  <c r="N174" s="678"/>
      <c r="O174" s="678"/>
    </row>
    <row r="175" spans="1:15" ht="16" thickBot="1">
      <c r="A175" s="1843"/>
      <c r="B175" s="679"/>
      <c r="C175" s="661"/>
      <c r="D175" s="661"/>
      <c r="E175" s="661"/>
      <c r="F175" s="661"/>
      <c r="G175" s="661"/>
      <c r="H175" s="661"/>
      <c r="I175" s="661"/>
      <c r="J175" s="661"/>
      <c r="K175" s="661"/>
      <c r="L175" s="661"/>
      <c r="M175" s="661"/>
      <c r="N175" s="661"/>
      <c r="O175" s="661"/>
    </row>
    <row r="176" spans="1:15" ht="16" thickBot="1">
      <c r="A176" s="1842"/>
      <c r="B176" s="722" t="s">
        <v>719</v>
      </c>
      <c r="C176" s="723">
        <f t="shared" ref="C176:N176" si="71">C65</f>
        <v>45658</v>
      </c>
      <c r="D176" s="723">
        <f t="shared" si="71"/>
        <v>45689</v>
      </c>
      <c r="E176" s="723">
        <f t="shared" si="71"/>
        <v>45717</v>
      </c>
      <c r="F176" s="723">
        <f t="shared" si="71"/>
        <v>45748</v>
      </c>
      <c r="G176" s="723">
        <f t="shared" si="71"/>
        <v>45778</v>
      </c>
      <c r="H176" s="723">
        <f t="shared" si="71"/>
        <v>45809</v>
      </c>
      <c r="I176" s="723">
        <f t="shared" si="71"/>
        <v>45839</v>
      </c>
      <c r="J176" s="723">
        <f t="shared" si="71"/>
        <v>45870</v>
      </c>
      <c r="K176" s="723">
        <f t="shared" si="71"/>
        <v>45901</v>
      </c>
      <c r="L176" s="723">
        <f t="shared" si="71"/>
        <v>45931</v>
      </c>
      <c r="M176" s="723">
        <f t="shared" si="71"/>
        <v>45962</v>
      </c>
      <c r="N176" s="723">
        <f t="shared" si="71"/>
        <v>45992</v>
      </c>
      <c r="O176" s="723">
        <f>O65</f>
        <v>45778</v>
      </c>
    </row>
    <row r="177" spans="1:15" ht="17" thickBot="1">
      <c r="A177" s="1842"/>
      <c r="B177" s="685" t="s">
        <v>38</v>
      </c>
      <c r="C177" s="712" t="s">
        <v>444</v>
      </c>
      <c r="D177" s="712" t="s">
        <v>444</v>
      </c>
      <c r="E177" s="712" t="s">
        <v>444</v>
      </c>
      <c r="F177" s="712" t="s">
        <v>444</v>
      </c>
      <c r="G177" s="712" t="s">
        <v>444</v>
      </c>
      <c r="H177" s="712" t="s">
        <v>444</v>
      </c>
      <c r="I177" s="712" t="s">
        <v>444</v>
      </c>
      <c r="J177" s="712" t="s">
        <v>444</v>
      </c>
      <c r="K177" s="712" t="s">
        <v>444</v>
      </c>
      <c r="L177" s="712" t="s">
        <v>444</v>
      </c>
      <c r="M177" s="712" t="s">
        <v>444</v>
      </c>
      <c r="N177" s="712" t="s">
        <v>444</v>
      </c>
      <c r="O177" s="712" t="s">
        <v>444</v>
      </c>
    </row>
    <row r="178" spans="1:15" ht="16" thickBot="1">
      <c r="A178" s="1842"/>
      <c r="B178" s="698" t="s">
        <v>720</v>
      </c>
      <c r="C178" s="738"/>
      <c r="D178" s="738"/>
      <c r="E178" s="738"/>
      <c r="F178" s="738"/>
      <c r="G178" s="738"/>
      <c r="H178" s="738"/>
      <c r="I178" s="748"/>
      <c r="J178" s="738"/>
      <c r="K178" s="738"/>
      <c r="L178" s="738"/>
      <c r="M178" s="738"/>
      <c r="N178" s="739"/>
      <c r="O178" s="738"/>
    </row>
    <row r="179" spans="1:15" ht="16" thickBot="1">
      <c r="A179" s="1842" t="s">
        <v>1466</v>
      </c>
      <c r="B179" s="698" t="s">
        <v>721</v>
      </c>
      <c r="C179" s="738"/>
      <c r="D179" s="738"/>
      <c r="E179" s="738"/>
      <c r="F179" s="738"/>
      <c r="G179" s="738">
        <v>281858</v>
      </c>
      <c r="H179" s="738"/>
      <c r="I179" s="738"/>
      <c r="J179" s="738"/>
      <c r="K179" s="738"/>
      <c r="L179" s="738">
        <v>110754</v>
      </c>
      <c r="M179" s="738"/>
      <c r="N179" s="739">
        <v>349514</v>
      </c>
      <c r="O179" s="738"/>
    </row>
    <row r="180" spans="1:15" ht="16" thickBot="1">
      <c r="A180" s="1842"/>
      <c r="B180" s="698" t="s">
        <v>722</v>
      </c>
      <c r="C180" s="736"/>
      <c r="D180" s="736"/>
      <c r="E180" s="736"/>
      <c r="F180" s="736"/>
      <c r="G180" s="736"/>
      <c r="H180" s="736"/>
      <c r="I180" s="746"/>
      <c r="J180" s="736"/>
      <c r="K180" s="736"/>
      <c r="L180" s="736"/>
      <c r="M180" s="736"/>
      <c r="N180" s="747"/>
      <c r="O180" s="736"/>
    </row>
    <row r="181" spans="1:15" ht="16" thickBot="1">
      <c r="A181" s="1842"/>
      <c r="B181" s="702" t="s">
        <v>31</v>
      </c>
      <c r="C181" s="689">
        <f t="shared" ref="C181:N181" si="72">SUM(C178:C180)</f>
        <v>0</v>
      </c>
      <c r="D181" s="689">
        <f t="shared" si="72"/>
        <v>0</v>
      </c>
      <c r="E181" s="689">
        <f t="shared" si="72"/>
        <v>0</v>
      </c>
      <c r="F181" s="689">
        <f t="shared" si="72"/>
        <v>0</v>
      </c>
      <c r="G181" s="689">
        <f t="shared" si="72"/>
        <v>281858</v>
      </c>
      <c r="H181" s="689">
        <f t="shared" si="72"/>
        <v>0</v>
      </c>
      <c r="I181" s="689">
        <f t="shared" si="72"/>
        <v>0</v>
      </c>
      <c r="J181" s="689">
        <f t="shared" si="72"/>
        <v>0</v>
      </c>
      <c r="K181" s="689">
        <f t="shared" si="72"/>
        <v>0</v>
      </c>
      <c r="L181" s="689">
        <f t="shared" si="72"/>
        <v>110754</v>
      </c>
      <c r="M181" s="689">
        <f t="shared" si="72"/>
        <v>0</v>
      </c>
      <c r="N181" s="689">
        <f t="shared" si="72"/>
        <v>349514</v>
      </c>
      <c r="O181" s="689">
        <f>SUM(O178:O180)</f>
        <v>0</v>
      </c>
    </row>
    <row r="182" spans="1:15">
      <c r="A182" s="1843"/>
      <c r="B182" s="678"/>
      <c r="C182" s="716"/>
      <c r="D182" s="717"/>
      <c r="E182" s="717"/>
      <c r="F182" s="717"/>
      <c r="G182" s="717"/>
      <c r="H182" s="717"/>
      <c r="I182" s="717"/>
      <c r="J182" s="717"/>
      <c r="K182" s="717"/>
      <c r="L182" s="717"/>
      <c r="M182" s="717"/>
      <c r="N182" s="717"/>
      <c r="O182" s="717"/>
    </row>
    <row r="183" spans="1:15" ht="16" thickBot="1">
      <c r="A183" s="1843"/>
      <c r="B183" s="679"/>
      <c r="C183" s="661"/>
      <c r="D183" s="661"/>
      <c r="E183" s="661"/>
      <c r="F183" s="661"/>
      <c r="G183" s="661"/>
      <c r="H183" s="661"/>
      <c r="I183" s="661"/>
      <c r="J183" s="661"/>
      <c r="K183" s="661"/>
      <c r="L183" s="661"/>
      <c r="M183" s="661"/>
      <c r="N183" s="661"/>
      <c r="O183" s="661"/>
    </row>
    <row r="184" spans="1:15">
      <c r="A184" s="1842"/>
      <c r="B184" s="749" t="s">
        <v>723</v>
      </c>
      <c r="C184" s="741">
        <f t="shared" ref="C184:N184" si="73">C65</f>
        <v>45658</v>
      </c>
      <c r="D184" s="741">
        <f t="shared" si="73"/>
        <v>45689</v>
      </c>
      <c r="E184" s="741">
        <f t="shared" si="73"/>
        <v>45717</v>
      </c>
      <c r="F184" s="741">
        <f t="shared" si="73"/>
        <v>45748</v>
      </c>
      <c r="G184" s="741">
        <f t="shared" si="73"/>
        <v>45778</v>
      </c>
      <c r="H184" s="741">
        <f t="shared" si="73"/>
        <v>45809</v>
      </c>
      <c r="I184" s="741">
        <f t="shared" si="73"/>
        <v>45839</v>
      </c>
      <c r="J184" s="741">
        <f t="shared" si="73"/>
        <v>45870</v>
      </c>
      <c r="K184" s="741">
        <f t="shared" si="73"/>
        <v>45901</v>
      </c>
      <c r="L184" s="741">
        <f t="shared" si="73"/>
        <v>45931</v>
      </c>
      <c r="M184" s="741">
        <f t="shared" si="73"/>
        <v>45962</v>
      </c>
      <c r="N184" s="741">
        <f t="shared" si="73"/>
        <v>45992</v>
      </c>
      <c r="O184" s="741">
        <f>O65</f>
        <v>45778</v>
      </c>
    </row>
    <row r="185" spans="1:15" ht="16" thickBot="1">
      <c r="A185" s="1842"/>
      <c r="B185" s="718" t="s">
        <v>644</v>
      </c>
      <c r="C185" s="736"/>
      <c r="D185" s="736"/>
      <c r="E185" s="736"/>
      <c r="F185" s="736"/>
      <c r="G185" s="736"/>
      <c r="H185" s="736"/>
      <c r="I185" s="736"/>
      <c r="J185" s="736"/>
      <c r="K185" s="736"/>
      <c r="L185" s="736"/>
      <c r="M185" s="736"/>
      <c r="N185" s="747"/>
      <c r="O185" s="736"/>
    </row>
    <row r="186" spans="1:15" ht="16" thickBot="1">
      <c r="A186" s="1842"/>
      <c r="B186" s="702" t="s">
        <v>31</v>
      </c>
      <c r="C186" s="665">
        <f t="shared" ref="C186:N186" si="74">SUM(C185:C185)</f>
        <v>0</v>
      </c>
      <c r="D186" s="665">
        <f t="shared" si="74"/>
        <v>0</v>
      </c>
      <c r="E186" s="665">
        <f t="shared" si="74"/>
        <v>0</v>
      </c>
      <c r="F186" s="719">
        <f t="shared" si="74"/>
        <v>0</v>
      </c>
      <c r="G186" s="719">
        <f t="shared" si="74"/>
        <v>0</v>
      </c>
      <c r="H186" s="719">
        <f t="shared" si="74"/>
        <v>0</v>
      </c>
      <c r="I186" s="719">
        <f t="shared" si="74"/>
        <v>0</v>
      </c>
      <c r="J186" s="719">
        <f t="shared" si="74"/>
        <v>0</v>
      </c>
      <c r="K186" s="719">
        <f t="shared" si="74"/>
        <v>0</v>
      </c>
      <c r="L186" s="719">
        <f t="shared" si="74"/>
        <v>0</v>
      </c>
      <c r="M186" s="719">
        <f t="shared" si="74"/>
        <v>0</v>
      </c>
      <c r="N186" s="719">
        <f t="shared" si="74"/>
        <v>0</v>
      </c>
      <c r="O186" s="719">
        <f>SUM(O185:O185)</f>
        <v>0</v>
      </c>
    </row>
    <row r="187" spans="1:15" ht="16" thickBot="1">
      <c r="A187" s="1843"/>
      <c r="B187" s="667"/>
      <c r="C187" s="706"/>
      <c r="D187" s="706"/>
      <c r="E187" s="706"/>
      <c r="F187" s="667"/>
      <c r="G187" s="667"/>
      <c r="H187" s="667"/>
      <c r="I187" s="667"/>
      <c r="J187" s="667"/>
      <c r="K187" s="667"/>
      <c r="L187" s="667"/>
      <c r="M187" s="667"/>
      <c r="N187" s="667"/>
      <c r="O187" s="667"/>
    </row>
    <row r="188" spans="1:15" ht="16" thickBot="1">
      <c r="A188" s="1842"/>
      <c r="B188" s="742" t="s">
        <v>724</v>
      </c>
      <c r="C188" s="750">
        <f t="shared" ref="C188:N188" si="75">SUM(C121)</f>
        <v>0</v>
      </c>
      <c r="D188" s="750">
        <f t="shared" si="75"/>
        <v>0</v>
      </c>
      <c r="E188" s="750">
        <f t="shared" si="75"/>
        <v>0</v>
      </c>
      <c r="F188" s="750">
        <f t="shared" si="75"/>
        <v>0</v>
      </c>
      <c r="G188" s="750">
        <f t="shared" si="75"/>
        <v>0</v>
      </c>
      <c r="H188" s="750">
        <f t="shared" si="75"/>
        <v>0</v>
      </c>
      <c r="I188" s="750">
        <f t="shared" si="75"/>
        <v>0</v>
      </c>
      <c r="J188" s="750">
        <f t="shared" si="75"/>
        <v>0</v>
      </c>
      <c r="K188" s="750">
        <f t="shared" si="75"/>
        <v>0</v>
      </c>
      <c r="L188" s="750">
        <f t="shared" si="75"/>
        <v>0</v>
      </c>
      <c r="M188" s="750">
        <f t="shared" si="75"/>
        <v>0</v>
      </c>
      <c r="N188" s="750">
        <f t="shared" si="75"/>
        <v>0</v>
      </c>
      <c r="O188" s="750">
        <f>SUM(O121)</f>
        <v>0</v>
      </c>
    </row>
    <row r="189" spans="1:15" ht="16" thickBot="1">
      <c r="A189" s="1842"/>
      <c r="B189" s="742" t="s">
        <v>725</v>
      </c>
      <c r="C189" s="750">
        <f t="shared" ref="C189:N189" si="76">SUM(C135)</f>
        <v>0</v>
      </c>
      <c r="D189" s="750">
        <f t="shared" si="76"/>
        <v>1995</v>
      </c>
      <c r="E189" s="750">
        <f t="shared" si="76"/>
        <v>53349</v>
      </c>
      <c r="F189" s="750">
        <f t="shared" si="76"/>
        <v>1500</v>
      </c>
      <c r="G189" s="750">
        <f t="shared" si="76"/>
        <v>47617</v>
      </c>
      <c r="H189" s="750">
        <f t="shared" si="76"/>
        <v>4163</v>
      </c>
      <c r="I189" s="750">
        <f t="shared" si="76"/>
        <v>2500</v>
      </c>
      <c r="J189" s="750">
        <f t="shared" si="76"/>
        <v>1000</v>
      </c>
      <c r="K189" s="750">
        <f t="shared" si="76"/>
        <v>1000</v>
      </c>
      <c r="L189" s="750">
        <f t="shared" si="76"/>
        <v>88411</v>
      </c>
      <c r="M189" s="750">
        <f t="shared" si="76"/>
        <v>1000</v>
      </c>
      <c r="N189" s="750">
        <f t="shared" si="76"/>
        <v>218410</v>
      </c>
      <c r="O189" s="750">
        <f>SUM(O135)</f>
        <v>0</v>
      </c>
    </row>
    <row r="190" spans="1:15" ht="16" thickBot="1">
      <c r="A190" s="1842"/>
      <c r="B190" s="742" t="str">
        <f>B137</f>
        <v>GASTOS OPERACIONALES</v>
      </c>
      <c r="C190" s="750">
        <f t="shared" ref="C190:N190" si="77">C151</f>
        <v>0</v>
      </c>
      <c r="D190" s="750">
        <f t="shared" si="77"/>
        <v>0</v>
      </c>
      <c r="E190" s="750">
        <f t="shared" si="77"/>
        <v>5320</v>
      </c>
      <c r="F190" s="750">
        <f t="shared" si="77"/>
        <v>0</v>
      </c>
      <c r="G190" s="750">
        <f t="shared" si="77"/>
        <v>0</v>
      </c>
      <c r="H190" s="750">
        <f t="shared" si="77"/>
        <v>0</v>
      </c>
      <c r="I190" s="750">
        <f t="shared" si="77"/>
        <v>0</v>
      </c>
      <c r="J190" s="750">
        <f t="shared" si="77"/>
        <v>0</v>
      </c>
      <c r="K190" s="750">
        <f t="shared" si="77"/>
        <v>0</v>
      </c>
      <c r="L190" s="750">
        <f t="shared" si="77"/>
        <v>0</v>
      </c>
      <c r="M190" s="750">
        <f t="shared" si="77"/>
        <v>0</v>
      </c>
      <c r="N190" s="750">
        <f t="shared" si="77"/>
        <v>0</v>
      </c>
      <c r="O190" s="750">
        <f>O151</f>
        <v>0</v>
      </c>
    </row>
    <row r="191" spans="1:15" ht="16" thickBot="1">
      <c r="A191" s="1842"/>
      <c r="B191" s="742" t="str">
        <f>B153</f>
        <v>GASTOS ADMINISTRACION</v>
      </c>
      <c r="C191" s="750">
        <f t="shared" ref="C191:N191" si="78">C159</f>
        <v>15</v>
      </c>
      <c r="D191" s="750">
        <f t="shared" si="78"/>
        <v>30</v>
      </c>
      <c r="E191" s="750">
        <f t="shared" si="78"/>
        <v>59</v>
      </c>
      <c r="F191" s="750">
        <f t="shared" si="78"/>
        <v>8398</v>
      </c>
      <c r="G191" s="750">
        <f t="shared" si="78"/>
        <v>49</v>
      </c>
      <c r="H191" s="750">
        <f t="shared" si="78"/>
        <v>15</v>
      </c>
      <c r="I191" s="750">
        <f t="shared" si="78"/>
        <v>7517</v>
      </c>
      <c r="J191" s="750">
        <f t="shared" si="78"/>
        <v>15</v>
      </c>
      <c r="K191" s="750">
        <f t="shared" si="78"/>
        <v>0</v>
      </c>
      <c r="L191" s="750">
        <f t="shared" si="78"/>
        <v>0</v>
      </c>
      <c r="M191" s="750">
        <f t="shared" si="78"/>
        <v>0</v>
      </c>
      <c r="N191" s="750">
        <f t="shared" si="78"/>
        <v>0</v>
      </c>
      <c r="O191" s="750">
        <f>O159</f>
        <v>0</v>
      </c>
    </row>
    <row r="192" spans="1:15" ht="16" thickBot="1">
      <c r="A192" s="1842"/>
      <c r="B192" s="742" t="str">
        <f>B161</f>
        <v>ACTIVOS</v>
      </c>
      <c r="C192" s="750">
        <f t="shared" ref="C192:N192" si="79">C165</f>
        <v>0</v>
      </c>
      <c r="D192" s="750">
        <f t="shared" si="79"/>
        <v>0</v>
      </c>
      <c r="E192" s="750">
        <f t="shared" si="79"/>
        <v>0</v>
      </c>
      <c r="F192" s="750">
        <f t="shared" si="79"/>
        <v>0</v>
      </c>
      <c r="G192" s="750">
        <f t="shared" si="79"/>
        <v>0</v>
      </c>
      <c r="H192" s="750">
        <f t="shared" si="79"/>
        <v>0</v>
      </c>
      <c r="I192" s="750">
        <f t="shared" si="79"/>
        <v>0</v>
      </c>
      <c r="J192" s="750">
        <f t="shared" si="79"/>
        <v>0</v>
      </c>
      <c r="K192" s="750">
        <f t="shared" si="79"/>
        <v>0</v>
      </c>
      <c r="L192" s="750">
        <f t="shared" si="79"/>
        <v>0</v>
      </c>
      <c r="M192" s="750">
        <f t="shared" si="79"/>
        <v>0</v>
      </c>
      <c r="N192" s="750">
        <f t="shared" si="79"/>
        <v>0</v>
      </c>
      <c r="O192" s="750">
        <f>O165</f>
        <v>0</v>
      </c>
    </row>
    <row r="193" spans="1:15" ht="16" thickBot="1">
      <c r="A193" s="1842"/>
      <c r="B193" s="742" t="s">
        <v>134</v>
      </c>
      <c r="C193" s="750">
        <f t="shared" ref="C193:N193" si="80">SUM(C173)</f>
        <v>0</v>
      </c>
      <c r="D193" s="750">
        <f t="shared" si="80"/>
        <v>0</v>
      </c>
      <c r="E193" s="750">
        <f t="shared" si="80"/>
        <v>0</v>
      </c>
      <c r="F193" s="750">
        <f t="shared" si="80"/>
        <v>0</v>
      </c>
      <c r="G193" s="750">
        <f t="shared" si="80"/>
        <v>0</v>
      </c>
      <c r="H193" s="750">
        <f t="shared" si="80"/>
        <v>0</v>
      </c>
      <c r="I193" s="750">
        <f t="shared" si="80"/>
        <v>0</v>
      </c>
      <c r="J193" s="750">
        <f t="shared" si="80"/>
        <v>0</v>
      </c>
      <c r="K193" s="750">
        <f t="shared" si="80"/>
        <v>0</v>
      </c>
      <c r="L193" s="750">
        <f t="shared" si="80"/>
        <v>0</v>
      </c>
      <c r="M193" s="750">
        <f t="shared" si="80"/>
        <v>6408</v>
      </c>
      <c r="N193" s="750">
        <f t="shared" si="80"/>
        <v>0</v>
      </c>
      <c r="O193" s="750">
        <f>SUM(O173)</f>
        <v>0</v>
      </c>
    </row>
    <row r="194" spans="1:15" ht="16" thickBot="1">
      <c r="A194" s="1842"/>
      <c r="B194" s="973" t="s">
        <v>726</v>
      </c>
      <c r="C194" s="974">
        <f t="shared" ref="C194:N194" si="81">SUM(C188:C193)</f>
        <v>15</v>
      </c>
      <c r="D194" s="974">
        <f t="shared" si="81"/>
        <v>2025</v>
      </c>
      <c r="E194" s="974">
        <f t="shared" si="81"/>
        <v>58728</v>
      </c>
      <c r="F194" s="974">
        <f t="shared" si="81"/>
        <v>9898</v>
      </c>
      <c r="G194" s="974">
        <f t="shared" si="81"/>
        <v>47666</v>
      </c>
      <c r="H194" s="974">
        <f t="shared" si="81"/>
        <v>4178</v>
      </c>
      <c r="I194" s="974">
        <f t="shared" si="81"/>
        <v>10017</v>
      </c>
      <c r="J194" s="974">
        <f t="shared" si="81"/>
        <v>1015</v>
      </c>
      <c r="K194" s="974">
        <f t="shared" si="81"/>
        <v>1000</v>
      </c>
      <c r="L194" s="974">
        <f t="shared" si="81"/>
        <v>88411</v>
      </c>
      <c r="M194" s="974">
        <f t="shared" si="81"/>
        <v>7408</v>
      </c>
      <c r="N194" s="974">
        <f t="shared" si="81"/>
        <v>218410</v>
      </c>
      <c r="O194" s="974">
        <f>SUM(O188:O193)</f>
        <v>0</v>
      </c>
    </row>
    <row r="195" spans="1:15" ht="16" thickBot="1">
      <c r="A195" s="1842"/>
      <c r="B195" s="742" t="str">
        <f>B176</f>
        <v>CUENTA CORRIENTE EE.RR</v>
      </c>
      <c r="C195" s="750">
        <f t="shared" ref="C195:N195" si="82">SUM(C181)</f>
        <v>0</v>
      </c>
      <c r="D195" s="750">
        <f t="shared" si="82"/>
        <v>0</v>
      </c>
      <c r="E195" s="750">
        <f t="shared" si="82"/>
        <v>0</v>
      </c>
      <c r="F195" s="750">
        <f t="shared" si="82"/>
        <v>0</v>
      </c>
      <c r="G195" s="750">
        <f t="shared" si="82"/>
        <v>281858</v>
      </c>
      <c r="H195" s="750">
        <f t="shared" si="82"/>
        <v>0</v>
      </c>
      <c r="I195" s="750">
        <f t="shared" si="82"/>
        <v>0</v>
      </c>
      <c r="J195" s="750">
        <f t="shared" si="82"/>
        <v>0</v>
      </c>
      <c r="K195" s="750">
        <f t="shared" si="82"/>
        <v>0</v>
      </c>
      <c r="L195" s="750">
        <f t="shared" si="82"/>
        <v>110754</v>
      </c>
      <c r="M195" s="750">
        <f t="shared" si="82"/>
        <v>0</v>
      </c>
      <c r="N195" s="750">
        <f t="shared" si="82"/>
        <v>349514</v>
      </c>
      <c r="O195" s="750">
        <f>SUM(O181)</f>
        <v>0</v>
      </c>
    </row>
    <row r="196" spans="1:15">
      <c r="A196" s="1842"/>
      <c r="B196" s="724" t="s">
        <v>723</v>
      </c>
      <c r="C196" s="751">
        <f t="shared" ref="C196:N196" si="83">SUM(C186)</f>
        <v>0</v>
      </c>
      <c r="D196" s="751">
        <f t="shared" si="83"/>
        <v>0</v>
      </c>
      <c r="E196" s="751">
        <f t="shared" si="83"/>
        <v>0</v>
      </c>
      <c r="F196" s="751">
        <f t="shared" si="83"/>
        <v>0</v>
      </c>
      <c r="G196" s="751">
        <f t="shared" si="83"/>
        <v>0</v>
      </c>
      <c r="H196" s="751">
        <f t="shared" si="83"/>
        <v>0</v>
      </c>
      <c r="I196" s="751">
        <f t="shared" si="83"/>
        <v>0</v>
      </c>
      <c r="J196" s="751">
        <f t="shared" si="83"/>
        <v>0</v>
      </c>
      <c r="K196" s="751">
        <f t="shared" si="83"/>
        <v>0</v>
      </c>
      <c r="L196" s="751">
        <f t="shared" si="83"/>
        <v>0</v>
      </c>
      <c r="M196" s="751">
        <f t="shared" si="83"/>
        <v>0</v>
      </c>
      <c r="N196" s="751">
        <f t="shared" si="83"/>
        <v>0</v>
      </c>
      <c r="O196" s="751">
        <f>SUM(O186)</f>
        <v>0</v>
      </c>
    </row>
    <row r="197" spans="1:15" ht="16" thickBot="1">
      <c r="A197" s="1842"/>
      <c r="B197" s="975" t="s">
        <v>727</v>
      </c>
      <c r="C197" s="976">
        <f t="shared" ref="C197:N197" si="84">SUM(C194:C196)</f>
        <v>15</v>
      </c>
      <c r="D197" s="976">
        <f t="shared" si="84"/>
        <v>2025</v>
      </c>
      <c r="E197" s="976">
        <f t="shared" si="84"/>
        <v>58728</v>
      </c>
      <c r="F197" s="976">
        <f t="shared" si="84"/>
        <v>9898</v>
      </c>
      <c r="G197" s="976">
        <f t="shared" si="84"/>
        <v>329524</v>
      </c>
      <c r="H197" s="976">
        <f t="shared" si="84"/>
        <v>4178</v>
      </c>
      <c r="I197" s="976">
        <f t="shared" si="84"/>
        <v>10017</v>
      </c>
      <c r="J197" s="976">
        <f t="shared" si="84"/>
        <v>1015</v>
      </c>
      <c r="K197" s="976">
        <f t="shared" si="84"/>
        <v>1000</v>
      </c>
      <c r="L197" s="976">
        <f t="shared" si="84"/>
        <v>199165</v>
      </c>
      <c r="M197" s="976">
        <f t="shared" si="84"/>
        <v>7408</v>
      </c>
      <c r="N197" s="976">
        <f t="shared" si="84"/>
        <v>567924</v>
      </c>
      <c r="O197" s="976">
        <f>SUM(O194:O196)</f>
        <v>0</v>
      </c>
    </row>
    <row r="198" spans="1:15" ht="16" thickBot="1">
      <c r="A198" s="1843"/>
      <c r="B198" s="667"/>
      <c r="C198" s="706"/>
      <c r="D198" s="706"/>
      <c r="E198" s="706"/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</row>
    <row r="199" spans="1:15" ht="16" thickBot="1">
      <c r="A199" s="1842"/>
      <c r="B199" s="731" t="s">
        <v>728</v>
      </c>
      <c r="C199" s="750">
        <f t="shared" ref="C199:N199" si="85">SUM(C109-C197)</f>
        <v>150438</v>
      </c>
      <c r="D199" s="750">
        <f t="shared" si="85"/>
        <v>241440.21</v>
      </c>
      <c r="E199" s="750">
        <f t="shared" si="85"/>
        <v>82798</v>
      </c>
      <c r="F199" s="750">
        <f t="shared" si="85"/>
        <v>159302</v>
      </c>
      <c r="G199" s="750">
        <f t="shared" si="85"/>
        <v>-134434</v>
      </c>
      <c r="H199" s="750">
        <f t="shared" si="85"/>
        <v>57618</v>
      </c>
      <c r="I199" s="750">
        <f t="shared" si="85"/>
        <v>-10017</v>
      </c>
      <c r="J199" s="750">
        <f t="shared" si="85"/>
        <v>18985</v>
      </c>
      <c r="K199" s="750">
        <f t="shared" si="85"/>
        <v>-1000</v>
      </c>
      <c r="L199" s="750">
        <f t="shared" si="85"/>
        <v>-154165</v>
      </c>
      <c r="M199" s="750">
        <f t="shared" si="85"/>
        <v>-7408</v>
      </c>
      <c r="N199" s="750">
        <f t="shared" si="85"/>
        <v>-389139</v>
      </c>
      <c r="O199" s="750">
        <f>SUM(O109-O197)</f>
        <v>0</v>
      </c>
    </row>
    <row r="200" spans="1:15" ht="16" thickBot="1">
      <c r="A200" s="1843"/>
      <c r="B200" s="667"/>
      <c r="C200" s="706"/>
      <c r="D200" s="706"/>
      <c r="E200" s="706"/>
      <c r="F200" s="706"/>
      <c r="G200" s="706"/>
      <c r="H200" s="706"/>
      <c r="I200" s="706"/>
      <c r="J200" s="706"/>
      <c r="K200" s="706"/>
      <c r="L200" s="706"/>
      <c r="M200" s="706"/>
      <c r="N200" s="706"/>
      <c r="O200" s="706"/>
    </row>
    <row r="201" spans="1:15" ht="16" thickBot="1">
      <c r="A201" s="1842"/>
      <c r="B201" s="685" t="s">
        <v>729</v>
      </c>
      <c r="C201" s="720">
        <f t="shared" ref="C201:N201" si="86">C66+C199</f>
        <v>205783</v>
      </c>
      <c r="D201" s="720">
        <f t="shared" si="86"/>
        <v>447223.20999999996</v>
      </c>
      <c r="E201" s="720">
        <f t="shared" si="86"/>
        <v>530021.21</v>
      </c>
      <c r="F201" s="720">
        <f>F66+F199</f>
        <v>689323.21</v>
      </c>
      <c r="G201" s="720">
        <f t="shared" si="86"/>
        <v>554889.21</v>
      </c>
      <c r="H201" s="720">
        <f t="shared" si="86"/>
        <v>612507.21</v>
      </c>
      <c r="I201" s="720">
        <f t="shared" si="86"/>
        <v>602490.21</v>
      </c>
      <c r="J201" s="2292">
        <f t="shared" si="86"/>
        <v>621475.21</v>
      </c>
      <c r="K201" s="2232">
        <f t="shared" si="86"/>
        <v>620475.21</v>
      </c>
      <c r="L201" s="720">
        <f t="shared" si="86"/>
        <v>466310.20999999996</v>
      </c>
      <c r="M201" s="720">
        <f t="shared" si="86"/>
        <v>458902.20999999996</v>
      </c>
      <c r="N201" s="720">
        <f t="shared" si="86"/>
        <v>69763.209999999963</v>
      </c>
      <c r="O201" s="720">
        <f>O66+O199</f>
        <v>0</v>
      </c>
    </row>
    <row r="202" spans="1:15">
      <c r="D202" s="1440"/>
      <c r="E202" s="1440"/>
      <c r="F202" s="1440"/>
      <c r="G202" s="1440"/>
      <c r="H202" s="1440"/>
      <c r="I202" s="1440"/>
      <c r="J202" s="1440"/>
      <c r="K202" s="1440"/>
      <c r="L202" s="1440"/>
      <c r="M202" s="1440"/>
      <c r="N202" s="1440"/>
    </row>
  </sheetData>
  <conditionalFormatting sqref="C95:J95">
    <cfRule type="cellIs" dxfId="334" priority="2" stopIfTrue="1" operator="lessThan">
      <formula>0</formula>
    </cfRule>
  </conditionalFormatting>
  <conditionalFormatting sqref="O95">
    <cfRule type="cellIs" dxfId="333" priority="1" stopIfTrue="1" operator="lessThan">
      <formula>0</formula>
    </cfRule>
  </conditionalFormatting>
  <pageMargins left="0.7" right="0.7" top="0.75" bottom="0.75" header="0.3" footer="0.3"/>
  <pageSetup scale="37" orientation="landscape" horizontalDpi="4294967295" verticalDpi="4294967295" r:id="rId1"/>
  <rowBreaks count="1" manualBreakCount="1">
    <brk id="94" max="16383" man="1"/>
  </rowBreaks>
  <legacy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782F-109D-41D6-AD37-DA19215BE0C1}">
  <sheetPr codeName="Hoja17"/>
  <dimension ref="A2:P197"/>
  <sheetViews>
    <sheetView topLeftCell="A161" zoomScale="89" zoomScaleNormal="73" workbookViewId="0">
      <selection activeCell="B6" sqref="B6"/>
    </sheetView>
  </sheetViews>
  <sheetFormatPr baseColWidth="10" defaultRowHeight="15"/>
  <cols>
    <col min="1" max="1" width="12.5" bestFit="1" customWidth="1"/>
    <col min="2" max="2" width="52.5" customWidth="1"/>
    <col min="3" max="13" width="14.5" customWidth="1"/>
    <col min="14" max="14" width="15.83203125" bestFit="1" customWidth="1"/>
    <col min="15" max="15" width="15.5" customWidth="1"/>
    <col min="16" max="16" width="16" customWidth="1"/>
  </cols>
  <sheetData>
    <row r="2" spans="2:16">
      <c r="B2" s="561" t="s">
        <v>1384</v>
      </c>
      <c r="C2" s="13"/>
      <c r="D2" s="13"/>
      <c r="E2" s="13"/>
    </row>
    <row r="3" spans="2:16">
      <c r="B3" s="752">
        <f>+C66</f>
        <v>0</v>
      </c>
      <c r="C3" s="13"/>
      <c r="D3" s="13"/>
      <c r="E3" s="13"/>
    </row>
    <row r="4" spans="2:16">
      <c r="B4" s="448">
        <v>2025</v>
      </c>
      <c r="C4" s="449"/>
      <c r="D4" s="449"/>
      <c r="E4" s="449"/>
    </row>
    <row r="5" spans="2:16">
      <c r="B5" s="448"/>
      <c r="C5" s="447"/>
      <c r="D5" s="447"/>
      <c r="E5" s="447"/>
    </row>
    <row r="6" spans="2:16" ht="16" thickBot="1">
      <c r="B6" s="450"/>
      <c r="C6" s="451"/>
      <c r="D6" s="451"/>
      <c r="E6" s="451"/>
    </row>
    <row r="7" spans="2:16" ht="16" thickBot="1">
      <c r="B7" s="452" t="s">
        <v>619</v>
      </c>
      <c r="C7" s="1459" t="s">
        <v>505</v>
      </c>
      <c r="D7" s="1459" t="s">
        <v>505</v>
      </c>
      <c r="E7" s="1459" t="s">
        <v>505</v>
      </c>
      <c r="F7" s="1459" t="s">
        <v>505</v>
      </c>
      <c r="G7" s="1459" t="s">
        <v>505</v>
      </c>
      <c r="H7" s="1459" t="s">
        <v>505</v>
      </c>
      <c r="I7" s="1459" t="s">
        <v>505</v>
      </c>
      <c r="J7" s="1459" t="s">
        <v>505</v>
      </c>
      <c r="K7" s="1459" t="s">
        <v>505</v>
      </c>
      <c r="L7" s="1459" t="s">
        <v>505</v>
      </c>
      <c r="M7" s="1459" t="s">
        <v>505</v>
      </c>
      <c r="N7" s="1665"/>
      <c r="P7" t="s">
        <v>1810</v>
      </c>
    </row>
    <row r="8" spans="2:16" ht="16" thickBot="1">
      <c r="B8" s="454" t="s">
        <v>1</v>
      </c>
      <c r="C8" s="1460">
        <v>45658</v>
      </c>
      <c r="D8" s="1460">
        <v>45689</v>
      </c>
      <c r="E8" s="1460">
        <v>45717</v>
      </c>
      <c r="F8" s="1460">
        <v>45748</v>
      </c>
      <c r="G8" s="1460">
        <v>45778</v>
      </c>
      <c r="H8" s="1460">
        <v>45809</v>
      </c>
      <c r="I8" s="1460">
        <v>45839</v>
      </c>
      <c r="J8" s="1460">
        <v>45870</v>
      </c>
      <c r="K8" s="1460">
        <v>45901</v>
      </c>
      <c r="L8" s="1460">
        <v>45931</v>
      </c>
      <c r="M8" s="1460">
        <v>45962</v>
      </c>
      <c r="N8" s="455">
        <v>45992</v>
      </c>
      <c r="O8" s="455" t="s">
        <v>1387</v>
      </c>
      <c r="P8" s="455" t="s">
        <v>761</v>
      </c>
    </row>
    <row r="9" spans="2:16" ht="16" thickBot="1">
      <c r="B9" s="456" t="s">
        <v>606</v>
      </c>
      <c r="C9" s="457">
        <f>+C66</f>
        <v>0</v>
      </c>
      <c r="D9" s="457">
        <f>+C51</f>
        <v>-14044</v>
      </c>
      <c r="E9" s="457">
        <f>+D51</f>
        <v>7638</v>
      </c>
      <c r="F9" s="457">
        <f>+E51</f>
        <v>53116</v>
      </c>
      <c r="G9" s="457">
        <f>SUM(F51)</f>
        <v>38736</v>
      </c>
      <c r="H9" s="457">
        <f>SUM(G51)</f>
        <v>438304</v>
      </c>
      <c r="I9" s="457">
        <f t="shared" ref="I9:N9" si="0">SUM(H51)</f>
        <v>595255</v>
      </c>
      <c r="J9" s="457">
        <f t="shared" si="0"/>
        <v>589570.19999999995</v>
      </c>
      <c r="K9" s="457">
        <f t="shared" si="0"/>
        <v>683409.39999999991</v>
      </c>
      <c r="L9" s="457">
        <f t="shared" si="0"/>
        <v>677724.59999999986</v>
      </c>
      <c r="M9" s="457">
        <f t="shared" si="0"/>
        <v>782793.79999999981</v>
      </c>
      <c r="N9" s="457">
        <f t="shared" si="0"/>
        <v>1055321.9999999998</v>
      </c>
      <c r="O9" s="458">
        <f>+C9</f>
        <v>0</v>
      </c>
      <c r="P9" s="458">
        <f>+C9</f>
        <v>0</v>
      </c>
    </row>
    <row r="10" spans="2:16" ht="16" thickBot="1">
      <c r="B10" s="445"/>
      <c r="C10" s="459"/>
      <c r="D10" s="459"/>
      <c r="E10" s="459"/>
      <c r="F10" s="459"/>
      <c r="O10" s="459"/>
      <c r="P10" s="459"/>
    </row>
    <row r="11" spans="2:16" ht="16" thickBot="1">
      <c r="B11" s="462" t="s">
        <v>627</v>
      </c>
      <c r="C11" s="463">
        <f>+C90</f>
        <v>0</v>
      </c>
      <c r="D11" s="463">
        <f>+D90</f>
        <v>21682</v>
      </c>
      <c r="E11" s="463">
        <f>+E90</f>
        <v>45478</v>
      </c>
      <c r="F11" s="463"/>
      <c r="G11" s="463"/>
      <c r="H11" s="1728"/>
      <c r="I11" s="1728"/>
      <c r="J11" s="1728"/>
      <c r="K11" s="1728"/>
      <c r="L11" s="1728"/>
      <c r="M11" s="1728"/>
      <c r="N11" s="1728"/>
      <c r="O11" s="463">
        <f>SUM(C11:N11)</f>
        <v>67160</v>
      </c>
      <c r="P11" s="463">
        <f>SUM(C11:K11)</f>
        <v>67160</v>
      </c>
    </row>
    <row r="12" spans="2:16" ht="16" thickBot="1">
      <c r="B12" s="462" t="s">
        <v>626</v>
      </c>
      <c r="C12" s="463">
        <v>0</v>
      </c>
      <c r="D12" s="463">
        <v>0</v>
      </c>
      <c r="E12" s="463">
        <v>0</v>
      </c>
      <c r="F12" s="463">
        <f>+F90</f>
        <v>0</v>
      </c>
      <c r="G12" s="463">
        <f>+G90</f>
        <v>0</v>
      </c>
      <c r="H12" s="463">
        <f t="shared" ref="H12:N12" si="1">+H90</f>
        <v>172045</v>
      </c>
      <c r="I12" s="463">
        <f t="shared" si="1"/>
        <v>0</v>
      </c>
      <c r="J12" s="463">
        <f t="shared" si="1"/>
        <v>99524</v>
      </c>
      <c r="K12" s="463">
        <f t="shared" si="1"/>
        <v>0</v>
      </c>
      <c r="L12" s="463">
        <f t="shared" si="1"/>
        <v>0</v>
      </c>
      <c r="M12" s="463">
        <f t="shared" si="1"/>
        <v>0</v>
      </c>
      <c r="N12" s="463">
        <f t="shared" si="1"/>
        <v>0</v>
      </c>
      <c r="O12" s="463">
        <f>SUM(C12:N12)</f>
        <v>271569</v>
      </c>
      <c r="P12" s="463">
        <f>SUM(C12:J12)</f>
        <v>271569</v>
      </c>
    </row>
    <row r="13" spans="2:16" ht="16" thickBot="1">
      <c r="B13" s="462" t="s">
        <v>886</v>
      </c>
      <c r="C13" s="463">
        <f>SUM(C11:C12)</f>
        <v>0</v>
      </c>
      <c r="D13" s="463">
        <f>SUM(D11:D12)</f>
        <v>21682</v>
      </c>
      <c r="E13" s="463">
        <f>SUM(E11:E12)</f>
        <v>45478</v>
      </c>
      <c r="F13" s="463">
        <f>SUM(F11:F12)</f>
        <v>0</v>
      </c>
      <c r="G13" s="463">
        <f>SUM(G11:G12)</f>
        <v>0</v>
      </c>
      <c r="H13" s="463">
        <f t="shared" ref="H13:N13" si="2">SUM(H11:H12)</f>
        <v>172045</v>
      </c>
      <c r="I13" s="463">
        <f t="shared" si="2"/>
        <v>0</v>
      </c>
      <c r="J13" s="463">
        <f>SUM(J11:J12)</f>
        <v>99524</v>
      </c>
      <c r="K13" s="463">
        <f t="shared" si="2"/>
        <v>0</v>
      </c>
      <c r="L13" s="463">
        <f t="shared" si="2"/>
        <v>0</v>
      </c>
      <c r="M13" s="463">
        <f t="shared" si="2"/>
        <v>0</v>
      </c>
      <c r="N13" s="463">
        <f t="shared" si="2"/>
        <v>0</v>
      </c>
      <c r="O13" s="463">
        <f>SUM(O11:O12)</f>
        <v>338729</v>
      </c>
      <c r="P13" s="463">
        <f>SUM(P11:P12)</f>
        <v>338729</v>
      </c>
    </row>
    <row r="14" spans="2:16" ht="16" thickBot="1">
      <c r="B14" s="464"/>
      <c r="C14" s="450"/>
      <c r="D14" s="450"/>
      <c r="E14" s="450"/>
      <c r="F14" s="450"/>
      <c r="O14" s="450"/>
      <c r="P14" s="450"/>
    </row>
    <row r="15" spans="2:16" ht="16" thickBot="1">
      <c r="B15" s="465" t="s">
        <v>600</v>
      </c>
      <c r="C15" s="450"/>
      <c r="D15" s="450"/>
      <c r="E15" s="450"/>
      <c r="F15" s="450"/>
      <c r="O15" s="450"/>
      <c r="P15" s="450"/>
    </row>
    <row r="16" spans="2:16">
      <c r="B16" s="466" t="s">
        <v>7</v>
      </c>
      <c r="C16" s="467"/>
      <c r="D16" s="467"/>
      <c r="E16" s="467"/>
      <c r="F16" s="467"/>
      <c r="G16" s="467"/>
      <c r="H16" s="1729"/>
      <c r="I16" s="1729"/>
      <c r="J16" s="1729"/>
      <c r="K16" s="1729"/>
      <c r="L16" s="1729"/>
      <c r="M16" s="1729"/>
      <c r="N16" s="1729"/>
      <c r="O16" s="467">
        <f>SUM(C16:N16)</f>
        <v>0</v>
      </c>
      <c r="P16" s="467">
        <f>SUM(C16:K16)</f>
        <v>0</v>
      </c>
    </row>
    <row r="17" spans="2:16">
      <c r="B17" s="468" t="s">
        <v>8</v>
      </c>
      <c r="C17" s="469">
        <f>+C127</f>
        <v>14044</v>
      </c>
      <c r="D17" s="469">
        <f>+D127</f>
        <v>0</v>
      </c>
      <c r="E17" s="469">
        <f>+E130</f>
        <v>0</v>
      </c>
      <c r="F17" s="469">
        <f>+F130</f>
        <v>14380</v>
      </c>
      <c r="G17" s="469">
        <f>+G130</f>
        <v>0</v>
      </c>
      <c r="H17" s="469">
        <f>+H130</f>
        <v>15094</v>
      </c>
      <c r="I17" s="2329">
        <f t="shared" ref="I17:N17" si="3">+I130</f>
        <v>5684.8</v>
      </c>
      <c r="J17" s="2329">
        <f t="shared" si="3"/>
        <v>5684.8</v>
      </c>
      <c r="K17" s="2329">
        <f t="shared" si="3"/>
        <v>5684.8</v>
      </c>
      <c r="L17" s="2329">
        <f t="shared" si="3"/>
        <v>5684.8</v>
      </c>
      <c r="M17" s="2329">
        <f t="shared" si="3"/>
        <v>5684.8</v>
      </c>
      <c r="N17" s="2329">
        <f t="shared" si="3"/>
        <v>5684.8</v>
      </c>
      <c r="O17" s="758">
        <f>SUM(C17:N17)</f>
        <v>77626.800000000017</v>
      </c>
      <c r="P17" s="758">
        <f>SUM(C17:K17)</f>
        <v>60572.400000000009</v>
      </c>
    </row>
    <row r="18" spans="2:16" ht="16" thickBot="1">
      <c r="B18" s="468" t="s">
        <v>9</v>
      </c>
      <c r="C18" s="469">
        <f>+C133</f>
        <v>0</v>
      </c>
      <c r="D18" s="469">
        <f>+D133</f>
        <v>0</v>
      </c>
      <c r="E18" s="469">
        <f>+E133</f>
        <v>0</v>
      </c>
      <c r="F18" s="469">
        <f>+F133</f>
        <v>0</v>
      </c>
      <c r="G18" s="469">
        <f>+G133</f>
        <v>0</v>
      </c>
      <c r="H18" s="1730">
        <f>+SUM(C18:G18)/5</f>
        <v>0</v>
      </c>
      <c r="I18" s="1730">
        <f t="shared" ref="I18:N18" si="4">+H18</f>
        <v>0</v>
      </c>
      <c r="J18" s="1730">
        <f t="shared" si="4"/>
        <v>0</v>
      </c>
      <c r="K18" s="1730">
        <f t="shared" si="4"/>
        <v>0</v>
      </c>
      <c r="L18" s="1730">
        <f t="shared" si="4"/>
        <v>0</v>
      </c>
      <c r="M18" s="1730">
        <f t="shared" si="4"/>
        <v>0</v>
      </c>
      <c r="N18" s="1730">
        <f t="shared" si="4"/>
        <v>0</v>
      </c>
      <c r="O18" s="758">
        <f>SUM(C18:N18)</f>
        <v>0</v>
      </c>
      <c r="P18" s="758">
        <f>SUM(C18:G18)</f>
        <v>0</v>
      </c>
    </row>
    <row r="19" spans="2:16" ht="16" thickBot="1">
      <c r="B19" s="462" t="s">
        <v>11</v>
      </c>
      <c r="C19" s="463">
        <f>SUM(C16:C18)</f>
        <v>14044</v>
      </c>
      <c r="D19" s="463">
        <f>SUM(D16:D18)</f>
        <v>0</v>
      </c>
      <c r="E19" s="463">
        <f>SUM(E16:E18)</f>
        <v>0</v>
      </c>
      <c r="F19" s="463">
        <f>SUM(F16:F18)</f>
        <v>14380</v>
      </c>
      <c r="G19" s="463">
        <f t="shared" ref="G19:N19" si="5">SUM(G16:G18)</f>
        <v>0</v>
      </c>
      <c r="H19" s="463">
        <f t="shared" si="5"/>
        <v>15094</v>
      </c>
      <c r="I19" s="463">
        <f t="shared" si="5"/>
        <v>5684.8</v>
      </c>
      <c r="J19" s="463">
        <f t="shared" si="5"/>
        <v>5684.8</v>
      </c>
      <c r="K19" s="463">
        <f t="shared" si="5"/>
        <v>5684.8</v>
      </c>
      <c r="L19" s="463">
        <f t="shared" si="5"/>
        <v>5684.8</v>
      </c>
      <c r="M19" s="463">
        <f t="shared" si="5"/>
        <v>5684.8</v>
      </c>
      <c r="N19" s="463">
        <f t="shared" si="5"/>
        <v>5684.8</v>
      </c>
      <c r="O19" s="463">
        <f>SUM(O16:O18)</f>
        <v>77626.800000000017</v>
      </c>
      <c r="P19" s="463">
        <f>SUM(P16:P18)</f>
        <v>60572.400000000009</v>
      </c>
    </row>
    <row r="20" spans="2:16">
      <c r="B20" s="445"/>
      <c r="C20" s="470"/>
      <c r="D20" s="470"/>
      <c r="E20" s="470"/>
      <c r="F20" s="470"/>
      <c r="O20" s="470"/>
      <c r="P20" s="470"/>
    </row>
    <row r="21" spans="2:16" ht="16" thickBot="1">
      <c r="B21" s="445"/>
      <c r="C21" s="470"/>
      <c r="D21" s="470"/>
      <c r="E21" s="470"/>
      <c r="F21" s="470"/>
      <c r="O21" s="470"/>
      <c r="P21" s="470"/>
    </row>
    <row r="22" spans="2:16" ht="16" thickBot="1">
      <c r="B22" s="456" t="s">
        <v>598</v>
      </c>
      <c r="C22" s="471">
        <f>SUM(C13-C19)</f>
        <v>-14044</v>
      </c>
      <c r="D22" s="471">
        <f>SUM(D13-D19)</f>
        <v>21682</v>
      </c>
      <c r="E22" s="471">
        <f>SUM(E13-E19)</f>
        <v>45478</v>
      </c>
      <c r="F22" s="471">
        <f>SUM(F13-F19)</f>
        <v>-14380</v>
      </c>
      <c r="G22" s="471">
        <f>SUM(G13-G19)</f>
        <v>0</v>
      </c>
      <c r="H22" s="471">
        <f t="shared" ref="H22:N22" si="6">SUM(H13-H19)</f>
        <v>156951</v>
      </c>
      <c r="I22" s="471">
        <f t="shared" si="6"/>
        <v>-5684.8</v>
      </c>
      <c r="J22" s="471">
        <f t="shared" si="6"/>
        <v>93839.2</v>
      </c>
      <c r="K22" s="471">
        <f t="shared" si="6"/>
        <v>-5684.8</v>
      </c>
      <c r="L22" s="471">
        <f t="shared" si="6"/>
        <v>-5684.8</v>
      </c>
      <c r="M22" s="471">
        <f t="shared" si="6"/>
        <v>-5684.8</v>
      </c>
      <c r="N22" s="471">
        <f t="shared" si="6"/>
        <v>-5684.8</v>
      </c>
      <c r="O22" s="471">
        <f>+O13-O19</f>
        <v>261102.19999999998</v>
      </c>
      <c r="P22" s="471">
        <f>+P13-P19</f>
        <v>278156.59999999998</v>
      </c>
    </row>
    <row r="23" spans="2:16" ht="16" thickBot="1">
      <c r="B23" s="445"/>
      <c r="C23" s="470"/>
      <c r="D23" s="470"/>
      <c r="E23" s="470"/>
      <c r="F23" s="470"/>
      <c r="O23" s="470"/>
      <c r="P23" s="470"/>
    </row>
    <row r="24" spans="2:16" ht="16" thickBot="1">
      <c r="B24" s="474" t="s">
        <v>601</v>
      </c>
      <c r="C24" s="470"/>
      <c r="D24" s="470"/>
      <c r="E24" s="470"/>
      <c r="F24" s="470"/>
      <c r="O24" s="470"/>
      <c r="P24" s="470"/>
    </row>
    <row r="25" spans="2:16">
      <c r="B25" s="439" t="s">
        <v>614</v>
      </c>
      <c r="C25" s="467">
        <f>+C118</f>
        <v>0</v>
      </c>
      <c r="D25" s="467">
        <f>+D118</f>
        <v>0</v>
      </c>
      <c r="E25" s="467">
        <f>+E118</f>
        <v>0</v>
      </c>
      <c r="F25" s="467">
        <f>+F118</f>
        <v>0</v>
      </c>
      <c r="G25" s="467">
        <f>+G118</f>
        <v>0</v>
      </c>
      <c r="H25" s="1735"/>
      <c r="I25" s="1729"/>
      <c r="J25" s="1729"/>
      <c r="K25" s="1729"/>
      <c r="L25" s="1729"/>
      <c r="M25" s="1729"/>
      <c r="N25" s="1729"/>
      <c r="O25" s="472">
        <f>SUM(C25:N25)</f>
        <v>0</v>
      </c>
      <c r="P25" s="472">
        <f>SUM(C25:G25)</f>
        <v>0</v>
      </c>
    </row>
    <row r="26" spans="2:16" ht="16" thickBot="1">
      <c r="B26" s="440" t="s">
        <v>13</v>
      </c>
      <c r="C26" s="469">
        <f>+C154</f>
        <v>0</v>
      </c>
      <c r="D26" s="473">
        <f>+D154</f>
        <v>0</v>
      </c>
      <c r="E26" s="473">
        <f>+E154</f>
        <v>0</v>
      </c>
      <c r="F26" s="473">
        <f>+F154</f>
        <v>0</v>
      </c>
      <c r="G26" s="473">
        <f>+G154</f>
        <v>0</v>
      </c>
      <c r="H26" s="1736"/>
      <c r="I26" s="1736"/>
      <c r="J26" s="1736"/>
      <c r="K26" s="1736"/>
      <c r="L26" s="1736"/>
      <c r="M26" s="1736"/>
      <c r="N26" s="1736"/>
      <c r="O26" s="473">
        <f>SUM(C26:N26)</f>
        <v>0</v>
      </c>
      <c r="P26" s="473">
        <f>SUM(C26:G26)</f>
        <v>0</v>
      </c>
    </row>
    <row r="27" spans="2:16" ht="16" thickBot="1">
      <c r="B27" s="462" t="s">
        <v>613</v>
      </c>
      <c r="C27" s="463">
        <f>SUM(C25:C26)</f>
        <v>0</v>
      </c>
      <c r="D27" s="463">
        <f>SUM(D25:D26)</f>
        <v>0</v>
      </c>
      <c r="E27" s="463">
        <f>SUM(E25:E26)</f>
        <v>0</v>
      </c>
      <c r="F27" s="463">
        <f>SUM(F25:F26)</f>
        <v>0</v>
      </c>
      <c r="G27" s="463">
        <f>SUM(G25:G26)</f>
        <v>0</v>
      </c>
      <c r="H27" s="463">
        <f t="shared" ref="H27:N27" si="7">SUM(H25:H26)</f>
        <v>0</v>
      </c>
      <c r="I27" s="463">
        <f t="shared" si="7"/>
        <v>0</v>
      </c>
      <c r="J27" s="463">
        <f t="shared" si="7"/>
        <v>0</v>
      </c>
      <c r="K27" s="463">
        <f t="shared" si="7"/>
        <v>0</v>
      </c>
      <c r="L27" s="463">
        <f t="shared" si="7"/>
        <v>0</v>
      </c>
      <c r="M27" s="463">
        <f t="shared" si="7"/>
        <v>0</v>
      </c>
      <c r="N27" s="463">
        <f t="shared" si="7"/>
        <v>0</v>
      </c>
      <c r="O27" s="463">
        <f>SUM(O25:O26)</f>
        <v>0</v>
      </c>
      <c r="P27" s="463">
        <f>SUM(P25:P26)</f>
        <v>0</v>
      </c>
    </row>
    <row r="28" spans="2:16" ht="16" thickBot="1">
      <c r="B28" s="445"/>
      <c r="C28" s="470"/>
      <c r="D28" s="470"/>
      <c r="E28" s="470"/>
      <c r="F28" s="470"/>
      <c r="O28" s="470"/>
      <c r="P28" s="470"/>
    </row>
    <row r="29" spans="2:16" ht="16" thickBot="1">
      <c r="B29" s="475" t="s">
        <v>732</v>
      </c>
      <c r="C29" s="476">
        <f>+C160</f>
        <v>0</v>
      </c>
      <c r="D29" s="476">
        <f t="shared" ref="D29:N29" si="8">+D160</f>
        <v>0</v>
      </c>
      <c r="E29" s="476">
        <f t="shared" si="8"/>
        <v>0</v>
      </c>
      <c r="F29" s="476">
        <f t="shared" si="8"/>
        <v>0</v>
      </c>
      <c r="G29" s="476">
        <f t="shared" si="8"/>
        <v>16000</v>
      </c>
      <c r="H29" s="1742">
        <f t="shared" si="8"/>
        <v>0</v>
      </c>
      <c r="I29" s="1742">
        <f t="shared" si="8"/>
        <v>0</v>
      </c>
      <c r="J29" s="1742">
        <f t="shared" si="8"/>
        <v>0</v>
      </c>
      <c r="K29" s="1742">
        <f t="shared" si="8"/>
        <v>0</v>
      </c>
      <c r="L29" s="1742">
        <f t="shared" si="8"/>
        <v>0</v>
      </c>
      <c r="M29" s="1742">
        <f t="shared" si="8"/>
        <v>0</v>
      </c>
      <c r="N29" s="1742">
        <f t="shared" si="8"/>
        <v>0</v>
      </c>
      <c r="O29" s="477">
        <f>SUM(C29:N29)</f>
        <v>16000</v>
      </c>
      <c r="P29" s="477">
        <f>SUM(C29:K29)</f>
        <v>16000</v>
      </c>
    </row>
    <row r="30" spans="2:16" ht="16" thickBot="1">
      <c r="B30" s="445"/>
      <c r="C30" s="470"/>
      <c r="D30" s="470"/>
      <c r="E30" s="470"/>
      <c r="F30" s="470"/>
      <c r="O30" s="470"/>
      <c r="P30" s="470"/>
    </row>
    <row r="31" spans="2:16" ht="16" thickBot="1">
      <c r="B31" s="1461" t="s">
        <v>611</v>
      </c>
      <c r="C31" s="1462">
        <f>SUM(+C27+C29)</f>
        <v>0</v>
      </c>
      <c r="D31" s="1462">
        <f>SUM(+D27+D29)</f>
        <v>0</v>
      </c>
      <c r="E31" s="1462">
        <f>SUM(+E27+E29)</f>
        <v>0</v>
      </c>
      <c r="F31" s="1462">
        <f>SUM(+F27+F29)</f>
        <v>0</v>
      </c>
      <c r="G31" s="1462">
        <f>SUM(+G27+G29)</f>
        <v>16000</v>
      </c>
      <c r="H31" s="1462">
        <f t="shared" ref="H31:N31" si="9">SUM(+H27+H29)</f>
        <v>0</v>
      </c>
      <c r="I31" s="1462">
        <f t="shared" si="9"/>
        <v>0</v>
      </c>
      <c r="J31" s="1462">
        <f t="shared" si="9"/>
        <v>0</v>
      </c>
      <c r="K31" s="1462">
        <f t="shared" si="9"/>
        <v>0</v>
      </c>
      <c r="L31" s="1462">
        <f t="shared" si="9"/>
        <v>0</v>
      </c>
      <c r="M31" s="1462">
        <f t="shared" si="9"/>
        <v>0</v>
      </c>
      <c r="N31" s="1462">
        <f t="shared" si="9"/>
        <v>0</v>
      </c>
      <c r="O31" s="1462">
        <f>SUM(+O27+O29)</f>
        <v>16000</v>
      </c>
      <c r="P31" s="1462">
        <f>SUM(+P27+P29)</f>
        <v>16000</v>
      </c>
    </row>
    <row r="32" spans="2:16" ht="16" thickBot="1">
      <c r="B32" s="445"/>
      <c r="C32" s="470"/>
      <c r="D32" s="470"/>
      <c r="E32" s="470"/>
      <c r="F32" s="470"/>
      <c r="O32" s="470"/>
      <c r="P32" s="470"/>
    </row>
    <row r="33" spans="2:16" ht="16" thickBot="1">
      <c r="B33" s="478" t="s">
        <v>612</v>
      </c>
      <c r="C33" s="655">
        <f t="shared" ref="C33:P33" si="10">SUM(C22-C31)</f>
        <v>-14044</v>
      </c>
      <c r="D33" s="655">
        <f t="shared" si="10"/>
        <v>21682</v>
      </c>
      <c r="E33" s="655">
        <f t="shared" si="10"/>
        <v>45478</v>
      </c>
      <c r="F33" s="655">
        <f t="shared" si="10"/>
        <v>-14380</v>
      </c>
      <c r="G33" s="655">
        <f t="shared" si="10"/>
        <v>-16000</v>
      </c>
      <c r="H33" s="655">
        <f t="shared" si="10"/>
        <v>156951</v>
      </c>
      <c r="I33" s="655">
        <f t="shared" si="10"/>
        <v>-5684.8</v>
      </c>
      <c r="J33" s="655">
        <f t="shared" si="10"/>
        <v>93839.2</v>
      </c>
      <c r="K33" s="655">
        <f t="shared" si="10"/>
        <v>-5684.8</v>
      </c>
      <c r="L33" s="655">
        <f t="shared" si="10"/>
        <v>-5684.8</v>
      </c>
      <c r="M33" s="655">
        <f t="shared" si="10"/>
        <v>-5684.8</v>
      </c>
      <c r="N33" s="655">
        <f t="shared" si="10"/>
        <v>-5684.8</v>
      </c>
      <c r="O33" s="655">
        <f t="shared" si="10"/>
        <v>245102.19999999998</v>
      </c>
      <c r="P33" s="655">
        <f t="shared" si="10"/>
        <v>262156.59999999998</v>
      </c>
    </row>
    <row r="34" spans="2:16" ht="16" thickBot="1">
      <c r="B34" s="445"/>
      <c r="C34" s="423">
        <f t="shared" ref="C34:H34" si="11">+C19+C27+C29</f>
        <v>14044</v>
      </c>
      <c r="D34" s="423">
        <f t="shared" si="11"/>
        <v>0</v>
      </c>
      <c r="E34" s="423">
        <f t="shared" si="11"/>
        <v>0</v>
      </c>
      <c r="F34" s="423">
        <f t="shared" si="11"/>
        <v>14380</v>
      </c>
      <c r="G34" s="423">
        <f t="shared" si="11"/>
        <v>16000</v>
      </c>
      <c r="H34" s="423">
        <f t="shared" si="11"/>
        <v>15094</v>
      </c>
      <c r="O34" s="470"/>
      <c r="P34" s="470"/>
    </row>
    <row r="35" spans="2:16" ht="16" thickBot="1">
      <c r="B35" s="474" t="s">
        <v>5</v>
      </c>
      <c r="C35" s="479"/>
      <c r="D35" s="461"/>
      <c r="E35" s="461"/>
      <c r="F35" s="461"/>
      <c r="O35" s="461"/>
      <c r="P35" s="461"/>
    </row>
    <row r="36" spans="2:16">
      <c r="B36" s="480" t="s">
        <v>731</v>
      </c>
      <c r="C36" s="481"/>
      <c r="D36" s="481"/>
      <c r="E36" s="482"/>
      <c r="F36" s="482"/>
      <c r="G36" s="482">
        <f>+G98</f>
        <v>415568</v>
      </c>
      <c r="H36" s="482">
        <f t="shared" ref="H36:N36" si="12">+H98</f>
        <v>0</v>
      </c>
      <c r="I36" s="482">
        <f t="shared" si="12"/>
        <v>0</v>
      </c>
      <c r="J36" s="482">
        <f t="shared" si="12"/>
        <v>0</v>
      </c>
      <c r="K36" s="482">
        <f t="shared" si="12"/>
        <v>0</v>
      </c>
      <c r="L36" s="482">
        <f t="shared" si="12"/>
        <v>110754</v>
      </c>
      <c r="M36" s="482">
        <f t="shared" si="12"/>
        <v>278213</v>
      </c>
      <c r="N36" s="482">
        <f t="shared" si="12"/>
        <v>349514</v>
      </c>
      <c r="O36" s="482">
        <f>+SUM(C36:N36)</f>
        <v>1154049</v>
      </c>
      <c r="P36" s="482">
        <f>SUM(C36:J36)</f>
        <v>415568</v>
      </c>
    </row>
    <row r="37" spans="2:16" ht="16" thickBot="1">
      <c r="B37" s="488" t="s">
        <v>1260</v>
      </c>
      <c r="C37" s="484"/>
      <c r="D37" s="487"/>
      <c r="E37" s="485"/>
      <c r="F37" s="485"/>
      <c r="G37" s="485"/>
      <c r="H37" s="1738"/>
      <c r="I37" s="1738"/>
      <c r="J37" s="1738"/>
      <c r="K37" s="1738"/>
      <c r="L37" s="1738"/>
      <c r="M37" s="1738"/>
      <c r="N37" s="1738"/>
      <c r="O37" s="485">
        <f>+SUM(C37:N37)</f>
        <v>0</v>
      </c>
      <c r="P37" s="485">
        <f>SUM(C37:J37)</f>
        <v>0</v>
      </c>
    </row>
    <row r="38" spans="2:16" ht="16" thickBot="1">
      <c r="B38" s="493" t="s">
        <v>5</v>
      </c>
      <c r="C38" s="476">
        <f t="shared" ref="C38:O38" si="13">SUM(C36:C37)</f>
        <v>0</v>
      </c>
      <c r="D38" s="476">
        <f t="shared" si="13"/>
        <v>0</v>
      </c>
      <c r="E38" s="476">
        <f t="shared" si="13"/>
        <v>0</v>
      </c>
      <c r="F38" s="476">
        <f t="shared" si="13"/>
        <v>0</v>
      </c>
      <c r="G38" s="476">
        <f t="shared" si="13"/>
        <v>415568</v>
      </c>
      <c r="H38" s="476">
        <f t="shared" si="13"/>
        <v>0</v>
      </c>
      <c r="I38" s="476">
        <f t="shared" si="13"/>
        <v>0</v>
      </c>
      <c r="J38" s="476">
        <f t="shared" si="13"/>
        <v>0</v>
      </c>
      <c r="K38" s="476">
        <f t="shared" si="13"/>
        <v>0</v>
      </c>
      <c r="L38" s="476">
        <f t="shared" si="13"/>
        <v>110754</v>
      </c>
      <c r="M38" s="476">
        <f t="shared" si="13"/>
        <v>278213</v>
      </c>
      <c r="N38" s="476">
        <f t="shared" si="13"/>
        <v>349514</v>
      </c>
      <c r="O38" s="1463">
        <f t="shared" si="13"/>
        <v>1154049</v>
      </c>
      <c r="P38" s="1463">
        <f>SUM(P36:P37)</f>
        <v>415568</v>
      </c>
    </row>
    <row r="39" spans="2:16" ht="16" thickBot="1">
      <c r="B39" s="445"/>
      <c r="C39" s="461"/>
      <c r="D39" s="461"/>
      <c r="E39" s="461"/>
      <c r="F39" s="461"/>
      <c r="O39" s="461"/>
      <c r="P39" s="461"/>
    </row>
    <row r="40" spans="2:16" ht="16" thickBot="1">
      <c r="B40" s="462" t="s">
        <v>616</v>
      </c>
      <c r="C40" s="461"/>
      <c r="D40" s="461"/>
      <c r="E40" s="461"/>
      <c r="F40" s="461"/>
      <c r="O40" s="461"/>
      <c r="P40" s="461"/>
    </row>
    <row r="41" spans="2:16" ht="16" thickBot="1">
      <c r="B41" s="480" t="s">
        <v>15</v>
      </c>
      <c r="C41" s="550">
        <v>0</v>
      </c>
      <c r="D41" s="550">
        <v>0</v>
      </c>
      <c r="E41" s="551">
        <f>SUM(E155)</f>
        <v>0</v>
      </c>
      <c r="F41" s="551">
        <f>SUM(F155)</f>
        <v>0</v>
      </c>
      <c r="G41" s="551">
        <f>SUM(G155)</f>
        <v>0</v>
      </c>
      <c r="H41" s="1741">
        <f t="shared" ref="H41:N41" si="14">SUM(P155)</f>
        <v>0</v>
      </c>
      <c r="I41" s="1741">
        <f t="shared" si="14"/>
        <v>0</v>
      </c>
      <c r="J41" s="1741">
        <f t="shared" si="14"/>
        <v>0</v>
      </c>
      <c r="K41" s="1741">
        <f t="shared" si="14"/>
        <v>0</v>
      </c>
      <c r="L41" s="1741">
        <f t="shared" si="14"/>
        <v>0</v>
      </c>
      <c r="M41" s="1741">
        <f t="shared" si="14"/>
        <v>0</v>
      </c>
      <c r="N41" s="1741">
        <f t="shared" si="14"/>
        <v>0</v>
      </c>
      <c r="O41" s="551">
        <f>SUM(C41:N41)</f>
        <v>0</v>
      </c>
      <c r="P41" s="551">
        <f>SUM(C41:J41)</f>
        <v>0</v>
      </c>
    </row>
    <row r="42" spans="2:16" ht="16" thickBot="1">
      <c r="B42" s="560" t="s">
        <v>631</v>
      </c>
      <c r="C42" s="558">
        <f t="shared" ref="C42:O42" si="15">SUM(C41:C41)</f>
        <v>0</v>
      </c>
      <c r="D42" s="558">
        <f t="shared" si="15"/>
        <v>0</v>
      </c>
      <c r="E42" s="559">
        <f t="shared" si="15"/>
        <v>0</v>
      </c>
      <c r="F42" s="559">
        <f t="shared" si="15"/>
        <v>0</v>
      </c>
      <c r="G42" s="559">
        <f t="shared" si="15"/>
        <v>0</v>
      </c>
      <c r="H42" s="559">
        <f t="shared" si="15"/>
        <v>0</v>
      </c>
      <c r="I42" s="559">
        <f t="shared" si="15"/>
        <v>0</v>
      </c>
      <c r="J42" s="559">
        <f t="shared" si="15"/>
        <v>0</v>
      </c>
      <c r="K42" s="559">
        <f t="shared" si="15"/>
        <v>0</v>
      </c>
      <c r="L42" s="559">
        <f t="shared" si="15"/>
        <v>0</v>
      </c>
      <c r="M42" s="559">
        <f t="shared" si="15"/>
        <v>0</v>
      </c>
      <c r="N42" s="559">
        <f t="shared" si="15"/>
        <v>0</v>
      </c>
      <c r="O42" s="559">
        <f t="shared" si="15"/>
        <v>0</v>
      </c>
      <c r="P42" s="559">
        <f>SUM(P41:P41)</f>
        <v>0</v>
      </c>
    </row>
    <row r="43" spans="2:16" ht="16" thickBot="1">
      <c r="B43" s="444"/>
      <c r="C43" s="444"/>
      <c r="D43" s="444"/>
      <c r="E43" s="444"/>
      <c r="F43" s="444"/>
      <c r="O43" s="444"/>
      <c r="P43" s="444"/>
    </row>
    <row r="44" spans="2:16" ht="16" thickBot="1">
      <c r="B44" s="496" t="s">
        <v>617</v>
      </c>
      <c r="C44" s="497"/>
      <c r="D44" s="446"/>
      <c r="E44" s="446"/>
      <c r="F44" s="446"/>
      <c r="O44" s="446"/>
      <c r="P44" s="446"/>
    </row>
    <row r="45" spans="2:16" ht="16" thickBot="1">
      <c r="B45" s="441" t="s">
        <v>1257</v>
      </c>
      <c r="C45" s="554"/>
      <c r="D45" s="555"/>
      <c r="E45" s="556"/>
      <c r="F45" s="556"/>
      <c r="G45" s="556"/>
      <c r="H45" s="1739"/>
      <c r="I45" s="1739"/>
      <c r="J45" s="1739"/>
      <c r="K45" s="1739"/>
      <c r="L45" s="1739"/>
      <c r="M45" s="1739"/>
      <c r="N45" s="1739"/>
      <c r="O45" s="556">
        <f>SUM(C45:N45)</f>
        <v>0</v>
      </c>
      <c r="P45" s="556">
        <f>SUM(C45:J45)</f>
        <v>0</v>
      </c>
    </row>
    <row r="46" spans="2:16" ht="16" thickBot="1">
      <c r="B46" s="480" t="s">
        <v>1261</v>
      </c>
      <c r="C46" s="443"/>
      <c r="D46" s="443"/>
      <c r="E46" s="557"/>
      <c r="F46" s="557"/>
      <c r="G46" s="557">
        <f>+G176</f>
        <v>0</v>
      </c>
      <c r="H46" s="1740"/>
      <c r="I46" s="1740"/>
      <c r="J46" s="1740"/>
      <c r="K46" s="1740"/>
      <c r="L46" s="1740"/>
      <c r="M46" s="1740"/>
      <c r="N46" s="1740"/>
      <c r="O46" s="557">
        <f>SUM(C46:N46)</f>
        <v>0</v>
      </c>
      <c r="P46" s="557">
        <f>SUM(C46:J46)</f>
        <v>0</v>
      </c>
    </row>
    <row r="47" spans="2:16" ht="16" thickBot="1">
      <c r="B47" s="560" t="s">
        <v>608</v>
      </c>
      <c r="C47" s="558">
        <f>SUM(C45:C46)</f>
        <v>0</v>
      </c>
      <c r="D47" s="558">
        <f>SUM(D45:D46)</f>
        <v>0</v>
      </c>
      <c r="E47" s="559">
        <f>SUM(E45:E46)</f>
        <v>0</v>
      </c>
      <c r="F47" s="559">
        <f>SUM(F45:F46)</f>
        <v>0</v>
      </c>
      <c r="G47" s="559">
        <f t="shared" ref="G47:N47" si="16">SUM(G45:G46)</f>
        <v>0</v>
      </c>
      <c r="H47" s="559">
        <f t="shared" si="16"/>
        <v>0</v>
      </c>
      <c r="I47" s="559">
        <f t="shared" si="16"/>
        <v>0</v>
      </c>
      <c r="J47" s="559">
        <f t="shared" si="16"/>
        <v>0</v>
      </c>
      <c r="K47" s="559">
        <f t="shared" si="16"/>
        <v>0</v>
      </c>
      <c r="L47" s="559">
        <f t="shared" si="16"/>
        <v>0</v>
      </c>
      <c r="M47" s="559">
        <f t="shared" si="16"/>
        <v>0</v>
      </c>
      <c r="N47" s="559">
        <f t="shared" si="16"/>
        <v>0</v>
      </c>
      <c r="O47" s="559">
        <f>SUM(O45:O46)</f>
        <v>0</v>
      </c>
      <c r="P47" s="559">
        <f>SUM(P45:P46)</f>
        <v>0</v>
      </c>
    </row>
    <row r="48" spans="2:16" ht="16" thickBot="1">
      <c r="B48" s="498"/>
      <c r="C48" s="499"/>
      <c r="D48" s="499"/>
      <c r="E48" s="499"/>
      <c r="F48" s="499"/>
      <c r="O48" s="499"/>
      <c r="P48" s="499"/>
    </row>
    <row r="49" spans="1:16" ht="16" thickBot="1">
      <c r="B49" s="475" t="s">
        <v>618</v>
      </c>
      <c r="C49" s="753">
        <f>SUM(C33+C38-C42-C47)</f>
        <v>-14044</v>
      </c>
      <c r="D49" s="500">
        <f>SUM(D33+D38-D42-D47)</f>
        <v>21682</v>
      </c>
      <c r="E49" s="500">
        <f>SUM(E33+E38-E42-E47)</f>
        <v>45478</v>
      </c>
      <c r="F49" s="753">
        <f>SUM(F33+F38-F42-F47)</f>
        <v>-14380</v>
      </c>
      <c r="G49" s="753">
        <f t="shared" ref="G49:M49" si="17">SUM(G33+G38-G42-G47)</f>
        <v>399568</v>
      </c>
      <c r="H49" s="500">
        <f t="shared" si="17"/>
        <v>156951</v>
      </c>
      <c r="I49" s="753">
        <f t="shared" si="17"/>
        <v>-5684.8</v>
      </c>
      <c r="J49" s="753">
        <f t="shared" si="17"/>
        <v>93839.2</v>
      </c>
      <c r="K49" s="753">
        <f t="shared" si="17"/>
        <v>-5684.8</v>
      </c>
      <c r="L49" s="753">
        <f t="shared" si="17"/>
        <v>105069.2</v>
      </c>
      <c r="M49" s="753">
        <f t="shared" si="17"/>
        <v>272528.2</v>
      </c>
      <c r="N49" s="753">
        <f>SUM(N33+N38-N42-N47)</f>
        <v>343829.2</v>
      </c>
      <c r="O49" s="500">
        <f>SUM(O33+O38-O42-O47)</f>
        <v>1399151.2</v>
      </c>
      <c r="P49" s="500">
        <f>SUM(P33+P38-P42-P47)</f>
        <v>677724.6</v>
      </c>
    </row>
    <row r="50" spans="1:16" ht="16" thickBot="1">
      <c r="B50" s="444"/>
      <c r="C50" s="446"/>
      <c r="D50" s="446"/>
      <c r="E50" s="446"/>
      <c r="F50" s="446"/>
      <c r="O50" s="446"/>
      <c r="P50" s="446"/>
    </row>
    <row r="51" spans="1:16" ht="16" thickBot="1">
      <c r="B51" s="475" t="s">
        <v>622</v>
      </c>
      <c r="C51" s="753">
        <f>SUM(C9+C49)</f>
        <v>-14044</v>
      </c>
      <c r="D51" s="500">
        <f>SUM(D9+D49)</f>
        <v>7638</v>
      </c>
      <c r="E51" s="500">
        <f>SUM(E9+E49)</f>
        <v>53116</v>
      </c>
      <c r="F51" s="500">
        <f>SUM(F9+F49)</f>
        <v>38736</v>
      </c>
      <c r="G51" s="500">
        <f>SUM(G9+G49)</f>
        <v>438304</v>
      </c>
      <c r="H51" s="500">
        <f t="shared" ref="H51:N51" si="18">SUM(G51+H49)</f>
        <v>595255</v>
      </c>
      <c r="I51" s="500">
        <f t="shared" si="18"/>
        <v>589570.19999999995</v>
      </c>
      <c r="J51" s="500">
        <f>SUM(I51+J49)</f>
        <v>683409.39999999991</v>
      </c>
      <c r="K51" s="1938">
        <f t="shared" si="18"/>
        <v>677724.59999999986</v>
      </c>
      <c r="L51" s="500">
        <f t="shared" si="18"/>
        <v>782793.79999999981</v>
      </c>
      <c r="M51" s="500">
        <f t="shared" si="18"/>
        <v>1055321.9999999998</v>
      </c>
      <c r="N51" s="500">
        <f t="shared" si="18"/>
        <v>1399151.1999999997</v>
      </c>
      <c r="O51" s="500">
        <f>SUM(O9+O49)</f>
        <v>1399151.2</v>
      </c>
      <c r="P51" s="1938">
        <f>SUM(P9+P49)</f>
        <v>677724.6</v>
      </c>
    </row>
    <row r="52" spans="1:16">
      <c r="B52" s="448"/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  <c r="O52" s="2"/>
    </row>
    <row r="53" spans="1:16">
      <c r="B53" s="448"/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  <c r="O53" s="2"/>
    </row>
    <row r="54" spans="1:16">
      <c r="B54" s="501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</row>
    <row r="55" spans="1:16">
      <c r="B55" s="444"/>
      <c r="C55" s="444"/>
      <c r="D55" s="444"/>
      <c r="E55" s="444"/>
      <c r="P55" s="2"/>
    </row>
    <row r="56" spans="1:16">
      <c r="B56" s="448"/>
      <c r="C56" s="446"/>
      <c r="D56" s="446"/>
      <c r="E56" s="446"/>
    </row>
    <row r="57" spans="1:16">
      <c r="B57" s="448"/>
      <c r="C57" s="446"/>
      <c r="D57" s="656"/>
      <c r="E57" s="446"/>
    </row>
    <row r="62" spans="1:16">
      <c r="A62" s="657"/>
      <c r="B62" s="658" t="s">
        <v>536</v>
      </c>
      <c r="C62" s="659" t="s">
        <v>632</v>
      </c>
      <c r="D62" s="659" t="s">
        <v>632</v>
      </c>
      <c r="E62" s="659" t="s">
        <v>632</v>
      </c>
      <c r="F62" s="659" t="s">
        <v>632</v>
      </c>
      <c r="G62" s="659" t="s">
        <v>632</v>
      </c>
      <c r="H62" s="659" t="s">
        <v>632</v>
      </c>
      <c r="I62" s="659" t="s">
        <v>632</v>
      </c>
      <c r="J62" s="659" t="s">
        <v>632</v>
      </c>
      <c r="K62" s="659" t="s">
        <v>632</v>
      </c>
      <c r="L62" s="659" t="s">
        <v>632</v>
      </c>
      <c r="M62" s="659" t="s">
        <v>632</v>
      </c>
      <c r="N62" s="659" t="s">
        <v>632</v>
      </c>
      <c r="O62" s="659" t="s">
        <v>632</v>
      </c>
    </row>
    <row r="63" spans="1:16">
      <c r="A63" s="721"/>
      <c r="B63" s="658" t="s">
        <v>148</v>
      </c>
      <c r="C63" s="657"/>
      <c r="D63" s="657"/>
      <c r="E63" s="657"/>
      <c r="F63" s="657"/>
      <c r="G63" s="657"/>
      <c r="H63" s="657"/>
      <c r="I63" s="657"/>
      <c r="J63" s="657"/>
      <c r="K63" s="657"/>
      <c r="L63" s="657"/>
      <c r="M63" s="657"/>
      <c r="N63" s="657"/>
      <c r="O63" s="657"/>
    </row>
    <row r="64" spans="1:16" ht="16" thickBot="1">
      <c r="A64" s="657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</row>
    <row r="65" spans="1:15" ht="16" thickBot="1">
      <c r="A65" s="657"/>
      <c r="B65" s="662"/>
      <c r="C65" s="663">
        <v>45658</v>
      </c>
      <c r="D65" s="663">
        <v>45689</v>
      </c>
      <c r="E65" s="663">
        <v>45717</v>
      </c>
      <c r="F65" s="663">
        <v>45748</v>
      </c>
      <c r="G65" s="663">
        <v>45778</v>
      </c>
      <c r="H65" s="663">
        <v>45809</v>
      </c>
      <c r="I65" s="663">
        <v>45839</v>
      </c>
      <c r="J65" s="663">
        <v>45870</v>
      </c>
      <c r="K65" s="663">
        <v>45901</v>
      </c>
      <c r="L65" s="663">
        <v>45931</v>
      </c>
      <c r="M65" s="663">
        <v>45962</v>
      </c>
      <c r="N65" s="663">
        <v>45992</v>
      </c>
      <c r="O65" s="663" t="str">
        <f>+O8</f>
        <v>TOTAL 2025</v>
      </c>
    </row>
    <row r="66" spans="1:15" ht="16" thickBot="1">
      <c r="A66" s="657"/>
      <c r="B66" s="664" t="s">
        <v>634</v>
      </c>
      <c r="C66" s="665"/>
      <c r="D66" s="665">
        <f>+C196</f>
        <v>-14044</v>
      </c>
      <c r="E66" s="665">
        <f t="shared" ref="E66:N66" si="19">+D196</f>
        <v>7638</v>
      </c>
      <c r="F66" s="665">
        <f t="shared" si="19"/>
        <v>53116</v>
      </c>
      <c r="G66" s="665">
        <f t="shared" si="19"/>
        <v>38736</v>
      </c>
      <c r="H66" s="665">
        <f t="shared" si="19"/>
        <v>438304</v>
      </c>
      <c r="I66" s="665">
        <f t="shared" si="19"/>
        <v>595255</v>
      </c>
      <c r="J66" s="665">
        <f t="shared" si="19"/>
        <v>589570.19999999995</v>
      </c>
      <c r="K66" s="665">
        <f t="shared" si="19"/>
        <v>683409.39999999991</v>
      </c>
      <c r="L66" s="665">
        <f t="shared" si="19"/>
        <v>677724.59999999986</v>
      </c>
      <c r="M66" s="665">
        <f t="shared" si="19"/>
        <v>782793.79999999981</v>
      </c>
      <c r="N66" s="665">
        <f t="shared" si="19"/>
        <v>1055321.9999999998</v>
      </c>
      <c r="O66" s="665"/>
    </row>
    <row r="67" spans="1:15" ht="16" thickBot="1">
      <c r="A67" s="657"/>
      <c r="B67" s="666"/>
      <c r="C67" s="667"/>
      <c r="D67" s="667"/>
      <c r="E67" s="667"/>
      <c r="F67" s="667"/>
      <c r="G67" s="667"/>
      <c r="H67" s="667"/>
      <c r="I67" s="667"/>
      <c r="J67" s="667"/>
      <c r="K67" s="667"/>
      <c r="L67" s="667"/>
      <c r="M67" s="667"/>
      <c r="N67" s="667"/>
      <c r="O67" s="667"/>
    </row>
    <row r="68" spans="1:15" ht="16" thickBot="1">
      <c r="A68" s="662"/>
      <c r="B68" s="722" t="s">
        <v>743</v>
      </c>
      <c r="C68" s="723">
        <f t="shared" ref="C68:O68" si="20">C65</f>
        <v>45658</v>
      </c>
      <c r="D68" s="723">
        <f t="shared" si="20"/>
        <v>45689</v>
      </c>
      <c r="E68" s="723">
        <f t="shared" si="20"/>
        <v>45717</v>
      </c>
      <c r="F68" s="723">
        <f t="shared" si="20"/>
        <v>45748</v>
      </c>
      <c r="G68" s="723">
        <f t="shared" si="20"/>
        <v>45778</v>
      </c>
      <c r="H68" s="723">
        <f t="shared" si="20"/>
        <v>45809</v>
      </c>
      <c r="I68" s="723">
        <f t="shared" si="20"/>
        <v>45839</v>
      </c>
      <c r="J68" s="723">
        <f t="shared" si="20"/>
        <v>45870</v>
      </c>
      <c r="K68" s="723">
        <f t="shared" si="20"/>
        <v>45901</v>
      </c>
      <c r="L68" s="723">
        <f t="shared" si="20"/>
        <v>45931</v>
      </c>
      <c r="M68" s="723">
        <f t="shared" si="20"/>
        <v>45962</v>
      </c>
      <c r="N68" s="723">
        <f t="shared" si="20"/>
        <v>45992</v>
      </c>
      <c r="O68" s="723" t="str">
        <f t="shared" si="20"/>
        <v>TOTAL 2025</v>
      </c>
    </row>
    <row r="69" spans="1:15" ht="16">
      <c r="A69" s="662"/>
      <c r="B69" s="724" t="s">
        <v>22</v>
      </c>
      <c r="C69" s="725" t="s">
        <v>444</v>
      </c>
      <c r="D69" s="725" t="s">
        <v>444</v>
      </c>
      <c r="E69" s="725" t="s">
        <v>444</v>
      </c>
      <c r="F69" s="725" t="s">
        <v>444</v>
      </c>
      <c r="G69" s="725" t="s">
        <v>444</v>
      </c>
      <c r="H69" s="725" t="s">
        <v>444</v>
      </c>
      <c r="I69" s="729" t="s">
        <v>444</v>
      </c>
      <c r="J69" s="725" t="s">
        <v>444</v>
      </c>
      <c r="K69" s="725" t="s">
        <v>444</v>
      </c>
      <c r="L69" s="725" t="s">
        <v>444</v>
      </c>
      <c r="M69" s="725" t="s">
        <v>444</v>
      </c>
      <c r="N69" s="725" t="s">
        <v>444</v>
      </c>
      <c r="O69" s="725" t="s">
        <v>444</v>
      </c>
    </row>
    <row r="70" spans="1:15">
      <c r="A70" s="662">
        <v>1</v>
      </c>
      <c r="B70" s="668" t="s">
        <v>1385</v>
      </c>
      <c r="C70" s="669"/>
      <c r="D70" s="671">
        <v>21682</v>
      </c>
      <c r="E70" s="671">
        <v>45478</v>
      </c>
      <c r="F70" s="672"/>
      <c r="G70" s="671"/>
      <c r="H70" s="671"/>
      <c r="I70" s="673"/>
      <c r="J70" s="671"/>
      <c r="K70" s="671"/>
      <c r="L70" s="671"/>
      <c r="M70" s="671"/>
      <c r="N70" s="1456"/>
      <c r="O70" s="1491"/>
    </row>
    <row r="71" spans="1:15">
      <c r="A71" s="662">
        <v>2</v>
      </c>
      <c r="B71" s="668" t="s">
        <v>1386</v>
      </c>
      <c r="C71" s="671"/>
      <c r="D71" s="671"/>
      <c r="E71" s="671"/>
      <c r="F71" s="672"/>
      <c r="G71" s="671"/>
      <c r="H71" s="671">
        <v>172045</v>
      </c>
      <c r="I71" s="671"/>
      <c r="J71" s="671">
        <v>99524</v>
      </c>
      <c r="K71" s="671"/>
      <c r="L71" s="671"/>
      <c r="M71" s="671"/>
      <c r="N71" s="1456"/>
      <c r="O71" s="1491"/>
    </row>
    <row r="72" spans="1:15">
      <c r="A72" s="662">
        <v>3</v>
      </c>
      <c r="B72" s="668"/>
      <c r="C72" s="671"/>
      <c r="D72" s="671"/>
      <c r="E72" s="671"/>
      <c r="F72" s="672"/>
      <c r="G72" s="671"/>
      <c r="H72" s="671"/>
      <c r="I72" s="671"/>
      <c r="J72" s="671"/>
      <c r="K72" s="671"/>
      <c r="L72" s="671"/>
      <c r="M72" s="671"/>
      <c r="N72" s="1456"/>
      <c r="O72" s="1491"/>
    </row>
    <row r="73" spans="1:15">
      <c r="A73" s="662">
        <v>4</v>
      </c>
      <c r="B73" s="668"/>
      <c r="C73" s="671"/>
      <c r="D73" s="671"/>
      <c r="E73" s="671"/>
      <c r="F73" s="675"/>
      <c r="G73" s="671"/>
      <c r="H73" s="671"/>
      <c r="I73" s="671"/>
      <c r="J73" s="671"/>
      <c r="K73" s="671"/>
      <c r="L73" s="671"/>
      <c r="M73" s="671"/>
      <c r="N73" s="1456"/>
      <c r="O73" s="1492"/>
    </row>
    <row r="74" spans="1:15">
      <c r="A74" s="662">
        <v>5</v>
      </c>
      <c r="B74" s="668"/>
      <c r="C74" s="671"/>
      <c r="D74" s="671"/>
      <c r="E74" s="671"/>
      <c r="F74" s="675"/>
      <c r="G74" s="671"/>
      <c r="H74" s="671"/>
      <c r="I74" s="671"/>
      <c r="J74" s="671"/>
      <c r="K74" s="671"/>
      <c r="L74" s="671"/>
      <c r="M74" s="671"/>
      <c r="N74" s="1456"/>
      <c r="O74" s="1492"/>
    </row>
    <row r="75" spans="1:15">
      <c r="A75" s="662">
        <v>6</v>
      </c>
      <c r="B75" s="668"/>
      <c r="C75" s="671"/>
      <c r="D75" s="671"/>
      <c r="E75" s="671"/>
      <c r="F75" s="672"/>
      <c r="G75" s="671"/>
      <c r="H75" s="671"/>
      <c r="I75" s="671"/>
      <c r="J75" s="671"/>
      <c r="K75" s="671"/>
      <c r="L75" s="671"/>
      <c r="M75" s="671"/>
      <c r="N75" s="1456"/>
      <c r="O75" s="1491"/>
    </row>
    <row r="76" spans="1:15">
      <c r="A76" s="662"/>
      <c r="B76" s="668"/>
      <c r="C76" s="671"/>
      <c r="D76" s="671"/>
      <c r="E76" s="671"/>
      <c r="F76" s="671"/>
      <c r="G76" s="671"/>
      <c r="H76" s="671"/>
      <c r="I76" s="671"/>
      <c r="J76" s="671"/>
      <c r="K76" s="671"/>
      <c r="L76" s="671"/>
      <c r="M76" s="671"/>
      <c r="N76" s="1456"/>
      <c r="O76" s="1492"/>
    </row>
    <row r="77" spans="1:15">
      <c r="A77" s="662"/>
      <c r="B77" s="970"/>
      <c r="C77" s="671"/>
      <c r="D77" s="671"/>
      <c r="E77" s="671"/>
      <c r="F77" s="675"/>
      <c r="G77" s="671"/>
      <c r="H77" s="671"/>
      <c r="I77" s="671"/>
      <c r="J77" s="671"/>
      <c r="K77" s="671"/>
      <c r="L77" s="671"/>
      <c r="M77" s="671"/>
      <c r="N77" s="1456"/>
      <c r="O77" s="1492"/>
    </row>
    <row r="78" spans="1:15">
      <c r="A78" s="662"/>
      <c r="B78" s="970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1456"/>
      <c r="O78" s="1493"/>
    </row>
    <row r="79" spans="1:15">
      <c r="A79" s="662"/>
      <c r="B79" s="970"/>
      <c r="C79" s="1456"/>
      <c r="D79" s="1456"/>
      <c r="E79" s="1456"/>
      <c r="F79" s="1457"/>
      <c r="G79" s="1494"/>
      <c r="H79" s="671"/>
      <c r="I79" s="671"/>
      <c r="J79" s="671"/>
      <c r="K79" s="671"/>
      <c r="L79" s="671"/>
      <c r="M79" s="671"/>
      <c r="N79" s="1456"/>
      <c r="O79" s="1493"/>
    </row>
    <row r="80" spans="1:15">
      <c r="A80" s="662"/>
      <c r="B80" s="970"/>
      <c r="C80" s="1456"/>
      <c r="D80" s="1456"/>
      <c r="E80" s="1456"/>
      <c r="F80" s="1458"/>
      <c r="G80" s="1494"/>
      <c r="H80" s="671"/>
      <c r="I80" s="671"/>
      <c r="J80" s="671"/>
      <c r="K80" s="671"/>
      <c r="L80" s="671"/>
      <c r="M80" s="671"/>
      <c r="N80" s="1456"/>
      <c r="O80" s="1493"/>
    </row>
    <row r="81" spans="1:15">
      <c r="A81" s="662"/>
      <c r="B81" s="970"/>
      <c r="C81" s="671"/>
      <c r="D81" s="671"/>
      <c r="E81" s="671"/>
      <c r="F81" s="671"/>
      <c r="G81" s="671"/>
      <c r="H81" s="671"/>
      <c r="I81" s="671"/>
      <c r="J81" s="671"/>
      <c r="K81" s="671"/>
      <c r="L81" s="671"/>
      <c r="M81" s="671"/>
      <c r="N81" s="1456"/>
      <c r="O81" s="1493"/>
    </row>
    <row r="82" spans="1:15">
      <c r="A82" s="662"/>
      <c r="B82" s="1635"/>
      <c r="C82" s="671"/>
      <c r="D82" s="671"/>
      <c r="E82" s="671"/>
      <c r="F82" s="671"/>
      <c r="G82" s="671"/>
      <c r="H82" s="671"/>
      <c r="I82" s="671"/>
      <c r="J82" s="671"/>
      <c r="K82" s="671"/>
      <c r="L82" s="671"/>
      <c r="M82" s="671"/>
      <c r="N82" s="1456"/>
      <c r="O82" s="1493"/>
    </row>
    <row r="83" spans="1:15">
      <c r="A83" s="662"/>
      <c r="B83" s="1635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1456"/>
      <c r="O83" s="1493"/>
    </row>
    <row r="84" spans="1:15">
      <c r="A84" s="662"/>
      <c r="B84" s="792"/>
      <c r="C84" s="671"/>
      <c r="D84" s="671"/>
      <c r="E84" s="671"/>
      <c r="F84" s="672"/>
      <c r="G84" s="671"/>
      <c r="H84" s="671"/>
      <c r="I84" s="671"/>
      <c r="J84" s="671"/>
      <c r="K84" s="671"/>
      <c r="L84" s="671"/>
      <c r="M84" s="671"/>
      <c r="N84" s="1456"/>
      <c r="O84" s="1491"/>
    </row>
    <row r="85" spans="1:15">
      <c r="A85" s="662"/>
      <c r="B85" s="792"/>
      <c r="C85" s="671"/>
      <c r="D85" s="671"/>
      <c r="E85" s="671"/>
      <c r="F85" s="675"/>
      <c r="G85" s="671"/>
      <c r="H85" s="671"/>
      <c r="I85" s="671"/>
      <c r="J85" s="671"/>
      <c r="K85" s="671"/>
      <c r="L85" s="671"/>
      <c r="M85" s="671"/>
      <c r="N85" s="1456"/>
      <c r="O85" s="1492"/>
    </row>
    <row r="86" spans="1:15">
      <c r="A86" s="662"/>
      <c r="B86" s="792"/>
      <c r="C86" s="671"/>
      <c r="D86" s="671"/>
      <c r="E86" s="671"/>
      <c r="F86" s="675"/>
      <c r="G86" s="671"/>
      <c r="H86" s="671"/>
      <c r="I86" s="671"/>
      <c r="J86" s="671"/>
      <c r="K86" s="671"/>
      <c r="L86" s="671"/>
      <c r="M86" s="671"/>
      <c r="N86" s="1456"/>
      <c r="O86" s="1492"/>
    </row>
    <row r="87" spans="1:15">
      <c r="A87" s="662"/>
      <c r="B87" s="792"/>
      <c r="C87" s="671"/>
      <c r="D87" s="671"/>
      <c r="E87" s="671"/>
      <c r="F87" s="672"/>
      <c r="G87" s="671"/>
      <c r="H87" s="671"/>
      <c r="I87" s="671"/>
      <c r="J87" s="671"/>
      <c r="K87" s="671"/>
      <c r="L87" s="671"/>
      <c r="M87" s="671"/>
      <c r="N87" s="1456"/>
      <c r="O87" s="1491"/>
    </row>
    <row r="88" spans="1:15">
      <c r="A88" s="662"/>
      <c r="B88" s="792"/>
      <c r="C88" s="671"/>
      <c r="D88" s="671"/>
      <c r="E88" s="671"/>
      <c r="F88" s="675"/>
      <c r="G88" s="671"/>
      <c r="H88" s="671"/>
      <c r="I88" s="671"/>
      <c r="J88" s="671"/>
      <c r="K88" s="671"/>
      <c r="L88" s="671"/>
      <c r="M88" s="671"/>
      <c r="N88" s="1456"/>
      <c r="O88" s="1492"/>
    </row>
    <row r="89" spans="1:15">
      <c r="A89" s="662"/>
      <c r="B89" s="792"/>
      <c r="C89" s="671"/>
      <c r="D89" s="671"/>
      <c r="E89" s="671"/>
      <c r="F89" s="675"/>
      <c r="G89" s="671"/>
      <c r="H89" s="671"/>
      <c r="I89" s="671"/>
      <c r="J89" s="671"/>
      <c r="K89" s="671"/>
      <c r="L89" s="671"/>
      <c r="M89" s="671"/>
      <c r="N89" s="1456"/>
      <c r="O89" s="1492"/>
    </row>
    <row r="90" spans="1:15" ht="16" thickBot="1">
      <c r="A90" s="726"/>
      <c r="B90" s="727" t="s">
        <v>749</v>
      </c>
      <c r="C90" s="728">
        <f>SUM(C70:C89)</f>
        <v>0</v>
      </c>
      <c r="D90" s="728">
        <f t="shared" ref="D90:O90" si="21">SUM(D70:D89)</f>
        <v>21682</v>
      </c>
      <c r="E90" s="728">
        <f t="shared" si="21"/>
        <v>45478</v>
      </c>
      <c r="F90" s="728">
        <f t="shared" si="21"/>
        <v>0</v>
      </c>
      <c r="G90" s="728">
        <f t="shared" si="21"/>
        <v>0</v>
      </c>
      <c r="H90" s="728">
        <f t="shared" si="21"/>
        <v>172045</v>
      </c>
      <c r="I90" s="728">
        <f t="shared" si="21"/>
        <v>0</v>
      </c>
      <c r="J90" s="728">
        <f t="shared" si="21"/>
        <v>99524</v>
      </c>
      <c r="K90" s="728">
        <f t="shared" si="21"/>
        <v>0</v>
      </c>
      <c r="L90" s="728">
        <f t="shared" si="21"/>
        <v>0</v>
      </c>
      <c r="M90" s="728">
        <f t="shared" si="21"/>
        <v>0</v>
      </c>
      <c r="N90" s="728">
        <f t="shared" si="21"/>
        <v>0</v>
      </c>
      <c r="O90" s="728">
        <f t="shared" si="21"/>
        <v>0</v>
      </c>
    </row>
    <row r="91" spans="1:15">
      <c r="A91" s="657"/>
      <c r="B91" s="676"/>
      <c r="C91" s="677"/>
      <c r="D91" s="677"/>
      <c r="E91" s="677"/>
      <c r="F91" s="677"/>
      <c r="G91" s="677"/>
      <c r="H91" s="677"/>
      <c r="I91" s="677"/>
      <c r="J91" s="677"/>
      <c r="K91" s="678"/>
      <c r="L91" s="678"/>
      <c r="M91" s="678"/>
      <c r="N91" s="678"/>
      <c r="O91" s="677"/>
    </row>
    <row r="92" spans="1:15" ht="16" thickBot="1">
      <c r="A92" s="657"/>
      <c r="B92" s="679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</row>
    <row r="93" spans="1:15" ht="16" thickBot="1">
      <c r="A93" s="662"/>
      <c r="B93" s="722" t="s">
        <v>32</v>
      </c>
      <c r="C93" s="723">
        <f t="shared" ref="C93:O93" si="22">C65</f>
        <v>45658</v>
      </c>
      <c r="D93" s="723">
        <f t="shared" si="22"/>
        <v>45689</v>
      </c>
      <c r="E93" s="723">
        <f t="shared" si="22"/>
        <v>45717</v>
      </c>
      <c r="F93" s="723">
        <f t="shared" si="22"/>
        <v>45748</v>
      </c>
      <c r="G93" s="723">
        <f t="shared" si="22"/>
        <v>45778</v>
      </c>
      <c r="H93" s="723">
        <f t="shared" si="22"/>
        <v>45809</v>
      </c>
      <c r="I93" s="723">
        <f t="shared" si="22"/>
        <v>45839</v>
      </c>
      <c r="J93" s="723">
        <f t="shared" si="22"/>
        <v>45870</v>
      </c>
      <c r="K93" s="723">
        <f t="shared" si="22"/>
        <v>45901</v>
      </c>
      <c r="L93" s="723">
        <f t="shared" si="22"/>
        <v>45931</v>
      </c>
      <c r="M93" s="723">
        <f t="shared" si="22"/>
        <v>45962</v>
      </c>
      <c r="N93" s="723">
        <f t="shared" si="22"/>
        <v>45992</v>
      </c>
      <c r="O93" s="723" t="str">
        <f t="shared" si="22"/>
        <v>TOTAL 2025</v>
      </c>
    </row>
    <row r="94" spans="1:15" ht="16">
      <c r="A94" s="662"/>
      <c r="B94" s="724" t="s">
        <v>22</v>
      </c>
      <c r="C94" s="725" t="s">
        <v>444</v>
      </c>
      <c r="D94" s="725" t="s">
        <v>444</v>
      </c>
      <c r="E94" s="725" t="s">
        <v>444</v>
      </c>
      <c r="F94" s="725" t="s">
        <v>444</v>
      </c>
      <c r="G94" s="725" t="s">
        <v>444</v>
      </c>
      <c r="H94" s="725" t="s">
        <v>444</v>
      </c>
      <c r="I94" s="725" t="s">
        <v>444</v>
      </c>
      <c r="J94" s="725" t="s">
        <v>444</v>
      </c>
      <c r="K94" s="725" t="s">
        <v>444</v>
      </c>
      <c r="L94" s="725" t="s">
        <v>444</v>
      </c>
      <c r="M94" s="725" t="s">
        <v>444</v>
      </c>
      <c r="N94" s="725" t="s">
        <v>444</v>
      </c>
      <c r="O94" s="725" t="s">
        <v>444</v>
      </c>
    </row>
    <row r="95" spans="1:15">
      <c r="A95" s="662"/>
      <c r="B95" s="680" t="s">
        <v>750</v>
      </c>
      <c r="C95" s="671"/>
      <c r="D95" s="671"/>
      <c r="E95" s="671"/>
      <c r="F95" s="671"/>
      <c r="G95" s="671"/>
      <c r="H95" s="671"/>
      <c r="I95" s="671"/>
      <c r="J95" s="671"/>
      <c r="K95" s="671"/>
      <c r="L95" s="671"/>
      <c r="M95" s="671"/>
      <c r="N95" s="674"/>
      <c r="O95" s="671"/>
    </row>
    <row r="96" spans="1:15">
      <c r="A96" s="2298"/>
      <c r="B96" s="2299" t="s">
        <v>1355</v>
      </c>
      <c r="C96" s="2300"/>
      <c r="D96" s="2300"/>
      <c r="E96" s="2300"/>
      <c r="F96" s="2300"/>
      <c r="G96" s="2300">
        <v>415568</v>
      </c>
      <c r="H96" s="2300"/>
      <c r="I96" s="2300"/>
      <c r="J96" s="2300"/>
      <c r="K96" s="2300"/>
      <c r="L96" s="2300">
        <v>110754</v>
      </c>
      <c r="M96" s="2300">
        <v>278213</v>
      </c>
      <c r="N96" s="2301">
        <f>349514</f>
        <v>349514</v>
      </c>
      <c r="O96" s="2300"/>
    </row>
    <row r="97" spans="1:15">
      <c r="A97" s="662"/>
      <c r="B97" s="680" t="s">
        <v>646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  <c r="N97" s="682"/>
      <c r="O97" s="681"/>
    </row>
    <row r="98" spans="1:15" ht="16" thickBot="1">
      <c r="A98" s="662"/>
      <c r="B98" s="727" t="s">
        <v>31</v>
      </c>
      <c r="C98" s="728">
        <f t="shared" ref="C98:O98" si="23">SUM(C95:C97)</f>
        <v>0</v>
      </c>
      <c r="D98" s="728">
        <f t="shared" si="23"/>
        <v>0</v>
      </c>
      <c r="E98" s="728">
        <f t="shared" si="23"/>
        <v>0</v>
      </c>
      <c r="F98" s="728">
        <f t="shared" si="23"/>
        <v>0</v>
      </c>
      <c r="G98" s="728">
        <f t="shared" si="23"/>
        <v>415568</v>
      </c>
      <c r="H98" s="728">
        <f t="shared" si="23"/>
        <v>0</v>
      </c>
      <c r="I98" s="728">
        <f t="shared" si="23"/>
        <v>0</v>
      </c>
      <c r="J98" s="728">
        <f t="shared" si="23"/>
        <v>0</v>
      </c>
      <c r="K98" s="728">
        <f t="shared" si="23"/>
        <v>0</v>
      </c>
      <c r="L98" s="728">
        <f t="shared" si="23"/>
        <v>110754</v>
      </c>
      <c r="M98" s="728">
        <f t="shared" si="23"/>
        <v>278213</v>
      </c>
      <c r="N98" s="728">
        <f t="shared" si="23"/>
        <v>349514</v>
      </c>
      <c r="O98" s="728">
        <f t="shared" si="23"/>
        <v>0</v>
      </c>
    </row>
    <row r="99" spans="1:15" ht="16" thickBot="1">
      <c r="A99" s="657"/>
      <c r="B99" s="683"/>
      <c r="C99" s="667"/>
      <c r="D99" s="667"/>
      <c r="E99" s="667"/>
      <c r="F99" s="667"/>
      <c r="G99" s="667"/>
      <c r="H99" s="667"/>
      <c r="I99" s="667"/>
      <c r="J99" s="667"/>
      <c r="K99" s="667"/>
      <c r="L99" s="667"/>
      <c r="M99" s="667"/>
      <c r="N99" s="667"/>
      <c r="O99" s="667"/>
    </row>
    <row r="100" spans="1:15" ht="16" thickBot="1">
      <c r="A100" s="662"/>
      <c r="B100" s="722" t="s">
        <v>751</v>
      </c>
      <c r="C100" s="723">
        <f t="shared" ref="C100:O100" si="24">C65</f>
        <v>45658</v>
      </c>
      <c r="D100" s="723">
        <f t="shared" si="24"/>
        <v>45689</v>
      </c>
      <c r="E100" s="723">
        <f t="shared" si="24"/>
        <v>45717</v>
      </c>
      <c r="F100" s="723">
        <f t="shared" si="24"/>
        <v>45748</v>
      </c>
      <c r="G100" s="723">
        <f t="shared" si="24"/>
        <v>45778</v>
      </c>
      <c r="H100" s="723">
        <f t="shared" si="24"/>
        <v>45809</v>
      </c>
      <c r="I100" s="723">
        <f t="shared" si="24"/>
        <v>45839</v>
      </c>
      <c r="J100" s="723">
        <f t="shared" si="24"/>
        <v>45870</v>
      </c>
      <c r="K100" s="723">
        <f t="shared" si="24"/>
        <v>45901</v>
      </c>
      <c r="L100" s="723">
        <f t="shared" si="24"/>
        <v>45931</v>
      </c>
      <c r="M100" s="723">
        <f t="shared" si="24"/>
        <v>45962</v>
      </c>
      <c r="N100" s="723">
        <f t="shared" si="24"/>
        <v>45992</v>
      </c>
      <c r="O100" s="723" t="str">
        <f t="shared" si="24"/>
        <v>TOTAL 2025</v>
      </c>
    </row>
    <row r="101" spans="1:15" ht="16">
      <c r="A101" s="662"/>
      <c r="B101" s="724"/>
      <c r="C101" s="725" t="s">
        <v>444</v>
      </c>
      <c r="D101" s="725" t="s">
        <v>444</v>
      </c>
      <c r="E101" s="725" t="s">
        <v>444</v>
      </c>
      <c r="F101" s="725" t="s">
        <v>444</v>
      </c>
      <c r="G101" s="725" t="s">
        <v>444</v>
      </c>
      <c r="H101" s="725" t="s">
        <v>444</v>
      </c>
      <c r="I101" s="725" t="s">
        <v>444</v>
      </c>
      <c r="J101" s="725" t="s">
        <v>444</v>
      </c>
      <c r="K101" s="725" t="s">
        <v>444</v>
      </c>
      <c r="L101" s="725" t="s">
        <v>444</v>
      </c>
      <c r="M101" s="725" t="s">
        <v>444</v>
      </c>
      <c r="N101" s="725" t="s">
        <v>444</v>
      </c>
      <c r="O101" s="725" t="s">
        <v>444</v>
      </c>
    </row>
    <row r="102" spans="1:15" ht="16" thickBot="1">
      <c r="A102" s="662"/>
      <c r="B102" s="727" t="s">
        <v>6</v>
      </c>
      <c r="C102" s="728">
        <f t="shared" ref="C102:O102" si="25">C90+C98</f>
        <v>0</v>
      </c>
      <c r="D102" s="728">
        <f t="shared" si="25"/>
        <v>21682</v>
      </c>
      <c r="E102" s="728">
        <f t="shared" si="25"/>
        <v>45478</v>
      </c>
      <c r="F102" s="728">
        <f t="shared" si="25"/>
        <v>0</v>
      </c>
      <c r="G102" s="728">
        <f t="shared" si="25"/>
        <v>415568</v>
      </c>
      <c r="H102" s="728">
        <f t="shared" si="25"/>
        <v>172045</v>
      </c>
      <c r="I102" s="728">
        <f t="shared" si="25"/>
        <v>0</v>
      </c>
      <c r="J102" s="728">
        <f t="shared" si="25"/>
        <v>99524</v>
      </c>
      <c r="K102" s="728">
        <f t="shared" si="25"/>
        <v>0</v>
      </c>
      <c r="L102" s="728">
        <f t="shared" si="25"/>
        <v>110754</v>
      </c>
      <c r="M102" s="728">
        <f t="shared" si="25"/>
        <v>278213</v>
      </c>
      <c r="N102" s="728">
        <f t="shared" si="25"/>
        <v>349514</v>
      </c>
      <c r="O102" s="728">
        <f t="shared" si="25"/>
        <v>0</v>
      </c>
    </row>
    <row r="103" spans="1:15" ht="16" thickBot="1">
      <c r="A103" s="657"/>
      <c r="B103" s="667"/>
      <c r="C103" s="667"/>
      <c r="D103" s="667"/>
      <c r="E103" s="667"/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</row>
    <row r="104" spans="1:15" ht="16" thickBot="1">
      <c r="A104" s="662"/>
      <c r="B104" s="730"/>
      <c r="C104" s="723">
        <f t="shared" ref="C104:O104" si="26">C65</f>
        <v>45658</v>
      </c>
      <c r="D104" s="723">
        <f t="shared" si="26"/>
        <v>45689</v>
      </c>
      <c r="E104" s="723">
        <f t="shared" si="26"/>
        <v>45717</v>
      </c>
      <c r="F104" s="723">
        <f t="shared" si="26"/>
        <v>45748</v>
      </c>
      <c r="G104" s="723">
        <f t="shared" si="26"/>
        <v>45778</v>
      </c>
      <c r="H104" s="723">
        <f t="shared" si="26"/>
        <v>45809</v>
      </c>
      <c r="I104" s="723">
        <f t="shared" si="26"/>
        <v>45839</v>
      </c>
      <c r="J104" s="723">
        <f t="shared" si="26"/>
        <v>45870</v>
      </c>
      <c r="K104" s="723">
        <f t="shared" si="26"/>
        <v>45901</v>
      </c>
      <c r="L104" s="723">
        <f t="shared" si="26"/>
        <v>45931</v>
      </c>
      <c r="M104" s="723">
        <f t="shared" si="26"/>
        <v>45962</v>
      </c>
      <c r="N104" s="723">
        <f t="shared" si="26"/>
        <v>45992</v>
      </c>
      <c r="O104" s="723" t="str">
        <f t="shared" si="26"/>
        <v>TOTAL 2025</v>
      </c>
    </row>
    <row r="105" spans="1:15" ht="17" thickBot="1">
      <c r="A105" s="662"/>
      <c r="B105" s="731" t="s">
        <v>648</v>
      </c>
      <c r="C105" s="732" t="s">
        <v>444</v>
      </c>
      <c r="D105" s="732" t="s">
        <v>444</v>
      </c>
      <c r="E105" s="732" t="s">
        <v>444</v>
      </c>
      <c r="F105" s="732" t="s">
        <v>444</v>
      </c>
      <c r="G105" s="732" t="s">
        <v>444</v>
      </c>
      <c r="H105" s="732" t="s">
        <v>444</v>
      </c>
      <c r="I105" s="732" t="s">
        <v>444</v>
      </c>
      <c r="J105" s="732" t="s">
        <v>444</v>
      </c>
      <c r="K105" s="732" t="s">
        <v>444</v>
      </c>
      <c r="L105" s="732" t="s">
        <v>444</v>
      </c>
      <c r="M105" s="732" t="s">
        <v>444</v>
      </c>
      <c r="N105" s="732" t="s">
        <v>444</v>
      </c>
      <c r="O105" s="732" t="s">
        <v>444</v>
      </c>
    </row>
    <row r="106" spans="1:15" ht="16" thickBot="1">
      <c r="A106" s="662"/>
      <c r="B106" s="733"/>
      <c r="C106" s="734">
        <f t="shared" ref="C106:O106" si="27">C102</f>
        <v>0</v>
      </c>
      <c r="D106" s="734">
        <f t="shared" si="27"/>
        <v>21682</v>
      </c>
      <c r="E106" s="734">
        <f t="shared" si="27"/>
        <v>45478</v>
      </c>
      <c r="F106" s="734">
        <f t="shared" si="27"/>
        <v>0</v>
      </c>
      <c r="G106" s="734">
        <f t="shared" si="27"/>
        <v>415568</v>
      </c>
      <c r="H106" s="734">
        <f t="shared" si="27"/>
        <v>172045</v>
      </c>
      <c r="I106" s="734">
        <f t="shared" si="27"/>
        <v>0</v>
      </c>
      <c r="J106" s="734">
        <f t="shared" si="27"/>
        <v>99524</v>
      </c>
      <c r="K106" s="734">
        <f t="shared" si="27"/>
        <v>0</v>
      </c>
      <c r="L106" s="734">
        <f t="shared" si="27"/>
        <v>110754</v>
      </c>
      <c r="M106" s="734">
        <f t="shared" si="27"/>
        <v>278213</v>
      </c>
      <c r="N106" s="734">
        <f t="shared" si="27"/>
        <v>349514</v>
      </c>
      <c r="O106" s="734">
        <f t="shared" si="27"/>
        <v>0</v>
      </c>
    </row>
    <row r="107" spans="1:15" ht="16" thickBot="1">
      <c r="A107" s="657"/>
      <c r="B107" s="667"/>
      <c r="C107" s="684"/>
      <c r="D107" s="684"/>
      <c r="E107" s="684"/>
      <c r="F107" s="684"/>
      <c r="G107" s="684"/>
      <c r="H107" s="684"/>
      <c r="I107" s="684"/>
      <c r="J107" s="684"/>
      <c r="K107" s="684"/>
      <c r="L107" s="684"/>
      <c r="M107" s="684"/>
      <c r="N107" s="684"/>
      <c r="O107" s="684"/>
    </row>
    <row r="108" spans="1:15" ht="16" thickBot="1">
      <c r="A108" s="1842" t="s">
        <v>1467</v>
      </c>
      <c r="B108" s="722" t="s">
        <v>649</v>
      </c>
      <c r="C108" s="723" t="s">
        <v>1468</v>
      </c>
      <c r="D108" s="723" t="s">
        <v>1469</v>
      </c>
      <c r="E108" s="723" t="s">
        <v>1470</v>
      </c>
      <c r="F108" s="723" t="s">
        <v>1471</v>
      </c>
      <c r="G108" s="723" t="s">
        <v>1472</v>
      </c>
      <c r="H108" s="723" t="s">
        <v>1473</v>
      </c>
      <c r="I108" s="1949" t="s">
        <v>1531</v>
      </c>
      <c r="J108" s="1949" t="s">
        <v>1600</v>
      </c>
      <c r="K108" s="1949" t="s">
        <v>1601</v>
      </c>
      <c r="L108" s="1949" t="s">
        <v>1602</v>
      </c>
      <c r="M108" s="2466" t="s">
        <v>1603</v>
      </c>
      <c r="N108" s="2466" t="s">
        <v>1604</v>
      </c>
      <c r="O108" s="723" t="str">
        <f t="shared" ref="O108" si="28">O65</f>
        <v>TOTAL 2025</v>
      </c>
    </row>
    <row r="109" spans="1:15" ht="16" thickBot="1">
      <c r="A109" s="1842"/>
      <c r="B109" s="685" t="s">
        <v>38</v>
      </c>
      <c r="C109" s="686"/>
      <c r="D109" s="686"/>
      <c r="E109" s="686"/>
      <c r="F109" s="686"/>
      <c r="G109" s="686"/>
      <c r="H109" s="686"/>
      <c r="I109" s="686"/>
      <c r="J109" s="686"/>
      <c r="K109" s="686"/>
      <c r="L109" s="686"/>
      <c r="M109" s="686"/>
      <c r="N109" s="686"/>
      <c r="O109" s="686"/>
    </row>
    <row r="110" spans="1:15" ht="16" thickBot="1">
      <c r="A110" s="1842"/>
      <c r="B110" s="687"/>
      <c r="C110" s="688"/>
      <c r="D110" s="689"/>
      <c r="E110" s="689"/>
      <c r="F110" s="689"/>
      <c r="G110" s="689"/>
      <c r="H110" s="689"/>
      <c r="I110" s="689"/>
      <c r="J110" s="689"/>
      <c r="K110" s="689"/>
      <c r="L110" s="690"/>
      <c r="M110" s="690"/>
      <c r="N110" s="690"/>
      <c r="O110" s="689"/>
    </row>
    <row r="111" spans="1:15" ht="16" thickBot="1">
      <c r="A111" s="1842"/>
      <c r="B111" s="687"/>
      <c r="C111" s="691"/>
      <c r="D111" s="692"/>
      <c r="E111" s="692"/>
      <c r="F111" s="692"/>
      <c r="G111" s="692"/>
      <c r="H111" s="692"/>
      <c r="I111" s="692"/>
      <c r="J111" s="692"/>
      <c r="K111" s="692"/>
      <c r="L111" s="693"/>
      <c r="M111" s="693"/>
      <c r="N111" s="693"/>
      <c r="O111" s="692"/>
    </row>
    <row r="112" spans="1:15" ht="16" thickBot="1">
      <c r="A112" s="1842"/>
      <c r="B112" s="687"/>
      <c r="C112" s="694"/>
      <c r="D112" s="695"/>
      <c r="E112" s="695"/>
      <c r="F112" s="695"/>
      <c r="G112" s="695"/>
      <c r="H112" s="695"/>
      <c r="I112" s="695"/>
      <c r="J112" s="695"/>
      <c r="K112" s="695"/>
      <c r="L112" s="696"/>
      <c r="M112" s="696"/>
      <c r="N112" s="696"/>
      <c r="O112" s="695"/>
    </row>
    <row r="113" spans="1:15" ht="16" thickBot="1">
      <c r="A113" s="1842"/>
      <c r="B113" s="697" t="s">
        <v>676</v>
      </c>
      <c r="C113" s="735">
        <f t="shared" ref="C113:O113" si="29">SUM(C110:C112)</f>
        <v>0</v>
      </c>
      <c r="D113" s="735">
        <f t="shared" si="29"/>
        <v>0</v>
      </c>
      <c r="E113" s="735">
        <f t="shared" si="29"/>
        <v>0</v>
      </c>
      <c r="F113" s="735">
        <f t="shared" si="29"/>
        <v>0</v>
      </c>
      <c r="G113" s="735">
        <f t="shared" si="29"/>
        <v>0</v>
      </c>
      <c r="H113" s="735">
        <f t="shared" si="29"/>
        <v>0</v>
      </c>
      <c r="I113" s="735">
        <f t="shared" si="29"/>
        <v>0</v>
      </c>
      <c r="J113" s="735">
        <f t="shared" si="29"/>
        <v>0</v>
      </c>
      <c r="K113" s="735">
        <f t="shared" si="29"/>
        <v>0</v>
      </c>
      <c r="L113" s="735">
        <f t="shared" si="29"/>
        <v>0</v>
      </c>
      <c r="M113" s="735">
        <f t="shared" si="29"/>
        <v>0</v>
      </c>
      <c r="N113" s="735">
        <f t="shared" si="29"/>
        <v>0</v>
      </c>
      <c r="O113" s="735">
        <f t="shared" si="29"/>
        <v>0</v>
      </c>
    </row>
    <row r="114" spans="1:15" ht="16" thickBot="1">
      <c r="A114" s="1842"/>
      <c r="B114" s="698" t="s">
        <v>677</v>
      </c>
      <c r="C114" s="736"/>
      <c r="D114" s="736"/>
      <c r="E114" s="736"/>
      <c r="F114" s="736"/>
      <c r="G114" s="736"/>
      <c r="H114" s="736"/>
      <c r="I114" s="736"/>
      <c r="J114" s="736"/>
      <c r="K114" s="736"/>
      <c r="L114" s="736"/>
      <c r="M114" s="736"/>
      <c r="N114" s="736"/>
      <c r="O114" s="736"/>
    </row>
    <row r="115" spans="1:15" ht="16" thickBot="1">
      <c r="A115" s="1842"/>
      <c r="B115" s="699"/>
      <c r="C115" s="686"/>
      <c r="D115" s="686"/>
      <c r="E115" s="686"/>
      <c r="F115" s="686"/>
      <c r="G115" s="686"/>
      <c r="H115" s="686"/>
      <c r="I115" s="686"/>
      <c r="J115" s="686"/>
      <c r="K115" s="686"/>
      <c r="L115" s="686"/>
      <c r="M115" s="686"/>
      <c r="N115" s="686"/>
      <c r="O115" s="686"/>
    </row>
    <row r="116" spans="1:15" ht="16" thickBot="1">
      <c r="A116" s="1842"/>
      <c r="B116" s="685" t="s">
        <v>68</v>
      </c>
      <c r="C116" s="700">
        <f t="shared" ref="C116:O116" si="30">SUM(C113:C115)</f>
        <v>0</v>
      </c>
      <c r="D116" s="700">
        <f t="shared" si="30"/>
        <v>0</v>
      </c>
      <c r="E116" s="700">
        <f t="shared" si="30"/>
        <v>0</v>
      </c>
      <c r="F116" s="700">
        <f t="shared" si="30"/>
        <v>0</v>
      </c>
      <c r="G116" s="700">
        <f t="shared" si="30"/>
        <v>0</v>
      </c>
      <c r="H116" s="700">
        <f t="shared" si="30"/>
        <v>0</v>
      </c>
      <c r="I116" s="700">
        <f t="shared" si="30"/>
        <v>0</v>
      </c>
      <c r="J116" s="700">
        <f t="shared" si="30"/>
        <v>0</v>
      </c>
      <c r="K116" s="700">
        <f t="shared" si="30"/>
        <v>0</v>
      </c>
      <c r="L116" s="700">
        <f t="shared" si="30"/>
        <v>0</v>
      </c>
      <c r="M116" s="700">
        <f t="shared" si="30"/>
        <v>0</v>
      </c>
      <c r="N116" s="700">
        <f t="shared" si="30"/>
        <v>0</v>
      </c>
      <c r="O116" s="700">
        <f t="shared" si="30"/>
        <v>0</v>
      </c>
    </row>
    <row r="117" spans="1:15" ht="16" thickBot="1">
      <c r="A117" s="1842"/>
      <c r="B117" s="701" t="s">
        <v>69</v>
      </c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0"/>
    </row>
    <row r="118" spans="1:15" ht="16" thickBot="1">
      <c r="A118" s="1842"/>
      <c r="B118" s="702" t="s">
        <v>31</v>
      </c>
      <c r="C118" s="700">
        <f t="shared" ref="C118:O118" si="31">SUM(C116:C117)</f>
        <v>0</v>
      </c>
      <c r="D118" s="700">
        <f t="shared" si="31"/>
        <v>0</v>
      </c>
      <c r="E118" s="700">
        <f t="shared" si="31"/>
        <v>0</v>
      </c>
      <c r="F118" s="700">
        <f t="shared" si="31"/>
        <v>0</v>
      </c>
      <c r="G118" s="700">
        <f t="shared" si="31"/>
        <v>0</v>
      </c>
      <c r="H118" s="700">
        <f t="shared" si="31"/>
        <v>0</v>
      </c>
      <c r="I118" s="700">
        <f t="shared" si="31"/>
        <v>0</v>
      </c>
      <c r="J118" s="700">
        <f t="shared" si="31"/>
        <v>0</v>
      </c>
      <c r="K118" s="700">
        <f t="shared" si="31"/>
        <v>0</v>
      </c>
      <c r="L118" s="700">
        <f t="shared" si="31"/>
        <v>0</v>
      </c>
      <c r="M118" s="700">
        <f t="shared" si="31"/>
        <v>0</v>
      </c>
      <c r="N118" s="700">
        <f t="shared" si="31"/>
        <v>0</v>
      </c>
      <c r="O118" s="700">
        <f t="shared" si="31"/>
        <v>0</v>
      </c>
    </row>
    <row r="119" spans="1:15" ht="16" thickBot="1">
      <c r="A119" s="1843"/>
      <c r="B119" s="683"/>
      <c r="C119" s="667"/>
      <c r="D119" s="667"/>
      <c r="E119" s="667"/>
      <c r="F119" s="667"/>
      <c r="G119" s="667"/>
      <c r="H119" s="667"/>
      <c r="I119" s="667"/>
      <c r="J119" s="667"/>
      <c r="K119" s="667"/>
      <c r="L119" s="667"/>
      <c r="M119" s="667"/>
      <c r="N119" s="667"/>
      <c r="O119" s="667"/>
    </row>
    <row r="120" spans="1:15" ht="16" thickBot="1">
      <c r="A120" s="1842"/>
      <c r="B120" s="722" t="s">
        <v>678</v>
      </c>
      <c r="C120" s="723">
        <f t="shared" ref="C120:O120" si="32">C65</f>
        <v>45658</v>
      </c>
      <c r="D120" s="723">
        <f t="shared" si="32"/>
        <v>45689</v>
      </c>
      <c r="E120" s="723">
        <f t="shared" si="32"/>
        <v>45717</v>
      </c>
      <c r="F120" s="723">
        <f t="shared" si="32"/>
        <v>45748</v>
      </c>
      <c r="G120" s="723">
        <f t="shared" si="32"/>
        <v>45778</v>
      </c>
      <c r="H120" s="723">
        <f t="shared" si="32"/>
        <v>45809</v>
      </c>
      <c r="I120" s="723">
        <f t="shared" si="32"/>
        <v>45839</v>
      </c>
      <c r="J120" s="723">
        <f t="shared" si="32"/>
        <v>45870</v>
      </c>
      <c r="K120" s="723">
        <f t="shared" si="32"/>
        <v>45901</v>
      </c>
      <c r="L120" s="723">
        <f t="shared" si="32"/>
        <v>45931</v>
      </c>
      <c r="M120" s="723">
        <f t="shared" si="32"/>
        <v>45962</v>
      </c>
      <c r="N120" s="723">
        <f t="shared" si="32"/>
        <v>45992</v>
      </c>
      <c r="O120" s="723" t="str">
        <f t="shared" si="32"/>
        <v>TOTAL 2025</v>
      </c>
    </row>
    <row r="121" spans="1:15" ht="17" thickBot="1">
      <c r="A121" s="1842"/>
      <c r="B121" s="703" t="s">
        <v>38</v>
      </c>
      <c r="C121" s="704" t="s">
        <v>444</v>
      </c>
      <c r="D121" s="705" t="s">
        <v>444</v>
      </c>
      <c r="E121" s="705" t="s">
        <v>444</v>
      </c>
      <c r="F121" s="705" t="s">
        <v>444</v>
      </c>
      <c r="G121" s="705" t="s">
        <v>444</v>
      </c>
      <c r="H121" s="705" t="s">
        <v>444</v>
      </c>
      <c r="I121" s="705" t="s">
        <v>444</v>
      </c>
      <c r="J121" s="705" t="s">
        <v>444</v>
      </c>
      <c r="K121" s="705" t="s">
        <v>444</v>
      </c>
      <c r="L121" s="705" t="s">
        <v>444</v>
      </c>
      <c r="M121" s="705" t="s">
        <v>444</v>
      </c>
      <c r="N121" s="705" t="s">
        <v>444</v>
      </c>
      <c r="O121" s="705" t="s">
        <v>444</v>
      </c>
    </row>
    <row r="122" spans="1:15" ht="16" thickBot="1">
      <c r="A122" s="1842" t="s">
        <v>1462</v>
      </c>
      <c r="B122" s="971" t="s">
        <v>1390</v>
      </c>
      <c r="C122" s="793">
        <v>6023</v>
      </c>
      <c r="D122" s="1638"/>
      <c r="E122" s="1638"/>
      <c r="F122" s="1638"/>
      <c r="G122" s="1638"/>
      <c r="H122" s="1638"/>
      <c r="I122" s="1638"/>
      <c r="J122" s="1638"/>
      <c r="K122" s="1639"/>
      <c r="L122" s="1639"/>
      <c r="M122" s="1639"/>
      <c r="N122" s="1639"/>
      <c r="O122" s="1638"/>
    </row>
    <row r="123" spans="1:15" ht="16" thickBot="1">
      <c r="A123" s="1842" t="s">
        <v>1462</v>
      </c>
      <c r="B123" s="1636" t="s">
        <v>1391</v>
      </c>
      <c r="C123" s="1640">
        <v>8021</v>
      </c>
      <c r="D123" s="1641"/>
      <c r="E123" s="1641"/>
      <c r="F123" s="1641">
        <v>14380</v>
      </c>
      <c r="G123" s="1641"/>
      <c r="H123" s="1641">
        <v>9430</v>
      </c>
      <c r="I123" s="2327">
        <v>5684.8</v>
      </c>
      <c r="J123" s="2327">
        <v>5684.8</v>
      </c>
      <c r="K123" s="2328">
        <v>5684.8</v>
      </c>
      <c r="L123" s="2328">
        <v>5684.8</v>
      </c>
      <c r="M123" s="2328">
        <v>5684.8</v>
      </c>
      <c r="N123" s="2328">
        <v>5684.8</v>
      </c>
      <c r="O123" s="1643"/>
    </row>
    <row r="124" spans="1:15" ht="16" thickBot="1">
      <c r="A124" s="1842" t="s">
        <v>1463</v>
      </c>
      <c r="B124" s="1636" t="s">
        <v>1392</v>
      </c>
      <c r="C124" s="1640"/>
      <c r="D124" s="1641"/>
      <c r="E124" s="1641"/>
      <c r="F124" s="1641"/>
      <c r="G124" s="1641"/>
      <c r="H124" s="1641">
        <v>5664</v>
      </c>
      <c r="I124" s="1641"/>
      <c r="J124" s="1641"/>
      <c r="K124" s="1642"/>
      <c r="L124" s="1642"/>
      <c r="M124" s="1642"/>
      <c r="N124" s="1642"/>
      <c r="O124" s="1643"/>
    </row>
    <row r="125" spans="1:15" ht="16" thickBot="1">
      <c r="A125" s="1842"/>
      <c r="B125" s="1636"/>
      <c r="C125" s="1640"/>
      <c r="D125" s="1641"/>
      <c r="E125" s="1641"/>
      <c r="F125" s="1641"/>
      <c r="G125" s="1641"/>
      <c r="H125" s="1641"/>
      <c r="I125" s="1641"/>
      <c r="J125" s="1641"/>
      <c r="K125" s="1642"/>
      <c r="L125" s="1642"/>
      <c r="M125" s="1642"/>
      <c r="N125" s="1642"/>
      <c r="O125" s="1643"/>
    </row>
    <row r="126" spans="1:15" ht="16" thickBot="1">
      <c r="A126" s="1842"/>
      <c r="B126" s="1637"/>
      <c r="C126" s="1644"/>
      <c r="D126" s="1645"/>
      <c r="E126" s="1645"/>
      <c r="F126" s="1645"/>
      <c r="G126" s="1645"/>
      <c r="H126" s="1645"/>
      <c r="I126" s="1645"/>
      <c r="J126" s="1645"/>
      <c r="K126" s="1646"/>
      <c r="L126" s="1646"/>
      <c r="M126" s="1646"/>
      <c r="N126" s="1646"/>
      <c r="O126" s="1645"/>
    </row>
    <row r="127" spans="1:15" ht="16" thickBot="1">
      <c r="A127" s="1842"/>
      <c r="B127" s="737" t="s">
        <v>687</v>
      </c>
      <c r="C127" s="735">
        <f>SUM(C122:C123)</f>
        <v>14044</v>
      </c>
      <c r="D127" s="735">
        <f>SUM(D122:D123)</f>
        <v>0</v>
      </c>
      <c r="E127" s="735">
        <f>SUM(E122:E126)</f>
        <v>0</v>
      </c>
      <c r="F127" s="735">
        <f>SUM(F122:F126)</f>
        <v>14380</v>
      </c>
      <c r="G127" s="735">
        <f>SUM(G122:G126)</f>
        <v>0</v>
      </c>
      <c r="H127" s="735">
        <f>SUM(H122:H126)</f>
        <v>15094</v>
      </c>
      <c r="I127" s="735">
        <f t="shared" ref="I127:O127" si="33">SUM(I122:I123)</f>
        <v>5684.8</v>
      </c>
      <c r="J127" s="735">
        <f t="shared" si="33"/>
        <v>5684.8</v>
      </c>
      <c r="K127" s="735">
        <f t="shared" si="33"/>
        <v>5684.8</v>
      </c>
      <c r="L127" s="735">
        <f t="shared" si="33"/>
        <v>5684.8</v>
      </c>
      <c r="M127" s="735">
        <f t="shared" si="33"/>
        <v>5684.8</v>
      </c>
      <c r="N127" s="735">
        <f t="shared" si="33"/>
        <v>5684.8</v>
      </c>
      <c r="O127" s="735">
        <f t="shared" si="33"/>
        <v>0</v>
      </c>
    </row>
    <row r="128" spans="1:15" ht="16" thickBot="1">
      <c r="A128" s="1842"/>
      <c r="B128" s="737" t="s">
        <v>688</v>
      </c>
      <c r="C128" s="738"/>
      <c r="D128" s="738"/>
      <c r="E128" s="738"/>
      <c r="F128" s="738"/>
      <c r="G128" s="738"/>
      <c r="H128" s="738"/>
      <c r="I128" s="738"/>
      <c r="J128" s="738"/>
      <c r="K128" s="738"/>
      <c r="L128" s="738"/>
      <c r="M128" s="738"/>
      <c r="N128" s="739"/>
      <c r="O128" s="738"/>
    </row>
    <row r="129" spans="1:15" ht="16" thickBot="1">
      <c r="A129" s="1842"/>
      <c r="B129" s="740" t="s">
        <v>689</v>
      </c>
      <c r="C129" s="738"/>
      <c r="D129" s="738"/>
      <c r="E129" s="738"/>
      <c r="F129" s="738"/>
      <c r="G129" s="738"/>
      <c r="H129" s="738"/>
      <c r="I129" s="738"/>
      <c r="J129" s="738"/>
      <c r="K129" s="738"/>
      <c r="L129" s="738"/>
      <c r="M129" s="738"/>
      <c r="N129" s="739"/>
      <c r="O129" s="738"/>
    </row>
    <row r="130" spans="1:15" ht="16" thickBot="1">
      <c r="A130" s="1842"/>
      <c r="B130" s="702" t="s">
        <v>31</v>
      </c>
      <c r="C130" s="700">
        <f t="shared" ref="C130:O130" si="34">SUM(C127:C129)</f>
        <v>14044</v>
      </c>
      <c r="D130" s="700">
        <f>SUM(D127:D129)</f>
        <v>0</v>
      </c>
      <c r="E130" s="700">
        <f>SUM(E127:E129)</f>
        <v>0</v>
      </c>
      <c r="F130" s="700">
        <f t="shared" si="34"/>
        <v>14380</v>
      </c>
      <c r="G130" s="700">
        <f t="shared" si="34"/>
        <v>0</v>
      </c>
      <c r="H130" s="700">
        <f t="shared" si="34"/>
        <v>15094</v>
      </c>
      <c r="I130" s="700">
        <f t="shared" si="34"/>
        <v>5684.8</v>
      </c>
      <c r="J130" s="700">
        <f t="shared" si="34"/>
        <v>5684.8</v>
      </c>
      <c r="K130" s="700">
        <f t="shared" si="34"/>
        <v>5684.8</v>
      </c>
      <c r="L130" s="700">
        <f t="shared" si="34"/>
        <v>5684.8</v>
      </c>
      <c r="M130" s="700">
        <f t="shared" si="34"/>
        <v>5684.8</v>
      </c>
      <c r="N130" s="700">
        <f t="shared" si="34"/>
        <v>5684.8</v>
      </c>
      <c r="O130" s="700">
        <f t="shared" si="34"/>
        <v>0</v>
      </c>
    </row>
    <row r="131" spans="1:15" ht="16" thickBot="1">
      <c r="A131" s="1843"/>
      <c r="B131" s="683"/>
      <c r="C131" s="667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</row>
    <row r="132" spans="1:15" ht="16" thickBot="1">
      <c r="A132" s="1842"/>
      <c r="B132" s="722" t="s">
        <v>9</v>
      </c>
      <c r="C132" s="741">
        <f t="shared" ref="C132:O132" si="35">C65</f>
        <v>45658</v>
      </c>
      <c r="D132" s="741">
        <f t="shared" si="35"/>
        <v>45689</v>
      </c>
      <c r="E132" s="741">
        <f t="shared" si="35"/>
        <v>45717</v>
      </c>
      <c r="F132" s="741">
        <f t="shared" si="35"/>
        <v>45748</v>
      </c>
      <c r="G132" s="741">
        <f t="shared" si="35"/>
        <v>45778</v>
      </c>
      <c r="H132" s="741">
        <f t="shared" si="35"/>
        <v>45809</v>
      </c>
      <c r="I132" s="741">
        <f t="shared" si="35"/>
        <v>45839</v>
      </c>
      <c r="J132" s="741">
        <f t="shared" si="35"/>
        <v>45870</v>
      </c>
      <c r="K132" s="741">
        <f t="shared" si="35"/>
        <v>45901</v>
      </c>
      <c r="L132" s="741">
        <f t="shared" si="35"/>
        <v>45931</v>
      </c>
      <c r="M132" s="741">
        <f t="shared" si="35"/>
        <v>45962</v>
      </c>
      <c r="N132" s="741">
        <f t="shared" si="35"/>
        <v>45992</v>
      </c>
      <c r="O132" s="741" t="str">
        <f t="shared" si="35"/>
        <v>TOTAL 2025</v>
      </c>
    </row>
    <row r="133" spans="1:15" ht="16" thickBot="1">
      <c r="A133" s="1842"/>
      <c r="B133" s="742" t="s">
        <v>692</v>
      </c>
      <c r="C133" s="743">
        <f t="shared" ref="C133:O133" si="36">SUM(C134:C135)</f>
        <v>0</v>
      </c>
      <c r="D133" s="738">
        <f t="shared" si="36"/>
        <v>0</v>
      </c>
      <c r="E133" s="738">
        <f t="shared" si="36"/>
        <v>0</v>
      </c>
      <c r="F133" s="738">
        <f t="shared" si="36"/>
        <v>0</v>
      </c>
      <c r="G133" s="738">
        <f t="shared" si="36"/>
        <v>0</v>
      </c>
      <c r="H133" s="738">
        <f t="shared" si="36"/>
        <v>0</v>
      </c>
      <c r="I133" s="738">
        <f t="shared" si="36"/>
        <v>0</v>
      </c>
      <c r="J133" s="738">
        <f t="shared" si="36"/>
        <v>0</v>
      </c>
      <c r="K133" s="738">
        <f t="shared" si="36"/>
        <v>0</v>
      </c>
      <c r="L133" s="738">
        <f t="shared" si="36"/>
        <v>0</v>
      </c>
      <c r="M133" s="738">
        <f t="shared" si="36"/>
        <v>0</v>
      </c>
      <c r="N133" s="739">
        <f t="shared" si="36"/>
        <v>0</v>
      </c>
      <c r="O133" s="738">
        <f t="shared" si="36"/>
        <v>0</v>
      </c>
    </row>
    <row r="134" spans="1:15" ht="16" thickBot="1">
      <c r="A134" s="1842"/>
      <c r="B134" s="972"/>
      <c r="C134" s="707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4"/>
      <c r="O134" s="671"/>
    </row>
    <row r="135" spans="1:15" ht="16" thickBot="1">
      <c r="A135" s="1842"/>
      <c r="B135" s="687"/>
      <c r="C135" s="707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4"/>
      <c r="O135" s="671"/>
    </row>
    <row r="136" spans="1:15" ht="16" thickBot="1">
      <c r="A136" s="1842"/>
      <c r="B136" s="742" t="s">
        <v>694</v>
      </c>
      <c r="C136" s="743">
        <f>SUM(C137:C137)</f>
        <v>0</v>
      </c>
      <c r="D136" s="738">
        <f>SUM(D137:D137)</f>
        <v>0</v>
      </c>
      <c r="E136" s="738">
        <f>SUM(E137:E137)</f>
        <v>0</v>
      </c>
      <c r="F136" s="738">
        <f>SUM(F137:F137)</f>
        <v>0</v>
      </c>
      <c r="G136" s="738">
        <f t="shared" ref="G136:N136" si="37">SUM(G137:G140)</f>
        <v>0</v>
      </c>
      <c r="H136" s="738">
        <f t="shared" si="37"/>
        <v>0</v>
      </c>
      <c r="I136" s="738">
        <f t="shared" si="37"/>
        <v>0</v>
      </c>
      <c r="J136" s="738">
        <f t="shared" si="37"/>
        <v>0</v>
      </c>
      <c r="K136" s="738">
        <f t="shared" si="37"/>
        <v>0</v>
      </c>
      <c r="L136" s="738">
        <f t="shared" si="37"/>
        <v>0</v>
      </c>
      <c r="M136" s="738">
        <f t="shared" si="37"/>
        <v>0</v>
      </c>
      <c r="N136" s="738">
        <f t="shared" si="37"/>
        <v>0</v>
      </c>
      <c r="O136" s="738">
        <f>SUM(O137:O137)</f>
        <v>0</v>
      </c>
    </row>
    <row r="137" spans="1:15" ht="16" thickBot="1">
      <c r="A137" s="1842"/>
      <c r="B137" s="708"/>
      <c r="C137" s="707"/>
      <c r="D137" s="671"/>
      <c r="E137" s="671"/>
      <c r="F137" s="671"/>
      <c r="G137" s="671"/>
      <c r="H137" s="671"/>
      <c r="I137" s="671"/>
      <c r="J137" s="671"/>
      <c r="K137" s="671"/>
      <c r="L137" s="671"/>
      <c r="M137" s="671"/>
      <c r="N137" s="674"/>
      <c r="O137" s="671"/>
    </row>
    <row r="138" spans="1:15" ht="16" thickBot="1">
      <c r="A138" s="1842"/>
      <c r="B138" s="708"/>
      <c r="C138" s="707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4"/>
      <c r="O138" s="671"/>
    </row>
    <row r="139" spans="1:15" ht="16" thickBot="1">
      <c r="A139" s="1842"/>
      <c r="B139" s="708"/>
      <c r="C139" s="707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4"/>
      <c r="O139" s="671"/>
    </row>
    <row r="140" spans="1:15" ht="16" thickBot="1">
      <c r="A140" s="1842"/>
      <c r="B140" s="687"/>
      <c r="C140" s="707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4"/>
      <c r="O140" s="671"/>
    </row>
    <row r="141" spans="1:15" ht="16" thickBot="1">
      <c r="A141" s="1842"/>
      <c r="B141" s="742" t="s">
        <v>698</v>
      </c>
      <c r="C141" s="743"/>
      <c r="D141" s="738"/>
      <c r="E141" s="738"/>
      <c r="F141" s="738"/>
      <c r="G141" s="738"/>
      <c r="H141" s="738"/>
      <c r="I141" s="738"/>
      <c r="J141" s="738"/>
      <c r="K141" s="738"/>
      <c r="L141" s="738"/>
      <c r="M141" s="738"/>
      <c r="N141" s="739"/>
      <c r="O141" s="738"/>
    </row>
    <row r="142" spans="1:15" ht="16" thickBot="1">
      <c r="A142" s="1842"/>
      <c r="B142" s="742" t="s">
        <v>752</v>
      </c>
      <c r="C142" s="743"/>
      <c r="D142" s="738"/>
      <c r="E142" s="738"/>
      <c r="F142" s="738"/>
      <c r="G142" s="738"/>
      <c r="H142" s="738"/>
      <c r="I142" s="738"/>
      <c r="J142" s="738"/>
      <c r="K142" s="738"/>
      <c r="L142" s="738"/>
      <c r="M142" s="738"/>
      <c r="N142" s="739"/>
      <c r="O142" s="738"/>
    </row>
    <row r="143" spans="1:15" ht="16" thickBot="1">
      <c r="A143" s="1842"/>
      <c r="B143" s="742" t="s">
        <v>700</v>
      </c>
      <c r="C143" s="743"/>
      <c r="D143" s="738"/>
      <c r="E143" s="738"/>
      <c r="F143" s="738"/>
      <c r="G143" s="738"/>
      <c r="H143" s="738"/>
      <c r="I143" s="738"/>
      <c r="J143" s="738"/>
      <c r="K143" s="738"/>
      <c r="L143" s="738"/>
      <c r="M143" s="738"/>
      <c r="N143" s="739"/>
      <c r="O143" s="738"/>
    </row>
    <row r="144" spans="1:15" ht="16" thickBot="1">
      <c r="A144" s="1842"/>
      <c r="B144" s="742" t="s">
        <v>701</v>
      </c>
      <c r="C144" s="743"/>
      <c r="D144" s="738"/>
      <c r="E144" s="738"/>
      <c r="F144" s="738"/>
      <c r="G144" s="738"/>
      <c r="H144" s="738"/>
      <c r="I144" s="738"/>
      <c r="J144" s="738"/>
      <c r="K144" s="744"/>
      <c r="L144" s="738"/>
      <c r="M144" s="738"/>
      <c r="N144" s="739"/>
      <c r="O144" s="738"/>
    </row>
    <row r="145" spans="1:15" ht="16" thickBot="1">
      <c r="A145" s="1842"/>
      <c r="B145" s="742" t="s">
        <v>753</v>
      </c>
      <c r="C145" s="745"/>
      <c r="D145" s="736"/>
      <c r="E145" s="736"/>
      <c r="F145" s="736"/>
      <c r="G145" s="736"/>
      <c r="H145" s="746"/>
      <c r="I145" s="736"/>
      <c r="J145" s="736"/>
      <c r="K145" s="736"/>
      <c r="L145" s="736"/>
      <c r="M145" s="736"/>
      <c r="N145" s="747"/>
      <c r="O145" s="736"/>
    </row>
    <row r="146" spans="1:15" ht="16" thickBot="1">
      <c r="A146" s="1842"/>
      <c r="B146" s="702" t="s">
        <v>31</v>
      </c>
      <c r="C146" s="700">
        <f t="shared" ref="C146:O146" si="38">C133+C136+C141+C142+C143+C144+C145</f>
        <v>0</v>
      </c>
      <c r="D146" s="700">
        <f t="shared" si="38"/>
        <v>0</v>
      </c>
      <c r="E146" s="700">
        <f t="shared" si="38"/>
        <v>0</v>
      </c>
      <c r="F146" s="700">
        <f t="shared" si="38"/>
        <v>0</v>
      </c>
      <c r="G146" s="700">
        <f t="shared" si="38"/>
        <v>0</v>
      </c>
      <c r="H146" s="700">
        <f t="shared" si="38"/>
        <v>0</v>
      </c>
      <c r="I146" s="700">
        <f t="shared" si="38"/>
        <v>0</v>
      </c>
      <c r="J146" s="700">
        <f t="shared" si="38"/>
        <v>0</v>
      </c>
      <c r="K146" s="700">
        <f t="shared" si="38"/>
        <v>0</v>
      </c>
      <c r="L146" s="700">
        <f t="shared" si="38"/>
        <v>0</v>
      </c>
      <c r="M146" s="700">
        <f t="shared" si="38"/>
        <v>0</v>
      </c>
      <c r="N146" s="700">
        <f t="shared" si="38"/>
        <v>0</v>
      </c>
      <c r="O146" s="700">
        <f t="shared" si="38"/>
        <v>0</v>
      </c>
    </row>
    <row r="147" spans="1:15" ht="16" thickBot="1">
      <c r="A147" s="1843"/>
      <c r="B147" s="683"/>
      <c r="C147" s="667"/>
      <c r="D147" s="706"/>
      <c r="E147" s="706"/>
      <c r="F147" s="706"/>
      <c r="G147" s="706"/>
      <c r="H147" s="706"/>
      <c r="I147" s="706"/>
      <c r="J147" s="706"/>
      <c r="K147" s="706"/>
      <c r="L147" s="706"/>
      <c r="M147" s="706"/>
      <c r="N147" s="706"/>
      <c r="O147" s="706"/>
    </row>
    <row r="148" spans="1:15" ht="16" thickBot="1">
      <c r="A148" s="1842"/>
      <c r="B148" s="722" t="s">
        <v>703</v>
      </c>
      <c r="C148" s="741">
        <f t="shared" ref="C148:O148" si="39">C65</f>
        <v>45658</v>
      </c>
      <c r="D148" s="741">
        <f t="shared" si="39"/>
        <v>45689</v>
      </c>
      <c r="E148" s="741">
        <f t="shared" si="39"/>
        <v>45717</v>
      </c>
      <c r="F148" s="741">
        <f t="shared" si="39"/>
        <v>45748</v>
      </c>
      <c r="G148" s="741">
        <f t="shared" si="39"/>
        <v>45778</v>
      </c>
      <c r="H148" s="741">
        <f t="shared" si="39"/>
        <v>45809</v>
      </c>
      <c r="I148" s="741">
        <f t="shared" si="39"/>
        <v>45839</v>
      </c>
      <c r="J148" s="741">
        <f t="shared" si="39"/>
        <v>45870</v>
      </c>
      <c r="K148" s="741">
        <f t="shared" si="39"/>
        <v>45901</v>
      </c>
      <c r="L148" s="741">
        <f t="shared" si="39"/>
        <v>45931</v>
      </c>
      <c r="M148" s="741">
        <f t="shared" si="39"/>
        <v>45962</v>
      </c>
      <c r="N148" s="741">
        <f t="shared" si="39"/>
        <v>45992</v>
      </c>
      <c r="O148" s="741" t="str">
        <f t="shared" si="39"/>
        <v>TOTAL 2025</v>
      </c>
    </row>
    <row r="149" spans="1:15" ht="16" thickBot="1">
      <c r="A149" s="1842"/>
      <c r="B149" s="737" t="s">
        <v>704</v>
      </c>
      <c r="C149" s="738"/>
      <c r="D149" s="738"/>
      <c r="E149" s="738"/>
      <c r="F149" s="738"/>
      <c r="G149" s="738"/>
      <c r="H149" s="738"/>
      <c r="I149" s="738"/>
      <c r="J149" s="738"/>
      <c r="K149" s="738"/>
      <c r="L149" s="738"/>
      <c r="M149" s="738"/>
      <c r="N149" s="739"/>
      <c r="O149" s="738"/>
    </row>
    <row r="150" spans="1:15" ht="16" thickBot="1">
      <c r="A150" s="1842"/>
      <c r="B150" s="737" t="s">
        <v>705</v>
      </c>
      <c r="C150" s="738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9"/>
      <c r="O150" s="738"/>
    </row>
    <row r="151" spans="1:15" ht="16" thickBot="1">
      <c r="A151" s="1842"/>
      <c r="B151" s="737" t="s">
        <v>706</v>
      </c>
      <c r="C151" s="738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9"/>
      <c r="O151" s="738"/>
    </row>
    <row r="152" spans="1:15" ht="16" thickBot="1">
      <c r="A152" s="1842"/>
      <c r="B152" s="737" t="s">
        <v>707</v>
      </c>
      <c r="C152" s="738"/>
      <c r="D152" s="738"/>
      <c r="E152" s="738"/>
      <c r="F152" s="738"/>
      <c r="G152" s="738"/>
      <c r="H152" s="738"/>
      <c r="I152" s="738"/>
      <c r="J152" s="738"/>
      <c r="K152" s="738"/>
      <c r="L152" s="738"/>
      <c r="M152" s="738"/>
      <c r="N152" s="739"/>
      <c r="O152" s="738"/>
    </row>
    <row r="153" spans="1:15" ht="16" thickBot="1">
      <c r="A153" s="1842"/>
      <c r="B153" s="737" t="s">
        <v>708</v>
      </c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  <c r="M153" s="736"/>
      <c r="N153" s="747"/>
      <c r="O153" s="736"/>
    </row>
    <row r="154" spans="1:15" ht="16" thickBot="1">
      <c r="A154" s="1842"/>
      <c r="B154" s="702" t="s">
        <v>31</v>
      </c>
      <c r="C154" s="700">
        <f t="shared" ref="C154:N154" si="40">SUM(C149:C153)</f>
        <v>0</v>
      </c>
      <c r="D154" s="700">
        <f t="shared" si="40"/>
        <v>0</v>
      </c>
      <c r="E154" s="700">
        <f t="shared" si="40"/>
        <v>0</v>
      </c>
      <c r="F154" s="700">
        <f>SUM(F149:F153)</f>
        <v>0</v>
      </c>
      <c r="G154" s="700">
        <f t="shared" si="40"/>
        <v>0</v>
      </c>
      <c r="H154" s="700">
        <f t="shared" si="40"/>
        <v>0</v>
      </c>
      <c r="I154" s="700">
        <f t="shared" si="40"/>
        <v>0</v>
      </c>
      <c r="J154" s="700">
        <f t="shared" si="40"/>
        <v>0</v>
      </c>
      <c r="K154" s="700">
        <f t="shared" si="40"/>
        <v>0</v>
      </c>
      <c r="L154" s="700">
        <f t="shared" si="40"/>
        <v>0</v>
      </c>
      <c r="M154" s="700">
        <f t="shared" si="40"/>
        <v>0</v>
      </c>
      <c r="N154" s="700">
        <f t="shared" si="40"/>
        <v>0</v>
      </c>
      <c r="O154" s="700">
        <f>SUM(O149:O153)</f>
        <v>0</v>
      </c>
    </row>
    <row r="155" spans="1:15" ht="16" thickBot="1">
      <c r="A155" s="1843"/>
      <c r="B155" s="683"/>
      <c r="C155" s="667"/>
      <c r="D155" s="706"/>
      <c r="E155" s="706"/>
      <c r="F155" s="706"/>
      <c r="G155" s="706"/>
      <c r="H155" s="706"/>
      <c r="I155" s="706"/>
      <c r="J155" s="706"/>
      <c r="K155" s="706"/>
      <c r="L155" s="706"/>
      <c r="M155" s="706"/>
      <c r="N155" s="706"/>
      <c r="O155" s="706"/>
    </row>
    <row r="156" spans="1:15" ht="16" thickBot="1">
      <c r="A156" s="1842"/>
      <c r="B156" s="722" t="s">
        <v>709</v>
      </c>
      <c r="C156" s="741">
        <f t="shared" ref="C156:O156" si="41">C65</f>
        <v>45658</v>
      </c>
      <c r="D156" s="741">
        <f t="shared" si="41"/>
        <v>45689</v>
      </c>
      <c r="E156" s="741">
        <f t="shared" si="41"/>
        <v>45717</v>
      </c>
      <c r="F156" s="741">
        <f t="shared" si="41"/>
        <v>45748</v>
      </c>
      <c r="G156" s="741">
        <f t="shared" si="41"/>
        <v>45778</v>
      </c>
      <c r="H156" s="741">
        <f t="shared" si="41"/>
        <v>45809</v>
      </c>
      <c r="I156" s="741">
        <f t="shared" si="41"/>
        <v>45839</v>
      </c>
      <c r="J156" s="741">
        <f t="shared" si="41"/>
        <v>45870</v>
      </c>
      <c r="K156" s="741">
        <f t="shared" si="41"/>
        <v>45901</v>
      </c>
      <c r="L156" s="741">
        <f t="shared" si="41"/>
        <v>45931</v>
      </c>
      <c r="M156" s="741">
        <f t="shared" si="41"/>
        <v>45962</v>
      </c>
      <c r="N156" s="741">
        <f t="shared" si="41"/>
        <v>45992</v>
      </c>
      <c r="O156" s="741" t="str">
        <f t="shared" si="41"/>
        <v>TOTAL 2025</v>
      </c>
    </row>
    <row r="157" spans="1:15" ht="16" thickBot="1">
      <c r="A157" s="1842"/>
      <c r="B157" s="698" t="s">
        <v>710</v>
      </c>
      <c r="C157" s="738"/>
      <c r="D157" s="738"/>
      <c r="E157" s="738"/>
      <c r="F157" s="738"/>
      <c r="G157" s="738"/>
      <c r="H157" s="738"/>
      <c r="I157" s="738"/>
      <c r="J157" s="738"/>
      <c r="K157" s="738"/>
      <c r="L157" s="738"/>
      <c r="M157" s="738"/>
      <c r="N157" s="739"/>
      <c r="O157" s="738"/>
    </row>
    <row r="158" spans="1:15" ht="16" thickBot="1">
      <c r="A158" s="1842"/>
      <c r="B158" s="698" t="s">
        <v>711</v>
      </c>
      <c r="C158" s="738"/>
      <c r="D158" s="738"/>
      <c r="E158" s="738"/>
      <c r="F158" s="738"/>
      <c r="G158" s="738"/>
      <c r="H158" s="738"/>
      <c r="I158" s="738"/>
      <c r="J158" s="738"/>
      <c r="K158" s="738"/>
      <c r="L158" s="738"/>
      <c r="M158" s="738"/>
      <c r="N158" s="739"/>
      <c r="O158" s="738"/>
    </row>
    <row r="159" spans="1:15" ht="16" thickBot="1">
      <c r="A159" s="1842" t="s">
        <v>1465</v>
      </c>
      <c r="B159" s="698" t="s">
        <v>712</v>
      </c>
      <c r="C159" s="736"/>
      <c r="D159" s="736"/>
      <c r="E159" s="736"/>
      <c r="F159" s="736"/>
      <c r="G159" s="736">
        <v>16000</v>
      </c>
      <c r="H159" s="736"/>
      <c r="I159" s="736"/>
      <c r="J159" s="736"/>
      <c r="K159" s="736"/>
      <c r="L159" s="736"/>
      <c r="M159" s="736"/>
      <c r="N159" s="747"/>
      <c r="O159" s="736"/>
    </row>
    <row r="160" spans="1:15" ht="16" thickBot="1">
      <c r="A160" s="1842"/>
      <c r="B160" s="709" t="s">
        <v>31</v>
      </c>
      <c r="C160" s="710">
        <f t="shared" ref="C160:O160" si="42">SUM(C157:C159)</f>
        <v>0</v>
      </c>
      <c r="D160" s="700">
        <f t="shared" si="42"/>
        <v>0</v>
      </c>
      <c r="E160" s="700">
        <f t="shared" si="42"/>
        <v>0</v>
      </c>
      <c r="F160" s="700">
        <f t="shared" si="42"/>
        <v>0</v>
      </c>
      <c r="G160" s="700">
        <f t="shared" si="42"/>
        <v>16000</v>
      </c>
      <c r="H160" s="700">
        <f t="shared" si="42"/>
        <v>0</v>
      </c>
      <c r="I160" s="700">
        <f t="shared" si="42"/>
        <v>0</v>
      </c>
      <c r="J160" s="700">
        <f t="shared" si="42"/>
        <v>0</v>
      </c>
      <c r="K160" s="700">
        <f t="shared" si="42"/>
        <v>0</v>
      </c>
      <c r="L160" s="700">
        <f t="shared" si="42"/>
        <v>0</v>
      </c>
      <c r="M160" s="700">
        <f t="shared" si="42"/>
        <v>0</v>
      </c>
      <c r="N160" s="700">
        <f t="shared" si="42"/>
        <v>0</v>
      </c>
      <c r="O160" s="700">
        <f t="shared" si="42"/>
        <v>0</v>
      </c>
    </row>
    <row r="161" spans="1:15" ht="16" thickBot="1">
      <c r="A161" s="1843"/>
      <c r="B161" s="683"/>
      <c r="C161" s="667"/>
      <c r="D161" s="706"/>
      <c r="E161" s="706"/>
      <c r="F161" s="706"/>
      <c r="G161" s="706"/>
      <c r="H161" s="706"/>
      <c r="I161" s="706"/>
      <c r="J161" s="706"/>
      <c r="K161" s="706"/>
      <c r="L161" s="706"/>
      <c r="M161" s="706"/>
      <c r="N161" s="706"/>
      <c r="O161" s="706"/>
    </row>
    <row r="162" spans="1:15" ht="16" thickBot="1">
      <c r="A162" s="1842"/>
      <c r="B162" s="722" t="s">
        <v>713</v>
      </c>
      <c r="C162" s="723">
        <f t="shared" ref="C162:O162" si="43">C65</f>
        <v>45658</v>
      </c>
      <c r="D162" s="723">
        <f t="shared" si="43"/>
        <v>45689</v>
      </c>
      <c r="E162" s="723">
        <f t="shared" si="43"/>
        <v>45717</v>
      </c>
      <c r="F162" s="723">
        <f t="shared" si="43"/>
        <v>45748</v>
      </c>
      <c r="G162" s="723">
        <f t="shared" si="43"/>
        <v>45778</v>
      </c>
      <c r="H162" s="723">
        <f t="shared" si="43"/>
        <v>45809</v>
      </c>
      <c r="I162" s="723">
        <f t="shared" si="43"/>
        <v>45839</v>
      </c>
      <c r="J162" s="723">
        <f t="shared" si="43"/>
        <v>45870</v>
      </c>
      <c r="K162" s="723">
        <f t="shared" si="43"/>
        <v>45901</v>
      </c>
      <c r="L162" s="723">
        <f t="shared" si="43"/>
        <v>45931</v>
      </c>
      <c r="M162" s="723">
        <f t="shared" si="43"/>
        <v>45962</v>
      </c>
      <c r="N162" s="723">
        <f t="shared" si="43"/>
        <v>45992</v>
      </c>
      <c r="O162" s="723" t="str">
        <f t="shared" si="43"/>
        <v>TOTAL 2025</v>
      </c>
    </row>
    <row r="163" spans="1:15" ht="16">
      <c r="A163" s="1842"/>
      <c r="B163" s="711" t="s">
        <v>38</v>
      </c>
      <c r="C163" s="712" t="s">
        <v>444</v>
      </c>
      <c r="D163" s="712" t="s">
        <v>444</v>
      </c>
      <c r="E163" s="712" t="s">
        <v>444</v>
      </c>
      <c r="F163" s="712" t="s">
        <v>444</v>
      </c>
      <c r="G163" s="712" t="s">
        <v>444</v>
      </c>
      <c r="H163" s="712" t="s">
        <v>444</v>
      </c>
      <c r="I163" s="712" t="s">
        <v>444</v>
      </c>
      <c r="J163" s="712" t="s">
        <v>444</v>
      </c>
      <c r="K163" s="712" t="s">
        <v>444</v>
      </c>
      <c r="L163" s="712" t="s">
        <v>444</v>
      </c>
      <c r="M163" s="712" t="s">
        <v>444</v>
      </c>
      <c r="N163" s="712" t="s">
        <v>444</v>
      </c>
      <c r="O163" s="712" t="s">
        <v>444</v>
      </c>
    </row>
    <row r="164" spans="1:15">
      <c r="A164" s="1842"/>
      <c r="B164" s="713" t="s">
        <v>754</v>
      </c>
      <c r="C164" s="738"/>
      <c r="D164" s="738"/>
      <c r="E164" s="738"/>
      <c r="F164" s="738"/>
      <c r="G164" s="738"/>
      <c r="H164" s="748"/>
      <c r="I164" s="738"/>
      <c r="J164" s="738"/>
      <c r="K164" s="738"/>
      <c r="L164" s="738"/>
      <c r="M164" s="738"/>
      <c r="N164" s="739"/>
      <c r="O164" s="738"/>
    </row>
    <row r="165" spans="1:15">
      <c r="A165" s="1842"/>
      <c r="B165" s="713" t="s">
        <v>755</v>
      </c>
      <c r="C165" s="738"/>
      <c r="D165" s="738"/>
      <c r="E165" s="738"/>
      <c r="F165" s="738"/>
      <c r="G165" s="738"/>
      <c r="H165" s="738"/>
      <c r="I165" s="738"/>
      <c r="J165" s="738"/>
      <c r="K165" s="738"/>
      <c r="L165" s="738"/>
      <c r="M165" s="738"/>
      <c r="N165" s="739"/>
      <c r="O165" s="738"/>
    </row>
    <row r="166" spans="1:15">
      <c r="A166" s="1842"/>
      <c r="B166" s="714"/>
      <c r="C166" s="738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739"/>
      <c r="O166" s="738"/>
    </row>
    <row r="167" spans="1:15" ht="16" thickBot="1">
      <c r="A167" s="1842"/>
      <c r="B167" s="714"/>
      <c r="C167" s="736"/>
      <c r="D167" s="736"/>
      <c r="E167" s="736"/>
      <c r="F167" s="736"/>
      <c r="G167" s="736"/>
      <c r="H167" s="736"/>
      <c r="I167" s="736"/>
      <c r="J167" s="736"/>
      <c r="K167" s="736"/>
      <c r="L167" s="736"/>
      <c r="M167" s="736"/>
      <c r="N167" s="747"/>
      <c r="O167" s="736"/>
    </row>
    <row r="168" spans="1:15" ht="16" thickBot="1">
      <c r="A168" s="1842"/>
      <c r="B168" s="715" t="s">
        <v>31</v>
      </c>
      <c r="C168" s="700">
        <f t="shared" ref="C168:O168" si="44">SUM(C164:C167)</f>
        <v>0</v>
      </c>
      <c r="D168" s="700">
        <f t="shared" si="44"/>
        <v>0</v>
      </c>
      <c r="E168" s="700">
        <f t="shared" si="44"/>
        <v>0</v>
      </c>
      <c r="F168" s="700">
        <f t="shared" si="44"/>
        <v>0</v>
      </c>
      <c r="G168" s="700">
        <f t="shared" si="44"/>
        <v>0</v>
      </c>
      <c r="H168" s="700">
        <f t="shared" si="44"/>
        <v>0</v>
      </c>
      <c r="I168" s="700">
        <f t="shared" si="44"/>
        <v>0</v>
      </c>
      <c r="J168" s="700">
        <f t="shared" si="44"/>
        <v>0</v>
      </c>
      <c r="K168" s="700">
        <f t="shared" si="44"/>
        <v>0</v>
      </c>
      <c r="L168" s="700">
        <f t="shared" si="44"/>
        <v>0</v>
      </c>
      <c r="M168" s="700">
        <f t="shared" si="44"/>
        <v>0</v>
      </c>
      <c r="N168" s="700">
        <f t="shared" si="44"/>
        <v>0</v>
      </c>
      <c r="O168" s="700">
        <f t="shared" si="44"/>
        <v>0</v>
      </c>
    </row>
    <row r="169" spans="1:15">
      <c r="A169" s="1843"/>
      <c r="B169" s="676"/>
      <c r="C169" s="678"/>
      <c r="D169" s="678"/>
      <c r="E169" s="678"/>
      <c r="F169" s="678"/>
      <c r="G169" s="678"/>
      <c r="H169" s="678"/>
      <c r="I169" s="678"/>
      <c r="J169" s="678"/>
      <c r="K169" s="678"/>
      <c r="L169" s="678"/>
      <c r="M169" s="678"/>
      <c r="N169" s="678"/>
      <c r="O169" s="678"/>
    </row>
    <row r="170" spans="1:15" ht="16" thickBot="1">
      <c r="A170" s="1843"/>
      <c r="B170" s="679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1"/>
    </row>
    <row r="171" spans="1:15" ht="16" thickBot="1">
      <c r="A171" s="1842"/>
      <c r="B171" s="722" t="s">
        <v>719</v>
      </c>
      <c r="C171" s="723">
        <f t="shared" ref="C171:O171" si="45">C65</f>
        <v>45658</v>
      </c>
      <c r="D171" s="723">
        <f t="shared" si="45"/>
        <v>45689</v>
      </c>
      <c r="E171" s="723">
        <f t="shared" si="45"/>
        <v>45717</v>
      </c>
      <c r="F171" s="723">
        <f t="shared" si="45"/>
        <v>45748</v>
      </c>
      <c r="G171" s="723">
        <f t="shared" si="45"/>
        <v>45778</v>
      </c>
      <c r="H171" s="723">
        <f t="shared" si="45"/>
        <v>45809</v>
      </c>
      <c r="I171" s="723">
        <f t="shared" si="45"/>
        <v>45839</v>
      </c>
      <c r="J171" s="723">
        <f t="shared" si="45"/>
        <v>45870</v>
      </c>
      <c r="K171" s="723">
        <f t="shared" si="45"/>
        <v>45901</v>
      </c>
      <c r="L171" s="723">
        <f t="shared" si="45"/>
        <v>45931</v>
      </c>
      <c r="M171" s="723">
        <f t="shared" si="45"/>
        <v>45962</v>
      </c>
      <c r="N171" s="723">
        <f t="shared" si="45"/>
        <v>45992</v>
      </c>
      <c r="O171" s="723" t="str">
        <f t="shared" si="45"/>
        <v>TOTAL 2025</v>
      </c>
    </row>
    <row r="172" spans="1:15" ht="17" thickBot="1">
      <c r="A172" s="1842"/>
      <c r="B172" s="685" t="s">
        <v>38</v>
      </c>
      <c r="C172" s="712" t="s">
        <v>444</v>
      </c>
      <c r="D172" s="712" t="s">
        <v>444</v>
      </c>
      <c r="E172" s="712" t="s">
        <v>444</v>
      </c>
      <c r="F172" s="712" t="s">
        <v>444</v>
      </c>
      <c r="G172" s="712" t="s">
        <v>444</v>
      </c>
      <c r="H172" s="712" t="s">
        <v>444</v>
      </c>
      <c r="I172" s="712" t="s">
        <v>444</v>
      </c>
      <c r="J172" s="712" t="s">
        <v>444</v>
      </c>
      <c r="K172" s="712" t="s">
        <v>444</v>
      </c>
      <c r="L172" s="712" t="s">
        <v>444</v>
      </c>
      <c r="M172" s="712" t="s">
        <v>444</v>
      </c>
      <c r="N172" s="712" t="s">
        <v>444</v>
      </c>
      <c r="O172" s="712" t="s">
        <v>444</v>
      </c>
    </row>
    <row r="173" spans="1:15" ht="16" thickBot="1">
      <c r="A173" s="1842"/>
      <c r="B173" s="698" t="s">
        <v>720</v>
      </c>
      <c r="C173" s="738"/>
      <c r="D173" s="738"/>
      <c r="E173" s="738"/>
      <c r="F173" s="738"/>
      <c r="G173" s="738"/>
      <c r="H173" s="738"/>
      <c r="I173" s="748"/>
      <c r="J173" s="738"/>
      <c r="K173" s="738"/>
      <c r="L173" s="738"/>
      <c r="M173" s="738"/>
      <c r="N173" s="739"/>
      <c r="O173" s="738"/>
    </row>
    <row r="174" spans="1:15" ht="16" thickBot="1">
      <c r="A174" s="1842"/>
      <c r="B174" s="698" t="s">
        <v>721</v>
      </c>
      <c r="C174" s="738"/>
      <c r="D174" s="738"/>
      <c r="E174" s="738"/>
      <c r="F174" s="738"/>
      <c r="G174" s="738"/>
      <c r="H174" s="738"/>
      <c r="I174" s="738"/>
      <c r="J174" s="738"/>
      <c r="K174" s="738"/>
      <c r="L174" s="738"/>
      <c r="M174" s="738"/>
      <c r="N174" s="739"/>
      <c r="O174" s="738"/>
    </row>
    <row r="175" spans="1:15" ht="16" thickBot="1">
      <c r="A175" s="1842"/>
      <c r="B175" s="698" t="s">
        <v>722</v>
      </c>
      <c r="C175" s="736"/>
      <c r="D175" s="736"/>
      <c r="E175" s="736"/>
      <c r="F175" s="736"/>
      <c r="G175" s="736"/>
      <c r="H175" s="736"/>
      <c r="I175" s="746"/>
      <c r="J175" s="736"/>
      <c r="K175" s="736"/>
      <c r="L175" s="736"/>
      <c r="M175" s="736"/>
      <c r="N175" s="747"/>
      <c r="O175" s="736"/>
    </row>
    <row r="176" spans="1:15" ht="16" thickBot="1">
      <c r="A176" s="1842"/>
      <c r="B176" s="702" t="s">
        <v>31</v>
      </c>
      <c r="C176" s="689">
        <f t="shared" ref="C176:O176" si="46">SUM(C173:C175)</f>
        <v>0</v>
      </c>
      <c r="D176" s="689">
        <f t="shared" si="46"/>
        <v>0</v>
      </c>
      <c r="E176" s="689">
        <f t="shared" si="46"/>
        <v>0</v>
      </c>
      <c r="F176" s="689">
        <f t="shared" si="46"/>
        <v>0</v>
      </c>
      <c r="G176" s="689">
        <f t="shared" si="46"/>
        <v>0</v>
      </c>
      <c r="H176" s="689">
        <f t="shared" si="46"/>
        <v>0</v>
      </c>
      <c r="I176" s="689">
        <f t="shared" si="46"/>
        <v>0</v>
      </c>
      <c r="J176" s="689">
        <f t="shared" si="46"/>
        <v>0</v>
      </c>
      <c r="K176" s="689">
        <f t="shared" si="46"/>
        <v>0</v>
      </c>
      <c r="L176" s="689">
        <f t="shared" si="46"/>
        <v>0</v>
      </c>
      <c r="M176" s="689">
        <f t="shared" si="46"/>
        <v>0</v>
      </c>
      <c r="N176" s="689">
        <f t="shared" si="46"/>
        <v>0</v>
      </c>
      <c r="O176" s="689">
        <f t="shared" si="46"/>
        <v>0</v>
      </c>
    </row>
    <row r="177" spans="1:15">
      <c r="A177" s="1843"/>
      <c r="B177" s="678"/>
      <c r="C177" s="716"/>
      <c r="D177" s="717"/>
      <c r="E177" s="717"/>
      <c r="F177" s="717"/>
      <c r="G177" s="717"/>
      <c r="H177" s="717"/>
      <c r="I177" s="717"/>
      <c r="J177" s="717"/>
      <c r="K177" s="717"/>
      <c r="L177" s="717"/>
      <c r="M177" s="717"/>
      <c r="N177" s="717"/>
      <c r="O177" s="717"/>
    </row>
    <row r="178" spans="1:15" ht="16" thickBot="1">
      <c r="A178" s="1843"/>
      <c r="B178" s="679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1"/>
    </row>
    <row r="179" spans="1:15">
      <c r="A179" s="1842"/>
      <c r="B179" s="749" t="s">
        <v>723</v>
      </c>
      <c r="C179" s="741">
        <f t="shared" ref="C179:O179" si="47">C65</f>
        <v>45658</v>
      </c>
      <c r="D179" s="741">
        <f t="shared" si="47"/>
        <v>45689</v>
      </c>
      <c r="E179" s="741">
        <f t="shared" si="47"/>
        <v>45717</v>
      </c>
      <c r="F179" s="741">
        <f t="shared" si="47"/>
        <v>45748</v>
      </c>
      <c r="G179" s="741">
        <f t="shared" si="47"/>
        <v>45778</v>
      </c>
      <c r="H179" s="741">
        <f t="shared" si="47"/>
        <v>45809</v>
      </c>
      <c r="I179" s="741">
        <f t="shared" si="47"/>
        <v>45839</v>
      </c>
      <c r="J179" s="741">
        <f t="shared" si="47"/>
        <v>45870</v>
      </c>
      <c r="K179" s="741">
        <f t="shared" si="47"/>
        <v>45901</v>
      </c>
      <c r="L179" s="741">
        <f t="shared" si="47"/>
        <v>45931</v>
      </c>
      <c r="M179" s="741">
        <f t="shared" si="47"/>
        <v>45962</v>
      </c>
      <c r="N179" s="741">
        <f t="shared" si="47"/>
        <v>45992</v>
      </c>
      <c r="O179" s="741" t="str">
        <f t="shared" si="47"/>
        <v>TOTAL 2025</v>
      </c>
    </row>
    <row r="180" spans="1:15" ht="16" thickBot="1">
      <c r="A180" s="1842"/>
      <c r="B180" s="718" t="s">
        <v>644</v>
      </c>
      <c r="C180" s="736"/>
      <c r="D180" s="736"/>
      <c r="E180" s="736"/>
      <c r="F180" s="736"/>
      <c r="G180" s="736"/>
      <c r="H180" s="736"/>
      <c r="I180" s="736"/>
      <c r="J180" s="736"/>
      <c r="K180" s="736"/>
      <c r="L180" s="736"/>
      <c r="M180" s="736"/>
      <c r="N180" s="747"/>
      <c r="O180" s="736"/>
    </row>
    <row r="181" spans="1:15" ht="16" thickBot="1">
      <c r="A181" s="1842"/>
      <c r="B181" s="702" t="s">
        <v>31</v>
      </c>
      <c r="C181" s="665">
        <f t="shared" ref="C181:O181" si="48">SUM(C180:C180)</f>
        <v>0</v>
      </c>
      <c r="D181" s="665">
        <f t="shared" si="48"/>
        <v>0</v>
      </c>
      <c r="E181" s="665">
        <f t="shared" si="48"/>
        <v>0</v>
      </c>
      <c r="F181" s="719">
        <f t="shared" si="48"/>
        <v>0</v>
      </c>
      <c r="G181" s="719">
        <f t="shared" si="48"/>
        <v>0</v>
      </c>
      <c r="H181" s="719">
        <f t="shared" si="48"/>
        <v>0</v>
      </c>
      <c r="I181" s="719">
        <f t="shared" si="48"/>
        <v>0</v>
      </c>
      <c r="J181" s="719">
        <f t="shared" si="48"/>
        <v>0</v>
      </c>
      <c r="K181" s="719">
        <f t="shared" si="48"/>
        <v>0</v>
      </c>
      <c r="L181" s="719">
        <f t="shared" si="48"/>
        <v>0</v>
      </c>
      <c r="M181" s="719">
        <f t="shared" si="48"/>
        <v>0</v>
      </c>
      <c r="N181" s="719">
        <f t="shared" si="48"/>
        <v>0</v>
      </c>
      <c r="O181" s="719">
        <f t="shared" si="48"/>
        <v>0</v>
      </c>
    </row>
    <row r="182" spans="1:15" ht="16" thickBot="1">
      <c r="A182" s="1843"/>
      <c r="B182" s="667"/>
      <c r="C182" s="706"/>
      <c r="D182" s="706"/>
      <c r="E182" s="706"/>
      <c r="F182" s="667"/>
      <c r="G182" s="667"/>
      <c r="H182" s="667"/>
      <c r="I182" s="667"/>
      <c r="J182" s="667"/>
      <c r="K182" s="667"/>
      <c r="L182" s="667"/>
      <c r="M182" s="667"/>
      <c r="N182" s="667"/>
      <c r="O182" s="667"/>
    </row>
    <row r="183" spans="1:15" ht="16" thickBot="1">
      <c r="A183" s="1842"/>
      <c r="B183" s="742" t="s">
        <v>724</v>
      </c>
      <c r="C183" s="750">
        <f t="shared" ref="C183:N183" si="49">SUM(C118)</f>
        <v>0</v>
      </c>
      <c r="D183" s="750">
        <f t="shared" si="49"/>
        <v>0</v>
      </c>
      <c r="E183" s="750">
        <f t="shared" si="49"/>
        <v>0</v>
      </c>
      <c r="F183" s="750">
        <f t="shared" si="49"/>
        <v>0</v>
      </c>
      <c r="G183" s="750">
        <f t="shared" si="49"/>
        <v>0</v>
      </c>
      <c r="H183" s="750">
        <f t="shared" si="49"/>
        <v>0</v>
      </c>
      <c r="I183" s="750">
        <f t="shared" si="49"/>
        <v>0</v>
      </c>
      <c r="J183" s="750">
        <f t="shared" si="49"/>
        <v>0</v>
      </c>
      <c r="K183" s="750">
        <f t="shared" si="49"/>
        <v>0</v>
      </c>
      <c r="L183" s="750">
        <f t="shared" si="49"/>
        <v>0</v>
      </c>
      <c r="M183" s="750">
        <f t="shared" si="49"/>
        <v>0</v>
      </c>
      <c r="N183" s="750">
        <f t="shared" si="49"/>
        <v>0</v>
      </c>
      <c r="O183" s="750">
        <f>SUM(O118)</f>
        <v>0</v>
      </c>
    </row>
    <row r="184" spans="1:15" ht="16" thickBot="1">
      <c r="A184" s="1842"/>
      <c r="B184" s="742" t="s">
        <v>725</v>
      </c>
      <c r="C184" s="750">
        <f t="shared" ref="C184:O184" si="50">SUM(C130)</f>
        <v>14044</v>
      </c>
      <c r="D184" s="750">
        <f t="shared" si="50"/>
        <v>0</v>
      </c>
      <c r="E184" s="750">
        <f t="shared" si="50"/>
        <v>0</v>
      </c>
      <c r="F184" s="750">
        <f t="shared" si="50"/>
        <v>14380</v>
      </c>
      <c r="G184" s="750">
        <f t="shared" si="50"/>
        <v>0</v>
      </c>
      <c r="H184" s="750">
        <f t="shared" si="50"/>
        <v>15094</v>
      </c>
      <c r="I184" s="750">
        <f t="shared" si="50"/>
        <v>5684.8</v>
      </c>
      <c r="J184" s="750">
        <f t="shared" si="50"/>
        <v>5684.8</v>
      </c>
      <c r="K184" s="750">
        <f t="shared" si="50"/>
        <v>5684.8</v>
      </c>
      <c r="L184" s="750">
        <f t="shared" si="50"/>
        <v>5684.8</v>
      </c>
      <c r="M184" s="750">
        <f t="shared" si="50"/>
        <v>5684.8</v>
      </c>
      <c r="N184" s="750">
        <f t="shared" si="50"/>
        <v>5684.8</v>
      </c>
      <c r="O184" s="750">
        <f t="shared" si="50"/>
        <v>0</v>
      </c>
    </row>
    <row r="185" spans="1:15" ht="16" thickBot="1">
      <c r="A185" s="1842"/>
      <c r="B185" s="742" t="str">
        <f>B132</f>
        <v>GASTOS OPERACIONALES</v>
      </c>
      <c r="C185" s="750">
        <f t="shared" ref="C185:O185" si="51">C146</f>
        <v>0</v>
      </c>
      <c r="D185" s="750">
        <f t="shared" si="51"/>
        <v>0</v>
      </c>
      <c r="E185" s="750">
        <f t="shared" si="51"/>
        <v>0</v>
      </c>
      <c r="F185" s="750">
        <f t="shared" si="51"/>
        <v>0</v>
      </c>
      <c r="G185" s="750">
        <f t="shared" si="51"/>
        <v>0</v>
      </c>
      <c r="H185" s="750">
        <f t="shared" si="51"/>
        <v>0</v>
      </c>
      <c r="I185" s="750">
        <f t="shared" si="51"/>
        <v>0</v>
      </c>
      <c r="J185" s="750">
        <f t="shared" si="51"/>
        <v>0</v>
      </c>
      <c r="K185" s="750">
        <f t="shared" si="51"/>
        <v>0</v>
      </c>
      <c r="L185" s="750">
        <f t="shared" si="51"/>
        <v>0</v>
      </c>
      <c r="M185" s="750">
        <f t="shared" si="51"/>
        <v>0</v>
      </c>
      <c r="N185" s="750">
        <f t="shared" si="51"/>
        <v>0</v>
      </c>
      <c r="O185" s="750">
        <f t="shared" si="51"/>
        <v>0</v>
      </c>
    </row>
    <row r="186" spans="1:15" ht="16" thickBot="1">
      <c r="A186" s="1842"/>
      <c r="B186" s="742" t="str">
        <f>B148</f>
        <v>GASTOS ADMINISTRACION</v>
      </c>
      <c r="C186" s="750">
        <f t="shared" ref="C186:O186" si="52">C154</f>
        <v>0</v>
      </c>
      <c r="D186" s="750">
        <f t="shared" si="52"/>
        <v>0</v>
      </c>
      <c r="E186" s="750">
        <f t="shared" si="52"/>
        <v>0</v>
      </c>
      <c r="F186" s="750">
        <f t="shared" si="52"/>
        <v>0</v>
      </c>
      <c r="G186" s="750">
        <f t="shared" si="52"/>
        <v>0</v>
      </c>
      <c r="H186" s="750">
        <f t="shared" si="52"/>
        <v>0</v>
      </c>
      <c r="I186" s="750">
        <f t="shared" si="52"/>
        <v>0</v>
      </c>
      <c r="J186" s="750">
        <f t="shared" si="52"/>
        <v>0</v>
      </c>
      <c r="K186" s="750">
        <f t="shared" si="52"/>
        <v>0</v>
      </c>
      <c r="L186" s="750">
        <f t="shared" si="52"/>
        <v>0</v>
      </c>
      <c r="M186" s="750">
        <f t="shared" si="52"/>
        <v>0</v>
      </c>
      <c r="N186" s="750">
        <f t="shared" si="52"/>
        <v>0</v>
      </c>
      <c r="O186" s="750">
        <f t="shared" si="52"/>
        <v>0</v>
      </c>
    </row>
    <row r="187" spans="1:15" ht="16" thickBot="1">
      <c r="A187" s="1842"/>
      <c r="B187" s="742" t="str">
        <f>B156</f>
        <v>ACTIVOS</v>
      </c>
      <c r="C187" s="750">
        <f t="shared" ref="C187:O187" si="53">C160</f>
        <v>0</v>
      </c>
      <c r="D187" s="750">
        <f t="shared" si="53"/>
        <v>0</v>
      </c>
      <c r="E187" s="750">
        <f t="shared" si="53"/>
        <v>0</v>
      </c>
      <c r="F187" s="750">
        <f t="shared" si="53"/>
        <v>0</v>
      </c>
      <c r="G187" s="750">
        <f t="shared" si="53"/>
        <v>16000</v>
      </c>
      <c r="H187" s="750">
        <f t="shared" si="53"/>
        <v>0</v>
      </c>
      <c r="I187" s="750">
        <f t="shared" si="53"/>
        <v>0</v>
      </c>
      <c r="J187" s="750">
        <f t="shared" si="53"/>
        <v>0</v>
      </c>
      <c r="K187" s="750">
        <f t="shared" si="53"/>
        <v>0</v>
      </c>
      <c r="L187" s="750">
        <f t="shared" si="53"/>
        <v>0</v>
      </c>
      <c r="M187" s="750">
        <f t="shared" si="53"/>
        <v>0</v>
      </c>
      <c r="N187" s="750">
        <f t="shared" si="53"/>
        <v>0</v>
      </c>
      <c r="O187" s="750">
        <f t="shared" si="53"/>
        <v>0</v>
      </c>
    </row>
    <row r="188" spans="1:15" ht="16" thickBot="1">
      <c r="A188" s="1842"/>
      <c r="B188" s="742" t="s">
        <v>134</v>
      </c>
      <c r="C188" s="750">
        <f t="shared" ref="C188:O188" si="54">SUM(C168)</f>
        <v>0</v>
      </c>
      <c r="D188" s="750">
        <f t="shared" si="54"/>
        <v>0</v>
      </c>
      <c r="E188" s="750">
        <f t="shared" si="54"/>
        <v>0</v>
      </c>
      <c r="F188" s="750">
        <f t="shared" si="54"/>
        <v>0</v>
      </c>
      <c r="G188" s="750">
        <f t="shared" si="54"/>
        <v>0</v>
      </c>
      <c r="H188" s="750">
        <f t="shared" si="54"/>
        <v>0</v>
      </c>
      <c r="I188" s="750">
        <f t="shared" si="54"/>
        <v>0</v>
      </c>
      <c r="J188" s="750">
        <f t="shared" si="54"/>
        <v>0</v>
      </c>
      <c r="K188" s="750">
        <f t="shared" si="54"/>
        <v>0</v>
      </c>
      <c r="L188" s="750">
        <f t="shared" si="54"/>
        <v>0</v>
      </c>
      <c r="M188" s="750">
        <f t="shared" si="54"/>
        <v>0</v>
      </c>
      <c r="N188" s="750">
        <f t="shared" si="54"/>
        <v>0</v>
      </c>
      <c r="O188" s="750">
        <f t="shared" si="54"/>
        <v>0</v>
      </c>
    </row>
    <row r="189" spans="1:15" ht="16" thickBot="1">
      <c r="A189" s="1842"/>
      <c r="B189" s="973" t="s">
        <v>726</v>
      </c>
      <c r="C189" s="974">
        <f t="shared" ref="C189:O189" si="55">SUM(C183:C188)</f>
        <v>14044</v>
      </c>
      <c r="D189" s="974">
        <f t="shared" si="55"/>
        <v>0</v>
      </c>
      <c r="E189" s="974">
        <f t="shared" si="55"/>
        <v>0</v>
      </c>
      <c r="F189" s="974">
        <f t="shared" si="55"/>
        <v>14380</v>
      </c>
      <c r="G189" s="974">
        <f t="shared" si="55"/>
        <v>16000</v>
      </c>
      <c r="H189" s="974">
        <f t="shared" si="55"/>
        <v>15094</v>
      </c>
      <c r="I189" s="974">
        <f t="shared" si="55"/>
        <v>5684.8</v>
      </c>
      <c r="J189" s="974">
        <f t="shared" si="55"/>
        <v>5684.8</v>
      </c>
      <c r="K189" s="974">
        <f t="shared" si="55"/>
        <v>5684.8</v>
      </c>
      <c r="L189" s="974">
        <f t="shared" si="55"/>
        <v>5684.8</v>
      </c>
      <c r="M189" s="974">
        <f t="shared" si="55"/>
        <v>5684.8</v>
      </c>
      <c r="N189" s="974">
        <f t="shared" si="55"/>
        <v>5684.8</v>
      </c>
      <c r="O189" s="974">
        <f t="shared" si="55"/>
        <v>0</v>
      </c>
    </row>
    <row r="190" spans="1:15" ht="16" thickBot="1">
      <c r="A190" s="1842"/>
      <c r="B190" s="742" t="str">
        <f>B171</f>
        <v>CUENTA CORRIENTE EE.RR</v>
      </c>
      <c r="C190" s="750">
        <f t="shared" ref="C190:N190" si="56">SUM(C176)</f>
        <v>0</v>
      </c>
      <c r="D190" s="750">
        <f t="shared" si="56"/>
        <v>0</v>
      </c>
      <c r="E190" s="750">
        <f t="shared" si="56"/>
        <v>0</v>
      </c>
      <c r="F190" s="750">
        <f t="shared" si="56"/>
        <v>0</v>
      </c>
      <c r="G190" s="750">
        <f t="shared" si="56"/>
        <v>0</v>
      </c>
      <c r="H190" s="750">
        <f t="shared" si="56"/>
        <v>0</v>
      </c>
      <c r="I190" s="750">
        <f t="shared" si="56"/>
        <v>0</v>
      </c>
      <c r="J190" s="750">
        <f t="shared" si="56"/>
        <v>0</v>
      </c>
      <c r="K190" s="750">
        <f t="shared" si="56"/>
        <v>0</v>
      </c>
      <c r="L190" s="750">
        <f t="shared" si="56"/>
        <v>0</v>
      </c>
      <c r="M190" s="750">
        <f t="shared" si="56"/>
        <v>0</v>
      </c>
      <c r="N190" s="750">
        <f t="shared" si="56"/>
        <v>0</v>
      </c>
      <c r="O190" s="750">
        <f>SUM(O176)</f>
        <v>0</v>
      </c>
    </row>
    <row r="191" spans="1:15">
      <c r="A191" s="1842"/>
      <c r="B191" s="724" t="s">
        <v>723</v>
      </c>
      <c r="C191" s="751">
        <f t="shared" ref="C191:O191" si="57">SUM(C181)</f>
        <v>0</v>
      </c>
      <c r="D191" s="751">
        <f t="shared" si="57"/>
        <v>0</v>
      </c>
      <c r="E191" s="751">
        <f t="shared" si="57"/>
        <v>0</v>
      </c>
      <c r="F191" s="751">
        <f t="shared" si="57"/>
        <v>0</v>
      </c>
      <c r="G191" s="751">
        <f t="shared" si="57"/>
        <v>0</v>
      </c>
      <c r="H191" s="751">
        <f t="shared" si="57"/>
        <v>0</v>
      </c>
      <c r="I191" s="751">
        <f t="shared" si="57"/>
        <v>0</v>
      </c>
      <c r="J191" s="751">
        <f t="shared" si="57"/>
        <v>0</v>
      </c>
      <c r="K191" s="751">
        <f t="shared" si="57"/>
        <v>0</v>
      </c>
      <c r="L191" s="751">
        <f t="shared" si="57"/>
        <v>0</v>
      </c>
      <c r="M191" s="751">
        <f t="shared" si="57"/>
        <v>0</v>
      </c>
      <c r="N191" s="751">
        <f t="shared" si="57"/>
        <v>0</v>
      </c>
      <c r="O191" s="751">
        <f t="shared" si="57"/>
        <v>0</v>
      </c>
    </row>
    <row r="192" spans="1:15" ht="16" thickBot="1">
      <c r="A192" s="1842"/>
      <c r="B192" s="975" t="s">
        <v>727</v>
      </c>
      <c r="C192" s="976">
        <f t="shared" ref="C192:O192" si="58">SUM(C189:C191)</f>
        <v>14044</v>
      </c>
      <c r="D192" s="976">
        <f t="shared" si="58"/>
        <v>0</v>
      </c>
      <c r="E192" s="976">
        <f t="shared" si="58"/>
        <v>0</v>
      </c>
      <c r="F192" s="976">
        <f t="shared" si="58"/>
        <v>14380</v>
      </c>
      <c r="G192" s="976">
        <f t="shared" si="58"/>
        <v>16000</v>
      </c>
      <c r="H192" s="976">
        <f t="shared" si="58"/>
        <v>15094</v>
      </c>
      <c r="I192" s="976">
        <f t="shared" si="58"/>
        <v>5684.8</v>
      </c>
      <c r="J192" s="976">
        <f t="shared" si="58"/>
        <v>5684.8</v>
      </c>
      <c r="K192" s="976">
        <f t="shared" si="58"/>
        <v>5684.8</v>
      </c>
      <c r="L192" s="976">
        <f t="shared" si="58"/>
        <v>5684.8</v>
      </c>
      <c r="M192" s="976">
        <f t="shared" si="58"/>
        <v>5684.8</v>
      </c>
      <c r="N192" s="976">
        <f t="shared" si="58"/>
        <v>5684.8</v>
      </c>
      <c r="O192" s="976">
        <f t="shared" si="58"/>
        <v>0</v>
      </c>
    </row>
    <row r="193" spans="1:15" ht="16" thickBot="1">
      <c r="A193" s="1843"/>
      <c r="B193" s="667"/>
      <c r="C193" s="706"/>
      <c r="D193" s="706"/>
      <c r="E193" s="706"/>
      <c r="F193" s="667"/>
      <c r="G193" s="667"/>
      <c r="H193" s="667"/>
      <c r="I193" s="667"/>
      <c r="J193" s="667"/>
      <c r="K193" s="667"/>
      <c r="L193" s="667"/>
      <c r="M193" s="667"/>
      <c r="N193" s="667"/>
      <c r="O193" s="667"/>
    </row>
    <row r="194" spans="1:15" ht="16" thickBot="1">
      <c r="A194" s="1842"/>
      <c r="B194" s="731" t="s">
        <v>728</v>
      </c>
      <c r="C194" s="750">
        <f t="shared" ref="C194:N194" si="59">SUM(C106-C192)</f>
        <v>-14044</v>
      </c>
      <c r="D194" s="750">
        <f t="shared" si="59"/>
        <v>21682</v>
      </c>
      <c r="E194" s="750">
        <f t="shared" si="59"/>
        <v>45478</v>
      </c>
      <c r="F194" s="750">
        <f t="shared" si="59"/>
        <v>-14380</v>
      </c>
      <c r="G194" s="750">
        <f t="shared" si="59"/>
        <v>399568</v>
      </c>
      <c r="H194" s="750">
        <f t="shared" si="59"/>
        <v>156951</v>
      </c>
      <c r="I194" s="750">
        <f t="shared" si="59"/>
        <v>-5684.8</v>
      </c>
      <c r="J194" s="750">
        <f t="shared" si="59"/>
        <v>93839.2</v>
      </c>
      <c r="K194" s="750">
        <f t="shared" si="59"/>
        <v>-5684.8</v>
      </c>
      <c r="L194" s="750">
        <f t="shared" si="59"/>
        <v>105069.2</v>
      </c>
      <c r="M194" s="750">
        <f t="shared" si="59"/>
        <v>272528.2</v>
      </c>
      <c r="N194" s="750">
        <f t="shared" si="59"/>
        <v>343829.2</v>
      </c>
      <c r="O194" s="750">
        <f>SUM(O106-O192)</f>
        <v>0</v>
      </c>
    </row>
    <row r="195" spans="1:15" ht="16" thickBot="1">
      <c r="A195" s="1843"/>
      <c r="B195" s="667"/>
      <c r="C195" s="706"/>
      <c r="D195" s="706"/>
      <c r="E195" s="706"/>
      <c r="F195" s="706"/>
      <c r="G195" s="706"/>
      <c r="H195" s="706"/>
      <c r="I195" s="706"/>
      <c r="J195" s="706"/>
      <c r="K195" s="706"/>
      <c r="L195" s="706"/>
      <c r="M195" s="706"/>
      <c r="N195" s="706"/>
      <c r="O195" s="706"/>
    </row>
    <row r="196" spans="1:15" ht="16" thickBot="1">
      <c r="A196" s="1842"/>
      <c r="B196" s="685" t="s">
        <v>729</v>
      </c>
      <c r="C196" s="720">
        <f t="shared" ref="C196:O196" si="60">C66+C194</f>
        <v>-14044</v>
      </c>
      <c r="D196" s="720">
        <f t="shared" si="60"/>
        <v>7638</v>
      </c>
      <c r="E196" s="720">
        <f t="shared" si="60"/>
        <v>53116</v>
      </c>
      <c r="F196" s="720">
        <f>F66+F194</f>
        <v>38736</v>
      </c>
      <c r="G196" s="720">
        <f t="shared" si="60"/>
        <v>438304</v>
      </c>
      <c r="H196" s="720">
        <f t="shared" si="60"/>
        <v>595255</v>
      </c>
      <c r="I196" s="720">
        <f t="shared" si="60"/>
        <v>589570.19999999995</v>
      </c>
      <c r="J196" s="720">
        <f t="shared" si="60"/>
        <v>683409.39999999991</v>
      </c>
      <c r="K196" s="720">
        <f t="shared" si="60"/>
        <v>677724.59999999986</v>
      </c>
      <c r="L196" s="720">
        <f t="shared" si="60"/>
        <v>782793.79999999981</v>
      </c>
      <c r="M196" s="720">
        <f t="shared" si="60"/>
        <v>1055321.9999999998</v>
      </c>
      <c r="N196" s="720">
        <f t="shared" si="60"/>
        <v>1399151.1999999997</v>
      </c>
      <c r="O196" s="720">
        <f t="shared" si="60"/>
        <v>0</v>
      </c>
    </row>
    <row r="197" spans="1:15">
      <c r="D197" s="1440"/>
      <c r="E197" s="1440"/>
      <c r="F197" s="1440"/>
      <c r="G197" s="1440"/>
      <c r="H197" s="1440"/>
      <c r="I197" s="1440"/>
      <c r="J197" s="1440"/>
      <c r="K197" s="1440"/>
      <c r="L197" s="1440"/>
      <c r="M197" s="1440"/>
      <c r="N197" s="1440"/>
    </row>
  </sheetData>
  <phoneticPr fontId="12" type="noConversion"/>
  <conditionalFormatting sqref="C91:J91">
    <cfRule type="cellIs" dxfId="332" priority="2" stopIfTrue="1" operator="lessThan">
      <formula>0</formula>
    </cfRule>
  </conditionalFormatting>
  <conditionalFormatting sqref="O91">
    <cfRule type="cellIs" dxfId="331" priority="1" stopIfTrue="1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74D2-2D69-4B36-A051-9BE766525A6A}">
  <sheetPr codeName="Hoja18"/>
  <dimension ref="A1:M122"/>
  <sheetViews>
    <sheetView zoomScaleNormal="100" workbookViewId="0">
      <selection activeCell="E121" sqref="E121"/>
    </sheetView>
  </sheetViews>
  <sheetFormatPr baseColWidth="10" defaultColWidth="11.5" defaultRowHeight="11"/>
  <cols>
    <col min="1" max="1" width="10.5" style="104" customWidth="1"/>
    <col min="2" max="2" width="4.5" style="104" customWidth="1"/>
    <col min="3" max="3" width="38.5" style="104" customWidth="1"/>
    <col min="4" max="4" width="44.5" style="104" customWidth="1"/>
    <col min="5" max="5" width="12.5" style="104" customWidth="1"/>
    <col min="6" max="6" width="14.5" style="104" customWidth="1"/>
    <col min="7" max="7" width="13.83203125" style="104" customWidth="1"/>
    <col min="8" max="8" width="14.5" style="104" customWidth="1"/>
    <col min="9" max="10" width="13.5" style="104" customWidth="1"/>
    <col min="11" max="11" width="11.1640625" style="104" customWidth="1"/>
    <col min="12" max="12" width="11.5" style="104"/>
    <col min="13" max="13" width="17.5" style="104" bestFit="1" customWidth="1"/>
    <col min="14" max="16384" width="11.5" style="104"/>
  </cols>
  <sheetData>
    <row r="1" spans="1:11" ht="17">
      <c r="A1" s="78" t="s">
        <v>146</v>
      </c>
      <c r="B1" s="31"/>
      <c r="C1" s="31"/>
      <c r="D1" s="31"/>
    </row>
    <row r="2" spans="1:11" ht="17">
      <c r="A2" s="78" t="s">
        <v>147</v>
      </c>
      <c r="B2" s="31"/>
      <c r="C2" s="31"/>
      <c r="D2" s="31"/>
      <c r="H2" s="140"/>
      <c r="J2" s="107"/>
      <c r="K2" s="105" t="s">
        <v>148</v>
      </c>
    </row>
    <row r="3" spans="1:11" ht="15">
      <c r="A3"/>
      <c r="B3"/>
      <c r="C3"/>
      <c r="F3" s="107"/>
      <c r="J3" s="107"/>
      <c r="K3" s="105">
        <v>960</v>
      </c>
    </row>
    <row r="4" spans="1:11" ht="17">
      <c r="A4"/>
      <c r="B4"/>
      <c r="C4"/>
      <c r="D4" s="78" t="s">
        <v>471</v>
      </c>
      <c r="E4" s="107">
        <f>SUM(E16-E13)</f>
        <v>454517935</v>
      </c>
    </row>
    <row r="5" spans="1:11" ht="12" thickBot="1">
      <c r="E5" s="106"/>
      <c r="F5" s="107"/>
      <c r="H5" s="105"/>
      <c r="J5" s="105"/>
    </row>
    <row r="6" spans="1:11">
      <c r="A6" s="110" t="s">
        <v>151</v>
      </c>
      <c r="B6" s="111" t="s">
        <v>152</v>
      </c>
      <c r="C6" s="111" t="s">
        <v>22</v>
      </c>
      <c r="D6" s="111" t="s">
        <v>153</v>
      </c>
      <c r="E6" s="111" t="s">
        <v>154</v>
      </c>
      <c r="F6" s="112" t="s">
        <v>155</v>
      </c>
      <c r="G6" s="113" t="s">
        <v>156</v>
      </c>
      <c r="H6" s="114" t="s">
        <v>157</v>
      </c>
      <c r="I6" s="112" t="s">
        <v>158</v>
      </c>
      <c r="J6" s="115" t="s">
        <v>159</v>
      </c>
    </row>
    <row r="7" spans="1:11" ht="12" customHeight="1">
      <c r="A7" s="1954">
        <v>45588</v>
      </c>
      <c r="B7" s="1955">
        <v>230</v>
      </c>
      <c r="C7" s="1956" t="s">
        <v>177</v>
      </c>
      <c r="D7" s="1900" t="s">
        <v>397</v>
      </c>
      <c r="E7" s="1956">
        <v>26702962</v>
      </c>
      <c r="F7" s="1957">
        <v>5073563</v>
      </c>
      <c r="G7" s="1901"/>
      <c r="H7" s="1902"/>
      <c r="I7" s="1902">
        <f>SUM(E7:F7)</f>
        <v>31776525</v>
      </c>
      <c r="J7" s="1958">
        <v>45665</v>
      </c>
      <c r="K7" s="129" t="s">
        <v>478</v>
      </c>
    </row>
    <row r="8" spans="1:11" ht="11.25" customHeight="1">
      <c r="A8" s="1954">
        <v>45588</v>
      </c>
      <c r="B8" s="1955">
        <v>231</v>
      </c>
      <c r="C8" s="1956" t="s">
        <v>177</v>
      </c>
      <c r="D8" s="1956" t="s">
        <v>398</v>
      </c>
      <c r="E8" s="1956">
        <v>57155423</v>
      </c>
      <c r="F8" s="1957">
        <v>10859530</v>
      </c>
      <c r="G8" s="1901"/>
      <c r="H8" s="1902"/>
      <c r="I8" s="1902">
        <f>SUM(E8:F8)</f>
        <v>68014953</v>
      </c>
      <c r="J8" s="1958">
        <v>45665</v>
      </c>
      <c r="K8" s="129" t="s">
        <v>478</v>
      </c>
    </row>
    <row r="9" spans="1:11" ht="12" customHeight="1">
      <c r="A9" s="1954">
        <v>45615</v>
      </c>
      <c r="B9" s="1955">
        <v>235</v>
      </c>
      <c r="C9" s="1956" t="s">
        <v>350</v>
      </c>
      <c r="D9" s="1903" t="s">
        <v>403</v>
      </c>
      <c r="E9" s="1956">
        <v>36339582</v>
      </c>
      <c r="F9" s="1957">
        <v>6904521</v>
      </c>
      <c r="G9" s="1901"/>
      <c r="H9" s="1902"/>
      <c r="I9" s="1902">
        <f>SUM(E9:F9)</f>
        <v>43244103</v>
      </c>
      <c r="J9" s="1958">
        <v>45674</v>
      </c>
      <c r="K9" s="129" t="s">
        <v>479</v>
      </c>
    </row>
    <row r="10" spans="1:11" ht="12.75" customHeight="1">
      <c r="A10" s="1954">
        <v>45615</v>
      </c>
      <c r="B10" s="1955">
        <v>236</v>
      </c>
      <c r="C10" s="1956" t="s">
        <v>350</v>
      </c>
      <c r="D10" s="1903" t="s">
        <v>404</v>
      </c>
      <c r="E10" s="1956">
        <v>12498728</v>
      </c>
      <c r="F10" s="1957">
        <v>2374758</v>
      </c>
      <c r="G10" s="1901"/>
      <c r="H10" s="1902"/>
      <c r="I10" s="1902">
        <f>SUM(E10:F10)</f>
        <v>14873486</v>
      </c>
      <c r="J10" s="1958">
        <v>45674</v>
      </c>
      <c r="K10" s="129" t="s">
        <v>480</v>
      </c>
    </row>
    <row r="11" spans="1:11" ht="11.25" customHeight="1">
      <c r="A11" s="1954">
        <v>45623</v>
      </c>
      <c r="B11" s="1955">
        <v>237</v>
      </c>
      <c r="C11" s="1956" t="s">
        <v>177</v>
      </c>
      <c r="D11" s="1903" t="s">
        <v>407</v>
      </c>
      <c r="E11" s="1959">
        <v>82670896</v>
      </c>
      <c r="F11" s="1960">
        <v>15707470</v>
      </c>
      <c r="G11" s="1904"/>
      <c r="H11" s="1905"/>
      <c r="I11" s="1905">
        <f>+E11+F11</f>
        <v>98378366</v>
      </c>
      <c r="J11" s="1961">
        <v>45660</v>
      </c>
      <c r="K11" s="129" t="s">
        <v>481</v>
      </c>
    </row>
    <row r="12" spans="1:11" ht="12.75" customHeight="1">
      <c r="A12" s="1954">
        <v>45650</v>
      </c>
      <c r="B12" s="1955">
        <v>245</v>
      </c>
      <c r="C12" s="1956" t="s">
        <v>177</v>
      </c>
      <c r="D12" s="1903" t="s">
        <v>429</v>
      </c>
      <c r="E12" s="1959">
        <v>80377561</v>
      </c>
      <c r="F12" s="1960">
        <v>15271737</v>
      </c>
      <c r="G12" s="1904"/>
      <c r="H12" s="1905"/>
      <c r="I12" s="1905">
        <f>+E12+F12</f>
        <v>95649298</v>
      </c>
      <c r="J12" s="1961">
        <v>45679</v>
      </c>
      <c r="K12" s="319"/>
    </row>
    <row r="13" spans="1:11" ht="12.75" customHeight="1">
      <c r="A13" s="1962">
        <v>45653</v>
      </c>
      <c r="B13" s="1963">
        <v>246</v>
      </c>
      <c r="C13" s="1964" t="s">
        <v>430</v>
      </c>
      <c r="D13" s="1906" t="s">
        <v>1105</v>
      </c>
      <c r="E13" s="1964">
        <v>44683215</v>
      </c>
      <c r="F13" s="1964">
        <v>8489811</v>
      </c>
      <c r="G13" s="1907"/>
      <c r="H13" s="1908"/>
      <c r="I13" s="1908">
        <v>53173026</v>
      </c>
      <c r="J13" s="1965">
        <v>45663</v>
      </c>
      <c r="K13" s="322" t="s">
        <v>500</v>
      </c>
    </row>
    <row r="14" spans="1:11" ht="12.75" customHeight="1">
      <c r="A14" s="1954">
        <v>45653</v>
      </c>
      <c r="B14" s="1955">
        <v>247</v>
      </c>
      <c r="C14" s="1956" t="s">
        <v>491</v>
      </c>
      <c r="D14" s="1903" t="s">
        <v>492</v>
      </c>
      <c r="E14" s="1959">
        <v>31007618</v>
      </c>
      <c r="F14" s="1959">
        <v>5891447</v>
      </c>
      <c r="G14" s="1909"/>
      <c r="H14" s="1910"/>
      <c r="I14" s="1910">
        <f>+E14+F14</f>
        <v>36899065</v>
      </c>
      <c r="J14" s="1966">
        <v>45698</v>
      </c>
      <c r="K14" s="129"/>
    </row>
    <row r="15" spans="1:11" ht="12.75" customHeight="1" thickBot="1">
      <c r="A15" s="1954">
        <v>45653</v>
      </c>
      <c r="B15" s="1955">
        <v>248</v>
      </c>
      <c r="C15" s="1956" t="s">
        <v>491</v>
      </c>
      <c r="D15" s="1903" t="s">
        <v>493</v>
      </c>
      <c r="E15" s="1959">
        <v>127765165</v>
      </c>
      <c r="F15" s="1959">
        <v>24275381</v>
      </c>
      <c r="G15" s="1909"/>
      <c r="H15" s="1910"/>
      <c r="I15" s="1910">
        <f>+E15+F15</f>
        <v>152040546</v>
      </c>
      <c r="J15" s="1966">
        <v>45698</v>
      </c>
      <c r="K15" s="129"/>
    </row>
    <row r="16" spans="1:11" ht="12.75" customHeight="1" thickBot="1">
      <c r="A16" s="1911"/>
      <c r="B16" s="967"/>
      <c r="C16" s="968"/>
      <c r="D16" s="1912" t="s">
        <v>482</v>
      </c>
      <c r="E16" s="1913">
        <f>SUM(E7:E15)</f>
        <v>499201150</v>
      </c>
      <c r="F16" s="1914">
        <f t="shared" ref="F16:H16" si="0">SUM(F7:F15)</f>
        <v>94848218</v>
      </c>
      <c r="G16" s="1914">
        <f t="shared" si="0"/>
        <v>0</v>
      </c>
      <c r="H16" s="1914">
        <f t="shared" si="0"/>
        <v>0</v>
      </c>
      <c r="I16" s="1915">
        <f>SUM(I7:I15)</f>
        <v>594049368</v>
      </c>
      <c r="J16" s="1287"/>
      <c r="K16" s="129"/>
    </row>
    <row r="17" spans="1:11" ht="12.75" customHeight="1">
      <c r="A17" s="1916">
        <v>45663</v>
      </c>
      <c r="B17" s="1917">
        <v>249</v>
      </c>
      <c r="C17" s="1918" t="s">
        <v>185</v>
      </c>
      <c r="D17" s="1906" t="s">
        <v>1106</v>
      </c>
      <c r="E17" s="1918">
        <v>36951935</v>
      </c>
      <c r="F17" s="1918">
        <v>7020868</v>
      </c>
      <c r="G17" s="219"/>
      <c r="H17" s="755"/>
      <c r="I17" s="755">
        <f t="shared" ref="I17:I25" si="1">SUM(E17:F17)</f>
        <v>43972803</v>
      </c>
      <c r="J17" s="756">
        <v>45693</v>
      </c>
      <c r="K17" s="322" t="s">
        <v>500</v>
      </c>
    </row>
    <row r="18" spans="1:11" ht="12.75" customHeight="1">
      <c r="A18" s="1967">
        <v>45663</v>
      </c>
      <c r="B18" s="1963">
        <v>250</v>
      </c>
      <c r="C18" s="1964" t="s">
        <v>185</v>
      </c>
      <c r="D18" s="1968" t="s">
        <v>1107</v>
      </c>
      <c r="E18" s="1964">
        <v>51959455</v>
      </c>
      <c r="F18" s="1964">
        <v>9872296</v>
      </c>
      <c r="G18" s="1969"/>
      <c r="H18" s="1970"/>
      <c r="I18" s="1970">
        <f t="shared" si="1"/>
        <v>61831751</v>
      </c>
      <c r="J18" s="1971">
        <v>45693</v>
      </c>
      <c r="K18" s="322" t="s">
        <v>501</v>
      </c>
    </row>
    <row r="19" spans="1:11" ht="12.75" customHeight="1">
      <c r="A19" s="1972">
        <v>45665</v>
      </c>
      <c r="B19" s="1973">
        <v>251</v>
      </c>
      <c r="C19" s="1974" t="s">
        <v>177</v>
      </c>
      <c r="D19" s="1975" t="s">
        <v>435</v>
      </c>
      <c r="E19" s="1974">
        <v>41976916</v>
      </c>
      <c r="F19" s="1974">
        <v>8395383</v>
      </c>
      <c r="G19" s="1976">
        <v>2209311</v>
      </c>
      <c r="H19" s="1977"/>
      <c r="I19" s="1977">
        <f>SUM(E19:F19)</f>
        <v>50372299</v>
      </c>
      <c r="J19" s="1978">
        <v>45672</v>
      </c>
      <c r="K19" s="129"/>
    </row>
    <row r="20" spans="1:11" ht="12.75" customHeight="1">
      <c r="A20" s="1972">
        <v>45667</v>
      </c>
      <c r="B20" s="1973">
        <v>252</v>
      </c>
      <c r="C20" s="1974" t="s">
        <v>177</v>
      </c>
      <c r="D20" s="1975" t="s">
        <v>496</v>
      </c>
      <c r="E20" s="1974">
        <v>117830934</v>
      </c>
      <c r="F20" s="1974">
        <v>22387877</v>
      </c>
      <c r="G20" s="1976"/>
      <c r="H20" s="1977"/>
      <c r="I20" s="1977">
        <f t="shared" si="1"/>
        <v>140218811</v>
      </c>
      <c r="J20" s="1978">
        <v>45700</v>
      </c>
      <c r="K20" s="129"/>
    </row>
    <row r="21" spans="1:11" ht="12.75" customHeight="1">
      <c r="A21" s="1972">
        <v>45667</v>
      </c>
      <c r="B21" s="1973">
        <v>253</v>
      </c>
      <c r="C21" s="1974" t="s">
        <v>473</v>
      </c>
      <c r="D21" s="1975" t="s">
        <v>395</v>
      </c>
      <c r="E21" s="1974">
        <v>34170570</v>
      </c>
      <c r="F21" s="1974">
        <v>6492408</v>
      </c>
      <c r="G21" s="1976"/>
      <c r="H21" s="2245"/>
      <c r="I21" s="1977">
        <f t="shared" si="1"/>
        <v>40662978</v>
      </c>
      <c r="J21" s="1978">
        <v>45695</v>
      </c>
      <c r="K21" s="129"/>
    </row>
    <row r="22" spans="1:11" ht="12.75" customHeight="1">
      <c r="A22" s="1972">
        <v>45667</v>
      </c>
      <c r="B22" s="1973">
        <v>254</v>
      </c>
      <c r="C22" s="1974" t="s">
        <v>185</v>
      </c>
      <c r="D22" s="1975" t="s">
        <v>474</v>
      </c>
      <c r="E22" s="1974">
        <v>14077368</v>
      </c>
      <c r="F22" s="1974">
        <v>2674700</v>
      </c>
      <c r="G22" s="1976"/>
      <c r="H22" s="1977"/>
      <c r="I22" s="1977">
        <f t="shared" si="1"/>
        <v>16752068</v>
      </c>
      <c r="J22" s="1978">
        <v>45700</v>
      </c>
      <c r="K22" s="966"/>
    </row>
    <row r="23" spans="1:11" ht="12.75" customHeight="1">
      <c r="A23" s="1972">
        <v>45667</v>
      </c>
      <c r="B23" s="1973">
        <v>255</v>
      </c>
      <c r="C23" s="1974" t="s">
        <v>185</v>
      </c>
      <c r="D23" s="1975" t="s">
        <v>475</v>
      </c>
      <c r="E23" s="1974">
        <v>32070646</v>
      </c>
      <c r="F23" s="1974">
        <v>6093423</v>
      </c>
      <c r="G23" s="1976"/>
      <c r="H23" s="1977"/>
      <c r="I23" s="1977">
        <f t="shared" si="1"/>
        <v>38164069</v>
      </c>
      <c r="J23" s="1978">
        <v>45700</v>
      </c>
      <c r="K23" s="966"/>
    </row>
    <row r="24" spans="1:11" ht="12.75" customHeight="1">
      <c r="A24" s="1972">
        <v>45667</v>
      </c>
      <c r="B24" s="1973">
        <v>256</v>
      </c>
      <c r="C24" s="1974" t="s">
        <v>185</v>
      </c>
      <c r="D24" s="1975" t="s">
        <v>476</v>
      </c>
      <c r="E24" s="1974">
        <v>10801809</v>
      </c>
      <c r="F24" s="1974">
        <v>2052344</v>
      </c>
      <c r="G24" s="1976"/>
      <c r="H24" s="1977"/>
      <c r="I24" s="1977">
        <f t="shared" si="1"/>
        <v>12854153</v>
      </c>
      <c r="J24" s="1978">
        <v>45700</v>
      </c>
      <c r="K24" s="129"/>
    </row>
    <row r="25" spans="1:11" ht="12.75" customHeight="1">
      <c r="A25" s="1972">
        <v>45667</v>
      </c>
      <c r="B25" s="1973">
        <v>257</v>
      </c>
      <c r="C25" s="1974" t="s">
        <v>185</v>
      </c>
      <c r="D25" s="1975" t="s">
        <v>477</v>
      </c>
      <c r="E25" s="1974">
        <v>18001350</v>
      </c>
      <c r="F25" s="1974">
        <v>3420257</v>
      </c>
      <c r="G25" s="1976"/>
      <c r="H25" s="1977"/>
      <c r="I25" s="1977">
        <f t="shared" si="1"/>
        <v>21421607</v>
      </c>
      <c r="J25" s="1978">
        <v>45700</v>
      </c>
      <c r="K25" s="1577"/>
    </row>
    <row r="26" spans="1:11" ht="12.75" customHeight="1">
      <c r="A26" s="1972">
        <v>45671</v>
      </c>
      <c r="B26" s="1973">
        <v>258</v>
      </c>
      <c r="C26" s="1974" t="s">
        <v>483</v>
      </c>
      <c r="D26" s="1975" t="s">
        <v>484</v>
      </c>
      <c r="E26" s="1974">
        <v>655462</v>
      </c>
      <c r="F26" s="1974">
        <v>124538</v>
      </c>
      <c r="G26" s="1976"/>
      <c r="H26" s="1977"/>
      <c r="I26" s="1977">
        <v>780000</v>
      </c>
      <c r="J26" s="1978">
        <v>45684</v>
      </c>
      <c r="K26" s="1577"/>
    </row>
    <row r="27" spans="1:11" ht="12.75" customHeight="1">
      <c r="A27" s="1972">
        <v>45684</v>
      </c>
      <c r="B27" s="1973">
        <v>260</v>
      </c>
      <c r="C27" s="1974" t="s">
        <v>497</v>
      </c>
      <c r="D27" s="1974" t="s">
        <v>499</v>
      </c>
      <c r="E27" s="1974">
        <v>14564501</v>
      </c>
      <c r="F27" s="1974">
        <v>2767255</v>
      </c>
      <c r="G27" s="1976"/>
      <c r="H27" s="1977"/>
      <c r="I27" s="1977">
        <f>SUM(E27:F27)</f>
        <v>17331756</v>
      </c>
      <c r="J27" s="1978">
        <v>45695</v>
      </c>
      <c r="K27" s="1577"/>
    </row>
    <row r="28" spans="1:11" ht="12.75" customHeight="1" thickBot="1">
      <c r="A28" s="1972">
        <v>45684</v>
      </c>
      <c r="B28" s="1973">
        <v>261</v>
      </c>
      <c r="C28" s="1974" t="s">
        <v>177</v>
      </c>
      <c r="D28" s="1975" t="s">
        <v>585</v>
      </c>
      <c r="E28" s="1919">
        <v>33111261</v>
      </c>
      <c r="F28" s="1919">
        <v>6291140</v>
      </c>
      <c r="G28" s="1920"/>
      <c r="H28" s="1921"/>
      <c r="I28" s="1921">
        <f>SUM(E28:F28)</f>
        <v>39402401</v>
      </c>
      <c r="J28" s="1978">
        <v>45714</v>
      </c>
      <c r="K28" s="129"/>
    </row>
    <row r="29" spans="1:11" ht="12.75" customHeight="1" thickBot="1">
      <c r="A29" s="1972"/>
      <c r="B29" s="1973"/>
      <c r="C29" s="1974"/>
      <c r="D29" s="405" t="s">
        <v>230</v>
      </c>
      <c r="E29" s="1922">
        <f>SUM(E17:E28)</f>
        <v>406172207</v>
      </c>
      <c r="F29" s="1923">
        <f t="shared" ref="F29:I29" si="2">SUM(F17:F28)</f>
        <v>77592489</v>
      </c>
      <c r="G29" s="1923">
        <f t="shared" si="2"/>
        <v>2209311</v>
      </c>
      <c r="H29" s="1923">
        <f t="shared" si="2"/>
        <v>0</v>
      </c>
      <c r="I29" s="1924">
        <f t="shared" si="2"/>
        <v>483764696</v>
      </c>
      <c r="J29" s="1925"/>
      <c r="K29" s="129"/>
    </row>
    <row r="30" spans="1:11" ht="12.75" customHeight="1">
      <c r="A30" s="1972">
        <v>45712</v>
      </c>
      <c r="B30" s="1973">
        <v>262</v>
      </c>
      <c r="C30" s="1974" t="s">
        <v>497</v>
      </c>
      <c r="D30" s="1974" t="s">
        <v>550</v>
      </c>
      <c r="E30" s="1979">
        <v>7736812</v>
      </c>
      <c r="F30" s="1979">
        <v>1469994</v>
      </c>
      <c r="G30" s="1980"/>
      <c r="H30" s="1981"/>
      <c r="I30" s="1981">
        <v>9206806</v>
      </c>
      <c r="J30" s="1978">
        <v>45723</v>
      </c>
      <c r="K30" s="129"/>
    </row>
    <row r="31" spans="1:11" ht="12.75" customHeight="1">
      <c r="A31" s="1972">
        <v>45712</v>
      </c>
      <c r="B31" s="1973">
        <v>263</v>
      </c>
      <c r="C31" s="1974" t="s">
        <v>177</v>
      </c>
      <c r="D31" s="1975" t="s">
        <v>551</v>
      </c>
      <c r="E31" s="1974">
        <v>9265729</v>
      </c>
      <c r="F31" s="1974">
        <v>1853146</v>
      </c>
      <c r="G31" s="1976">
        <v>487670</v>
      </c>
      <c r="H31" s="1977"/>
      <c r="I31" s="1977">
        <f>SUM(E31:F31)</f>
        <v>11118875</v>
      </c>
      <c r="J31" s="1978">
        <v>45716</v>
      </c>
      <c r="K31" s="129"/>
    </row>
    <row r="32" spans="1:11" ht="12.75" customHeight="1">
      <c r="A32" s="1972">
        <v>45712</v>
      </c>
      <c r="B32" s="1973">
        <v>264</v>
      </c>
      <c r="C32" s="1974" t="s">
        <v>177</v>
      </c>
      <c r="D32" s="1974" t="s">
        <v>552</v>
      </c>
      <c r="E32" s="1974">
        <v>44047733</v>
      </c>
      <c r="F32" s="1974">
        <v>8369069</v>
      </c>
      <c r="G32" s="1976"/>
      <c r="H32" s="1977"/>
      <c r="I32" s="1977">
        <v>52416802</v>
      </c>
      <c r="J32" s="1978">
        <v>45742</v>
      </c>
      <c r="K32" s="129"/>
    </row>
    <row r="33" spans="1:12" ht="12.75" customHeight="1">
      <c r="A33" s="1972">
        <v>45712</v>
      </c>
      <c r="B33" s="1973">
        <v>265</v>
      </c>
      <c r="C33" s="1974" t="s">
        <v>177</v>
      </c>
      <c r="D33" s="1975" t="s">
        <v>553</v>
      </c>
      <c r="E33" s="1974">
        <v>67426546</v>
      </c>
      <c r="F33" s="1974">
        <v>13485309</v>
      </c>
      <c r="G33" s="1976">
        <v>3548766</v>
      </c>
      <c r="H33" s="1977"/>
      <c r="I33" s="1977">
        <f>SUM(E33:F33)</f>
        <v>80911855</v>
      </c>
      <c r="J33" s="1978">
        <v>45716</v>
      </c>
      <c r="K33" s="129"/>
    </row>
    <row r="34" spans="1:12" ht="12.75" customHeight="1">
      <c r="A34" s="1972">
        <v>45712</v>
      </c>
      <c r="B34" s="1973">
        <v>266</v>
      </c>
      <c r="C34" s="1974" t="s">
        <v>497</v>
      </c>
      <c r="D34" s="1975" t="s">
        <v>554</v>
      </c>
      <c r="E34" s="1974">
        <v>30291258</v>
      </c>
      <c r="F34" s="1974">
        <v>5755339</v>
      </c>
      <c r="G34" s="1976"/>
      <c r="H34" s="1977"/>
      <c r="I34" s="1977">
        <f>SUM(E34:F34)</f>
        <v>36046597</v>
      </c>
      <c r="J34" s="1978">
        <v>45723</v>
      </c>
      <c r="K34" s="129"/>
    </row>
    <row r="35" spans="1:12" ht="12.75" customHeight="1" thickBot="1">
      <c r="A35" s="2253">
        <v>45716</v>
      </c>
      <c r="B35" s="2254">
        <v>268</v>
      </c>
      <c r="C35" s="2255" t="s">
        <v>557</v>
      </c>
      <c r="D35" s="2256" t="s">
        <v>558</v>
      </c>
      <c r="E35" s="2257">
        <v>4907728</v>
      </c>
      <c r="F35" s="2257">
        <v>932468</v>
      </c>
      <c r="G35" s="2258"/>
      <c r="H35" s="2259"/>
      <c r="I35" s="2259">
        <f>SUM(E35:F35)</f>
        <v>5840196</v>
      </c>
      <c r="J35" s="2261">
        <v>45743</v>
      </c>
      <c r="K35" s="129"/>
    </row>
    <row r="36" spans="1:12" ht="12.75" customHeight="1" thickBot="1">
      <c r="A36" s="1982"/>
      <c r="B36" s="1983"/>
      <c r="C36" s="1984"/>
      <c r="D36" s="405" t="s">
        <v>230</v>
      </c>
      <c r="E36" s="1922">
        <f>SUM(E30:E35)</f>
        <v>163675806</v>
      </c>
      <c r="F36" s="1923">
        <f t="shared" ref="F36:I36" si="3">SUM(F30:F35)</f>
        <v>31865325</v>
      </c>
      <c r="G36" s="1923">
        <f t="shared" si="3"/>
        <v>4036436</v>
      </c>
      <c r="H36" s="1923">
        <f t="shared" si="3"/>
        <v>0</v>
      </c>
      <c r="I36" s="1924">
        <f t="shared" si="3"/>
        <v>195541131</v>
      </c>
      <c r="J36" s="1926"/>
      <c r="K36" s="129"/>
    </row>
    <row r="37" spans="1:12" ht="12.75" customHeight="1">
      <c r="A37" s="1972">
        <v>45719</v>
      </c>
      <c r="B37" s="1973">
        <v>269</v>
      </c>
      <c r="C37" s="1974" t="s">
        <v>559</v>
      </c>
      <c r="D37" s="1974" t="s">
        <v>560</v>
      </c>
      <c r="E37" s="1927">
        <v>29416169</v>
      </c>
      <c r="F37" s="1927">
        <v>5589072</v>
      </c>
      <c r="G37" s="1928"/>
      <c r="H37" s="1929"/>
      <c r="I37" s="1929">
        <f>SUM(E37+F37)</f>
        <v>35005241</v>
      </c>
      <c r="J37" s="1978">
        <v>45389</v>
      </c>
      <c r="K37" s="129"/>
    </row>
    <row r="38" spans="1:12" ht="12.75" customHeight="1">
      <c r="A38" s="1972">
        <v>45728</v>
      </c>
      <c r="B38" s="1973">
        <v>273</v>
      </c>
      <c r="C38" s="1974" t="s">
        <v>555</v>
      </c>
      <c r="D38" s="1975" t="s">
        <v>801</v>
      </c>
      <c r="E38" s="1919">
        <v>82945096</v>
      </c>
      <c r="F38" s="1919">
        <v>15759568</v>
      </c>
      <c r="G38" s="1920"/>
      <c r="H38" s="1921"/>
      <c r="I38" s="1921">
        <f>SUM(E38:G38)</f>
        <v>98704664</v>
      </c>
      <c r="J38" s="1985">
        <v>45735</v>
      </c>
      <c r="K38" s="129"/>
    </row>
    <row r="39" spans="1:12" ht="12.75" customHeight="1">
      <c r="A39" s="1972">
        <v>45728</v>
      </c>
      <c r="B39" s="1973">
        <v>274</v>
      </c>
      <c r="C39" s="1974" t="s">
        <v>555</v>
      </c>
      <c r="D39" s="1975" t="s">
        <v>800</v>
      </c>
      <c r="E39" s="1919">
        <v>120957046</v>
      </c>
      <c r="F39" s="1919">
        <v>22981839</v>
      </c>
      <c r="G39" s="1920"/>
      <c r="H39" s="1921"/>
      <c r="I39" s="1921">
        <f>SUM(E39:G39)</f>
        <v>143938885</v>
      </c>
      <c r="J39" s="1985">
        <v>45735</v>
      </c>
      <c r="K39" s="129"/>
    </row>
    <row r="40" spans="1:12" ht="12.75" customHeight="1">
      <c r="A40" s="1972">
        <v>45728</v>
      </c>
      <c r="B40" s="1973">
        <v>275</v>
      </c>
      <c r="C40" s="1974" t="s">
        <v>798</v>
      </c>
      <c r="D40" s="1975" t="s">
        <v>799</v>
      </c>
      <c r="E40" s="1919">
        <v>28076627</v>
      </c>
      <c r="F40" s="1919">
        <v>5334559</v>
      </c>
      <c r="G40" s="1920"/>
      <c r="H40" s="1921"/>
      <c r="I40" s="1921">
        <f>SUM(E40:G40)</f>
        <v>33411186</v>
      </c>
      <c r="J40" s="1985">
        <v>45735</v>
      </c>
      <c r="K40" s="129"/>
    </row>
    <row r="41" spans="1:12" ht="12.75" customHeight="1">
      <c r="A41" s="1972">
        <v>45728</v>
      </c>
      <c r="B41" s="1973">
        <v>276</v>
      </c>
      <c r="C41" s="1974" t="s">
        <v>485</v>
      </c>
      <c r="D41" s="1975" t="s">
        <v>797</v>
      </c>
      <c r="E41" s="1919">
        <v>81486288</v>
      </c>
      <c r="F41" s="1919">
        <v>15482395</v>
      </c>
      <c r="G41" s="1920"/>
      <c r="H41" s="1921"/>
      <c r="I41" s="1921">
        <f>SUM(E41:G41)</f>
        <v>96968683</v>
      </c>
      <c r="J41" s="1985">
        <v>45751</v>
      </c>
      <c r="K41" s="129"/>
    </row>
    <row r="42" spans="1:12" ht="12.75" customHeight="1">
      <c r="A42" s="1972">
        <v>45733</v>
      </c>
      <c r="B42" s="1973">
        <v>277</v>
      </c>
      <c r="C42" s="1974" t="s">
        <v>177</v>
      </c>
      <c r="D42" s="1975" t="s">
        <v>1124</v>
      </c>
      <c r="E42" s="1919">
        <v>14847194</v>
      </c>
      <c r="F42" s="1919">
        <v>2969439</v>
      </c>
      <c r="G42" s="1920">
        <v>781431</v>
      </c>
      <c r="H42" s="1921"/>
      <c r="I42" s="1921">
        <f>SUM(E42:F42)</f>
        <v>17816633</v>
      </c>
      <c r="J42" s="1985">
        <v>45737</v>
      </c>
      <c r="K42" s="129"/>
    </row>
    <row r="43" spans="1:12" ht="12.75" customHeight="1">
      <c r="A43" s="1972">
        <v>45736</v>
      </c>
      <c r="B43" s="1973">
        <v>278</v>
      </c>
      <c r="C43" s="1974" t="s">
        <v>853</v>
      </c>
      <c r="D43" s="1975" t="s">
        <v>854</v>
      </c>
      <c r="E43" s="1919">
        <v>34324224</v>
      </c>
      <c r="F43" s="1919">
        <v>6521603</v>
      </c>
      <c r="G43" s="1920"/>
      <c r="H43" s="1921"/>
      <c r="I43" s="1921">
        <v>40845827</v>
      </c>
      <c r="J43" s="1985">
        <v>45743</v>
      </c>
      <c r="K43" s="129"/>
    </row>
    <row r="44" spans="1:12" ht="12.75" customHeight="1">
      <c r="A44" s="1972">
        <v>45736</v>
      </c>
      <c r="B44" s="1973">
        <v>279</v>
      </c>
      <c r="C44" s="1974" t="s">
        <v>177</v>
      </c>
      <c r="D44" s="1975" t="s">
        <v>852</v>
      </c>
      <c r="E44" s="1919">
        <v>39685751</v>
      </c>
      <c r="F44" s="1919">
        <v>7540293</v>
      </c>
      <c r="G44" s="1920"/>
      <c r="H44" s="1921"/>
      <c r="I44" s="1921">
        <f>SUM(E44:F44)</f>
        <v>47226044</v>
      </c>
      <c r="J44" s="1985">
        <v>45763</v>
      </c>
      <c r="K44" s="129"/>
    </row>
    <row r="45" spans="1:12" ht="12.75" customHeight="1">
      <c r="A45" s="1972">
        <v>45737</v>
      </c>
      <c r="B45" s="1973">
        <v>280</v>
      </c>
      <c r="C45" s="1974" t="s">
        <v>497</v>
      </c>
      <c r="D45" s="1975" t="s">
        <v>851</v>
      </c>
      <c r="E45" s="1974">
        <v>10399331</v>
      </c>
      <c r="F45" s="1974">
        <v>1975873</v>
      </c>
      <c r="G45" s="1976"/>
      <c r="H45" s="1977"/>
      <c r="I45" s="1977">
        <v>12375204</v>
      </c>
      <c r="J45" s="1985">
        <v>45751</v>
      </c>
      <c r="K45" s="129"/>
    </row>
    <row r="46" spans="1:12" ht="12.75" customHeight="1" thickBot="1">
      <c r="A46" s="2253">
        <v>45744</v>
      </c>
      <c r="B46" s="2254">
        <v>282</v>
      </c>
      <c r="C46" s="2255" t="s">
        <v>557</v>
      </c>
      <c r="D46" s="2256" t="s">
        <v>972</v>
      </c>
      <c r="E46" s="2257">
        <v>9723072</v>
      </c>
      <c r="F46" s="2257">
        <v>1847384</v>
      </c>
      <c r="G46" s="2258"/>
      <c r="H46" s="2259"/>
      <c r="I46" s="2259">
        <f>SUM(E46:F46)</f>
        <v>11570456</v>
      </c>
      <c r="J46" s="2260">
        <v>45771</v>
      </c>
      <c r="K46" s="129"/>
    </row>
    <row r="47" spans="1:12" ht="12.75" customHeight="1" thickBot="1">
      <c r="A47" s="914"/>
      <c r="B47" s="915"/>
      <c r="C47" s="916"/>
      <c r="D47" s="405" t="s">
        <v>230</v>
      </c>
      <c r="E47" s="1922">
        <f>SUM(E37:E46)</f>
        <v>451860798</v>
      </c>
      <c r="F47" s="1923">
        <f>SUM(F37:F46)</f>
        <v>86002025</v>
      </c>
      <c r="G47" s="1923">
        <f t="shared" ref="G47:I47" si="4">SUM(G37:G46)</f>
        <v>781431</v>
      </c>
      <c r="H47" s="1923">
        <f t="shared" si="4"/>
        <v>0</v>
      </c>
      <c r="I47" s="1924">
        <f t="shared" si="4"/>
        <v>537862823</v>
      </c>
      <c r="J47" s="918"/>
      <c r="K47" s="129"/>
      <c r="L47" s="107"/>
    </row>
    <row r="48" spans="1:12" ht="12.75" customHeight="1">
      <c r="A48" s="1972">
        <v>45749</v>
      </c>
      <c r="B48" s="1973">
        <v>283</v>
      </c>
      <c r="C48" s="1974" t="s">
        <v>497</v>
      </c>
      <c r="D48" s="1975" t="s">
        <v>980</v>
      </c>
      <c r="E48" s="1974">
        <v>30539742</v>
      </c>
      <c r="F48" s="1974">
        <v>5802551</v>
      </c>
      <c r="G48" s="1976"/>
      <c r="H48" s="1977"/>
      <c r="I48" s="1977">
        <f t="shared" ref="I48:I53" si="5">SUM(E48:F48)</f>
        <v>36342293</v>
      </c>
      <c r="J48" s="1985">
        <v>45758</v>
      </c>
      <c r="K48" s="129"/>
    </row>
    <row r="49" spans="1:13" ht="12.75" customHeight="1">
      <c r="A49" s="1972">
        <v>45749</v>
      </c>
      <c r="B49" s="1973">
        <v>284</v>
      </c>
      <c r="C49" s="1974" t="s">
        <v>497</v>
      </c>
      <c r="D49" s="1975" t="s">
        <v>981</v>
      </c>
      <c r="E49" s="1974">
        <v>29761659</v>
      </c>
      <c r="F49" s="1974">
        <v>5654715</v>
      </c>
      <c r="G49" s="1976"/>
      <c r="H49" s="1976"/>
      <c r="I49" s="1977">
        <f t="shared" si="5"/>
        <v>35416374</v>
      </c>
      <c r="J49" s="1985">
        <v>45758</v>
      </c>
      <c r="K49" s="129"/>
    </row>
    <row r="50" spans="1:13" ht="12.75" customHeight="1">
      <c r="A50" s="1967">
        <v>45763</v>
      </c>
      <c r="B50" s="1963">
        <v>285</v>
      </c>
      <c r="C50" s="1964" t="s">
        <v>430</v>
      </c>
      <c r="D50" s="1968" t="s">
        <v>1104</v>
      </c>
      <c r="E50" s="1964">
        <v>59868428</v>
      </c>
      <c r="F50" s="1964">
        <v>11375001</v>
      </c>
      <c r="G50" s="1969"/>
      <c r="H50" s="1969"/>
      <c r="I50" s="1970">
        <f t="shared" si="5"/>
        <v>71243429</v>
      </c>
      <c r="J50" s="1986">
        <v>45771</v>
      </c>
      <c r="K50" s="322" t="s">
        <v>501</v>
      </c>
    </row>
    <row r="51" spans="1:13" ht="12.75" customHeight="1">
      <c r="A51" s="1967">
        <v>45763</v>
      </c>
      <c r="B51" s="1963">
        <v>286</v>
      </c>
      <c r="C51" s="1964" t="s">
        <v>430</v>
      </c>
      <c r="D51" s="1968" t="s">
        <v>1103</v>
      </c>
      <c r="E51" s="1964">
        <v>50534185</v>
      </c>
      <c r="F51" s="1964">
        <v>9601495</v>
      </c>
      <c r="G51" s="1969"/>
      <c r="H51" s="1969"/>
      <c r="I51" s="1970">
        <f t="shared" si="5"/>
        <v>60135680</v>
      </c>
      <c r="J51" s="1986">
        <v>45771</v>
      </c>
      <c r="K51" s="322" t="s">
        <v>501</v>
      </c>
      <c r="L51" s="162"/>
    </row>
    <row r="52" spans="1:13" ht="12.75" customHeight="1">
      <c r="A52" s="2253">
        <v>45768</v>
      </c>
      <c r="B52" s="2254">
        <v>287</v>
      </c>
      <c r="C52" s="2255" t="s">
        <v>557</v>
      </c>
      <c r="D52" s="2256" t="s">
        <v>1319</v>
      </c>
      <c r="E52" s="2255">
        <v>37559143</v>
      </c>
      <c r="F52" s="2255">
        <v>7136237</v>
      </c>
      <c r="G52" s="2262"/>
      <c r="H52" s="2263"/>
      <c r="I52" s="2263">
        <f t="shared" si="5"/>
        <v>44695380</v>
      </c>
      <c r="J52" s="2260">
        <v>45792</v>
      </c>
      <c r="K52" s="129"/>
      <c r="L52" s="107"/>
    </row>
    <row r="53" spans="1:13" ht="12.75" customHeight="1">
      <c r="A53" s="1972">
        <v>45770</v>
      </c>
      <c r="B53" s="1973">
        <v>288</v>
      </c>
      <c r="C53" s="1974" t="s">
        <v>1125</v>
      </c>
      <c r="D53" s="1975" t="s">
        <v>1126</v>
      </c>
      <c r="E53" s="1974">
        <v>14079592</v>
      </c>
      <c r="F53" s="1974">
        <v>2675122</v>
      </c>
      <c r="G53" s="1976"/>
      <c r="H53" s="1977"/>
      <c r="I53" s="1977">
        <f t="shared" si="5"/>
        <v>16754714</v>
      </c>
      <c r="J53" s="1985">
        <v>45792</v>
      </c>
      <c r="K53" s="129"/>
      <c r="M53" s="1322"/>
    </row>
    <row r="54" spans="1:13" ht="12.75" customHeight="1">
      <c r="A54" s="1972">
        <v>45772</v>
      </c>
      <c r="B54" s="1973">
        <v>289</v>
      </c>
      <c r="C54" s="1974" t="s">
        <v>177</v>
      </c>
      <c r="D54" s="1975" t="s">
        <v>1127</v>
      </c>
      <c r="E54" s="1974">
        <v>10870940</v>
      </c>
      <c r="F54" s="1974">
        <v>2174188</v>
      </c>
      <c r="G54" s="1976">
        <v>572154.75</v>
      </c>
      <c r="H54" s="1977"/>
      <c r="I54" s="1977">
        <f>SUM(E54:F54)</f>
        <v>13045128</v>
      </c>
      <c r="J54" s="1985">
        <v>45799</v>
      </c>
      <c r="K54" s="129"/>
      <c r="M54" s="1322"/>
    </row>
    <row r="55" spans="1:13" ht="12.75" customHeight="1">
      <c r="A55" s="1972">
        <v>45777</v>
      </c>
      <c r="B55" s="1973">
        <v>292</v>
      </c>
      <c r="C55" s="1974" t="s">
        <v>555</v>
      </c>
      <c r="D55" s="1975" t="s">
        <v>1263</v>
      </c>
      <c r="E55" s="1974">
        <v>86867518</v>
      </c>
      <c r="F55" s="1974">
        <v>16504828</v>
      </c>
      <c r="G55" s="1976"/>
      <c r="H55" s="1921"/>
      <c r="I55" s="1977">
        <f>SUM(E55:F55)</f>
        <v>103372346</v>
      </c>
      <c r="J55" s="1985">
        <v>45785</v>
      </c>
      <c r="K55" s="129"/>
      <c r="L55" s="107"/>
    </row>
    <row r="56" spans="1:13" ht="12.75" customHeight="1" thickBot="1">
      <c r="A56" s="1972">
        <v>45777</v>
      </c>
      <c r="B56" s="1973">
        <v>293</v>
      </c>
      <c r="C56" s="1974" t="s">
        <v>1264</v>
      </c>
      <c r="D56" s="1975" t="s">
        <v>1267</v>
      </c>
      <c r="E56" s="1974">
        <v>33123735</v>
      </c>
      <c r="F56" s="1974">
        <v>6293510</v>
      </c>
      <c r="G56" s="1976"/>
      <c r="H56" s="1921"/>
      <c r="I56" s="1977">
        <f>SUM(E56:F56)</f>
        <v>39417245</v>
      </c>
      <c r="J56" s="1985">
        <v>45785</v>
      </c>
      <c r="K56" s="129"/>
      <c r="L56" s="107"/>
    </row>
    <row r="57" spans="1:13" ht="12.75" customHeight="1" thickBot="1">
      <c r="A57" s="914"/>
      <c r="B57" s="915"/>
      <c r="C57" s="916"/>
      <c r="D57" s="405" t="s">
        <v>230</v>
      </c>
      <c r="E57" s="1922">
        <f>SUM(E48:E56)</f>
        <v>353204942</v>
      </c>
      <c r="F57" s="1922">
        <f>SUM(F48:F56)</f>
        <v>67217647</v>
      </c>
      <c r="G57" s="1922">
        <f>SUM(G48:G56)</f>
        <v>572154.75</v>
      </c>
      <c r="H57" s="1922">
        <f>SUM(H48:H56)</f>
        <v>0</v>
      </c>
      <c r="I57" s="1922">
        <f>SUM(I48:I56)</f>
        <v>420422589</v>
      </c>
      <c r="J57" s="1985"/>
      <c r="K57" s="129"/>
      <c r="L57" s="107"/>
    </row>
    <row r="58" spans="1:13" ht="12.75" customHeight="1">
      <c r="A58" s="1972">
        <v>45782</v>
      </c>
      <c r="B58" s="1973">
        <v>294</v>
      </c>
      <c r="C58" s="1974" t="s">
        <v>497</v>
      </c>
      <c r="D58" s="1975" t="s">
        <v>1265</v>
      </c>
      <c r="E58" s="1974">
        <v>8779724</v>
      </c>
      <c r="F58" s="1974">
        <v>1668148</v>
      </c>
      <c r="G58" s="1976"/>
      <c r="H58" s="1977"/>
      <c r="I58" s="1977">
        <f t="shared" ref="I58:I64" si="6">SUM(E58:F58)</f>
        <v>10447872</v>
      </c>
      <c r="J58" s="1985">
        <v>45793</v>
      </c>
      <c r="K58" s="129"/>
      <c r="L58" s="107"/>
      <c r="M58" s="107"/>
    </row>
    <row r="59" spans="1:13" ht="12.75" customHeight="1">
      <c r="A59" s="1972">
        <v>45782</v>
      </c>
      <c r="B59" s="1973">
        <v>295</v>
      </c>
      <c r="C59" s="1974" t="s">
        <v>497</v>
      </c>
      <c r="D59" s="1975" t="s">
        <v>1266</v>
      </c>
      <c r="E59" s="1974">
        <v>4020292</v>
      </c>
      <c r="F59" s="1974">
        <v>763855</v>
      </c>
      <c r="G59" s="1976"/>
      <c r="H59" s="1977" t="s">
        <v>337</v>
      </c>
      <c r="I59" s="1977">
        <f t="shared" si="6"/>
        <v>4784147</v>
      </c>
      <c r="J59" s="1985">
        <v>45793</v>
      </c>
      <c r="K59" s="129"/>
      <c r="L59" s="107"/>
    </row>
    <row r="60" spans="1:13" ht="12.75" customHeight="1">
      <c r="A60" s="1972">
        <v>45783</v>
      </c>
      <c r="B60" s="1973">
        <v>296</v>
      </c>
      <c r="C60" s="1974" t="s">
        <v>1264</v>
      </c>
      <c r="D60" s="1975" t="s">
        <v>1268</v>
      </c>
      <c r="E60" s="1974">
        <v>45871382</v>
      </c>
      <c r="F60" s="1974">
        <v>8715563</v>
      </c>
      <c r="G60" s="1976"/>
      <c r="H60" s="1977"/>
      <c r="I60" s="1977">
        <f t="shared" si="6"/>
        <v>54586945</v>
      </c>
      <c r="J60" s="1985">
        <v>45790</v>
      </c>
      <c r="K60" s="129"/>
      <c r="L60" s="107"/>
    </row>
    <row r="61" spans="1:13" ht="12.75" customHeight="1">
      <c r="A61" s="1930">
        <v>45785</v>
      </c>
      <c r="B61" s="1973">
        <v>298</v>
      </c>
      <c r="C61" s="1974" t="s">
        <v>491</v>
      </c>
      <c r="D61" s="1931" t="s">
        <v>1269</v>
      </c>
      <c r="E61" s="1919">
        <v>29430885</v>
      </c>
      <c r="F61" s="1919">
        <v>5591868</v>
      </c>
      <c r="G61" s="1920"/>
      <c r="H61" s="1921"/>
      <c r="I61" s="1921">
        <f t="shared" si="6"/>
        <v>35022753</v>
      </c>
      <c r="J61" s="1985">
        <v>45793</v>
      </c>
      <c r="K61" s="129"/>
      <c r="L61" s="107"/>
    </row>
    <row r="62" spans="1:13" ht="12.75" customHeight="1">
      <c r="A62" s="1930">
        <v>45785</v>
      </c>
      <c r="B62" s="1973">
        <v>299</v>
      </c>
      <c r="C62" s="1974" t="s">
        <v>491</v>
      </c>
      <c r="D62" s="1931" t="s">
        <v>1295</v>
      </c>
      <c r="E62" s="1919">
        <v>4394405</v>
      </c>
      <c r="F62" s="1919">
        <v>834937</v>
      </c>
      <c r="G62" s="1920"/>
      <c r="H62" s="1921"/>
      <c r="I62" s="1921">
        <f t="shared" si="6"/>
        <v>5229342</v>
      </c>
      <c r="J62" s="1985">
        <v>45793</v>
      </c>
      <c r="K62" s="129"/>
      <c r="L62" s="107"/>
    </row>
    <row r="63" spans="1:13" ht="12.75" customHeight="1">
      <c r="A63" s="1932">
        <v>45785</v>
      </c>
      <c r="B63" s="1963">
        <v>300</v>
      </c>
      <c r="C63" s="1964" t="s">
        <v>430</v>
      </c>
      <c r="D63" s="1968" t="s">
        <v>1270</v>
      </c>
      <c r="E63" s="1964">
        <v>7277427</v>
      </c>
      <c r="F63" s="1964">
        <v>1382711</v>
      </c>
      <c r="G63" s="1969"/>
      <c r="H63" s="1933"/>
      <c r="I63" s="1933">
        <f t="shared" si="6"/>
        <v>8660138</v>
      </c>
      <c r="J63" s="1986">
        <v>45792</v>
      </c>
      <c r="K63" s="322" t="s">
        <v>501</v>
      </c>
      <c r="L63" s="107"/>
    </row>
    <row r="64" spans="1:13" ht="12.75" customHeight="1">
      <c r="A64" s="1972">
        <v>45789</v>
      </c>
      <c r="B64" s="1973">
        <v>301</v>
      </c>
      <c r="C64" s="1974" t="s">
        <v>177</v>
      </c>
      <c r="D64" s="1975" t="s">
        <v>1291</v>
      </c>
      <c r="E64" s="1919">
        <v>30733290</v>
      </c>
      <c r="F64" s="1919">
        <v>6146658</v>
      </c>
      <c r="G64" s="1920">
        <v>1617541.6</v>
      </c>
      <c r="H64" s="1921"/>
      <c r="I64" s="1921">
        <f t="shared" si="6"/>
        <v>36879948</v>
      </c>
      <c r="J64" s="1985">
        <v>45805</v>
      </c>
      <c r="K64" s="129"/>
      <c r="L64" s="107"/>
    </row>
    <row r="65" spans="1:13" ht="12.75" customHeight="1">
      <c r="A65" s="1972">
        <v>45803</v>
      </c>
      <c r="B65" s="1973">
        <v>303</v>
      </c>
      <c r="C65" s="1974" t="s">
        <v>798</v>
      </c>
      <c r="D65" s="1975" t="s">
        <v>1292</v>
      </c>
      <c r="E65" s="1974">
        <v>10565296</v>
      </c>
      <c r="F65" s="1974">
        <v>2007406</v>
      </c>
      <c r="G65" s="1976"/>
      <c r="H65" s="1977"/>
      <c r="I65" s="1977">
        <f>SUM(E65:F65)</f>
        <v>12572702</v>
      </c>
      <c r="J65" s="1985">
        <v>45810</v>
      </c>
      <c r="K65" s="129"/>
      <c r="L65" s="107"/>
    </row>
    <row r="66" spans="1:13" ht="12.75" customHeight="1">
      <c r="A66" s="2246">
        <v>45804</v>
      </c>
      <c r="B66" s="2247">
        <v>305</v>
      </c>
      <c r="C66" s="2248" t="s">
        <v>557</v>
      </c>
      <c r="D66" s="2249" t="s">
        <v>1515</v>
      </c>
      <c r="E66" s="2248">
        <v>62829846</v>
      </c>
      <c r="F66" s="2248">
        <v>11937671</v>
      </c>
      <c r="G66" s="2250"/>
      <c r="H66" s="2251"/>
      <c r="I66" s="2251">
        <v>74767517</v>
      </c>
      <c r="J66" s="2252">
        <v>45839</v>
      </c>
      <c r="K66" s="129"/>
      <c r="L66" s="107"/>
      <c r="M66" s="140"/>
    </row>
    <row r="67" spans="1:13" ht="12.75" customHeight="1">
      <c r="A67" s="1972">
        <v>45804</v>
      </c>
      <c r="B67" s="1973">
        <v>306</v>
      </c>
      <c r="C67" s="1974" t="s">
        <v>177</v>
      </c>
      <c r="D67" s="1931" t="s">
        <v>405</v>
      </c>
      <c r="E67" s="1974">
        <v>100617860</v>
      </c>
      <c r="F67" s="1974">
        <v>20123572</v>
      </c>
      <c r="G67" s="1976">
        <v>5295677</v>
      </c>
      <c r="H67" s="1977"/>
      <c r="I67" s="1977">
        <f>SUM(E67:F67)</f>
        <v>120741432</v>
      </c>
      <c r="J67" s="1985">
        <v>45812</v>
      </c>
      <c r="K67" s="129"/>
      <c r="L67" s="107"/>
      <c r="M67" s="140"/>
    </row>
    <row r="68" spans="1:13" ht="12.75" customHeight="1" thickBot="1">
      <c r="A68" s="1972">
        <v>45805</v>
      </c>
      <c r="B68" s="1973">
        <v>307</v>
      </c>
      <c r="C68" s="1974" t="s">
        <v>555</v>
      </c>
      <c r="D68" s="1975" t="s">
        <v>1334</v>
      </c>
      <c r="E68" s="1974">
        <v>66180796</v>
      </c>
      <c r="F68" s="1974">
        <v>12574351</v>
      </c>
      <c r="G68" s="1976"/>
      <c r="H68" s="1977"/>
      <c r="I68" s="1977">
        <f>SUM(E68:F68)</f>
        <v>78755147</v>
      </c>
      <c r="J68" s="1985">
        <v>45812</v>
      </c>
      <c r="K68" s="129"/>
      <c r="L68" s="107"/>
      <c r="M68" s="1587"/>
    </row>
    <row r="69" spans="1:13" ht="12.75" customHeight="1" thickBot="1">
      <c r="A69" s="914"/>
      <c r="B69" s="915"/>
      <c r="C69" s="916"/>
      <c r="D69" s="405" t="s">
        <v>230</v>
      </c>
      <c r="E69" s="1934">
        <f>SUM(E58:E68)</f>
        <v>370701203</v>
      </c>
      <c r="F69" s="1934">
        <f>SUM(F58:F68)</f>
        <v>71746740</v>
      </c>
      <c r="G69" s="1934">
        <f>SUM(G58:G68)</f>
        <v>6913218.5999999996</v>
      </c>
      <c r="H69" s="1934">
        <f>SUM(H58:H68)</f>
        <v>0</v>
      </c>
      <c r="I69" s="1934">
        <f>SUM(I58:I68)</f>
        <v>442447943</v>
      </c>
      <c r="J69" s="1985"/>
      <c r="K69" s="129"/>
      <c r="L69" s="107"/>
      <c r="M69" s="140"/>
    </row>
    <row r="70" spans="1:13" ht="12.75" customHeight="1">
      <c r="A70" s="1972">
        <v>45811</v>
      </c>
      <c r="B70" s="1973">
        <v>308</v>
      </c>
      <c r="C70" s="1974" t="s">
        <v>177</v>
      </c>
      <c r="D70" s="1975" t="s">
        <v>1356</v>
      </c>
      <c r="E70" s="1974">
        <v>14385310</v>
      </c>
      <c r="F70" s="1974">
        <v>2733209</v>
      </c>
      <c r="G70" s="1976"/>
      <c r="H70" s="1977"/>
      <c r="I70" s="1977">
        <f>SUM(E70:G70)</f>
        <v>17118519</v>
      </c>
      <c r="J70" s="1985">
        <v>45826</v>
      </c>
      <c r="K70" s="129"/>
      <c r="L70" s="107"/>
      <c r="M70" s="140"/>
    </row>
    <row r="71" spans="1:13" ht="12.75" customHeight="1">
      <c r="A71" s="1972">
        <v>45811</v>
      </c>
      <c r="B71" s="1973">
        <v>309</v>
      </c>
      <c r="C71" s="1974" t="s">
        <v>177</v>
      </c>
      <c r="D71" s="1975" t="s">
        <v>1357</v>
      </c>
      <c r="E71" s="1974">
        <v>29985727</v>
      </c>
      <c r="F71" s="1974">
        <v>5697288</v>
      </c>
      <c r="G71" s="1976"/>
      <c r="H71" s="1977"/>
      <c r="I71" s="1977">
        <f>SUM(E71:G71)</f>
        <v>35683015</v>
      </c>
      <c r="J71" s="1985">
        <v>45826</v>
      </c>
      <c r="K71" s="129"/>
      <c r="L71" s="107"/>
      <c r="M71" s="140"/>
    </row>
    <row r="72" spans="1:13" ht="12.75" customHeight="1">
      <c r="A72" s="1972">
        <v>45812</v>
      </c>
      <c r="B72" s="1973">
        <v>310</v>
      </c>
      <c r="C72" s="1974" t="s">
        <v>1264</v>
      </c>
      <c r="D72" s="1975" t="s">
        <v>1358</v>
      </c>
      <c r="E72" s="1974">
        <v>30833224</v>
      </c>
      <c r="F72" s="1974">
        <v>5858313</v>
      </c>
      <c r="G72" s="1976"/>
      <c r="H72" s="1977"/>
      <c r="I72" s="1977">
        <f>SUM(E72:F72)</f>
        <v>36691537</v>
      </c>
      <c r="J72" s="1985">
        <v>45819</v>
      </c>
      <c r="K72" s="129"/>
      <c r="L72" s="107"/>
      <c r="M72" s="140"/>
    </row>
    <row r="73" spans="1:13" ht="12.75" customHeight="1">
      <c r="A73" s="1972">
        <v>45812</v>
      </c>
      <c r="B73" s="1973">
        <v>311</v>
      </c>
      <c r="C73" s="1974" t="s">
        <v>185</v>
      </c>
      <c r="D73" s="1975" t="s">
        <v>1359</v>
      </c>
      <c r="E73" s="1974">
        <v>10349857</v>
      </c>
      <c r="F73" s="1974">
        <v>1966473</v>
      </c>
      <c r="G73" s="1976"/>
      <c r="H73" s="1977"/>
      <c r="I73" s="1977">
        <f>SUM(E73:F73)</f>
        <v>12316330</v>
      </c>
      <c r="J73" s="1985">
        <v>45842</v>
      </c>
      <c r="K73" s="129"/>
      <c r="L73" s="107"/>
      <c r="M73" s="140"/>
    </row>
    <row r="74" spans="1:13" ht="12.75" customHeight="1">
      <c r="A74" s="1972">
        <v>45817</v>
      </c>
      <c r="B74" s="1973">
        <v>312</v>
      </c>
      <c r="C74" s="1974" t="s">
        <v>798</v>
      </c>
      <c r="D74" s="1975" t="s">
        <v>1362</v>
      </c>
      <c r="E74" s="1974">
        <v>5986363</v>
      </c>
      <c r="F74" s="1974">
        <v>1137409</v>
      </c>
      <c r="G74" s="1976"/>
      <c r="H74" s="1977"/>
      <c r="I74" s="1977">
        <f>SUM(E74:F74)</f>
        <v>7123772</v>
      </c>
      <c r="J74" s="1985">
        <v>45824</v>
      </c>
      <c r="K74" s="129"/>
      <c r="L74" s="107"/>
      <c r="M74" s="140"/>
    </row>
    <row r="75" spans="1:13" ht="12.75" customHeight="1">
      <c r="A75" s="1972">
        <v>45824</v>
      </c>
      <c r="B75" s="1973">
        <v>313</v>
      </c>
      <c r="C75" s="1974" t="s">
        <v>177</v>
      </c>
      <c r="D75" s="1975" t="s">
        <v>1401</v>
      </c>
      <c r="E75" s="1974">
        <v>13211845</v>
      </c>
      <c r="F75" s="1974">
        <v>2642369</v>
      </c>
      <c r="G75" s="1976">
        <v>695360</v>
      </c>
      <c r="H75" s="1977"/>
      <c r="I75" s="1977">
        <f>SUM(E75:F75)</f>
        <v>15854214</v>
      </c>
      <c r="J75" s="1985">
        <v>45849</v>
      </c>
      <c r="K75" s="129"/>
      <c r="L75" s="107"/>
      <c r="M75" s="140"/>
    </row>
    <row r="76" spans="1:13" ht="12.75" customHeight="1" thickBot="1">
      <c r="A76" s="1972">
        <v>45834</v>
      </c>
      <c r="B76" s="1973">
        <v>314</v>
      </c>
      <c r="C76" s="1974" t="s">
        <v>177</v>
      </c>
      <c r="D76" s="1975" t="s">
        <v>1128</v>
      </c>
      <c r="E76" s="1974">
        <v>27818176</v>
      </c>
      <c r="F76" s="1974">
        <v>5563635</v>
      </c>
      <c r="G76" s="1976">
        <v>1464114</v>
      </c>
      <c r="H76" s="1977"/>
      <c r="I76" s="1977">
        <f>SUM(E76:F76)</f>
        <v>33381811</v>
      </c>
      <c r="J76" s="1985">
        <v>45842</v>
      </c>
      <c r="K76" s="129"/>
      <c r="L76" s="107"/>
      <c r="M76" s="140"/>
    </row>
    <row r="77" spans="1:13" ht="15.75" customHeight="1" thickBot="1">
      <c r="A77" s="914"/>
      <c r="B77" s="915"/>
      <c r="C77" s="916"/>
      <c r="D77" s="405" t="s">
        <v>230</v>
      </c>
      <c r="E77" s="1922">
        <f>SUM(E70:E76)</f>
        <v>132570502</v>
      </c>
      <c r="F77" s="1922">
        <f>SUM(F70:F76)</f>
        <v>25598696</v>
      </c>
      <c r="G77" s="1922">
        <f>SUM(G70:G76)</f>
        <v>2159474</v>
      </c>
      <c r="H77" s="1922">
        <f t="shared" ref="H77:I77" si="7">SUM(H70:H76)</f>
        <v>0</v>
      </c>
      <c r="I77" s="1922">
        <f t="shared" si="7"/>
        <v>158169198</v>
      </c>
      <c r="J77" s="1985"/>
      <c r="K77" s="129"/>
      <c r="L77" s="107"/>
      <c r="M77" s="140"/>
    </row>
    <row r="78" spans="1:13" ht="14.25" customHeight="1">
      <c r="A78" s="1972">
        <v>45842</v>
      </c>
      <c r="B78" s="1973">
        <v>315</v>
      </c>
      <c r="C78" s="1974" t="s">
        <v>497</v>
      </c>
      <c r="D78" s="1975" t="s">
        <v>1516</v>
      </c>
      <c r="E78" s="1974">
        <v>36881600</v>
      </c>
      <c r="F78" s="1974">
        <v>7007504</v>
      </c>
      <c r="G78" s="1976"/>
      <c r="H78" s="1976"/>
      <c r="I78" s="1977">
        <f>SUM(E78:F78)</f>
        <v>43889104</v>
      </c>
      <c r="J78" s="1985">
        <v>45856</v>
      </c>
      <c r="K78" s="129"/>
      <c r="L78" s="107"/>
      <c r="M78" s="140"/>
    </row>
    <row r="79" spans="1:13" ht="14.25" customHeight="1">
      <c r="A79" s="1972">
        <v>45842</v>
      </c>
      <c r="B79" s="1973">
        <v>316</v>
      </c>
      <c r="C79" s="1974" t="s">
        <v>1264</v>
      </c>
      <c r="D79" s="1975" t="s">
        <v>1517</v>
      </c>
      <c r="E79" s="1974">
        <v>37510072</v>
      </c>
      <c r="F79" s="1974">
        <v>7126914</v>
      </c>
      <c r="G79" s="1976"/>
      <c r="H79" s="1976"/>
      <c r="I79" s="1977">
        <f>SUM(E79:F79)</f>
        <v>44636986</v>
      </c>
      <c r="J79" s="1985">
        <v>45849</v>
      </c>
      <c r="K79" s="129"/>
      <c r="L79" s="107"/>
      <c r="M79" s="140"/>
    </row>
    <row r="80" spans="1:13">
      <c r="A80" s="1972">
        <v>45842</v>
      </c>
      <c r="B80" s="1973">
        <v>317</v>
      </c>
      <c r="C80" s="1974" t="s">
        <v>177</v>
      </c>
      <c r="D80" s="1975" t="s">
        <v>1518</v>
      </c>
      <c r="E80" s="1974">
        <v>4794805</v>
      </c>
      <c r="F80" s="1974">
        <v>958961</v>
      </c>
      <c r="G80" s="1976">
        <v>252358</v>
      </c>
      <c r="H80" s="1977"/>
      <c r="I80" s="1977">
        <f>SUM(E80:F80)</f>
        <v>5753766</v>
      </c>
      <c r="J80" s="1985">
        <v>45856</v>
      </c>
      <c r="K80" s="129"/>
      <c r="L80" s="107"/>
      <c r="M80" s="140"/>
    </row>
    <row r="81" spans="1:13">
      <c r="A81" s="1972">
        <v>45846</v>
      </c>
      <c r="B81" s="1973">
        <v>318</v>
      </c>
      <c r="C81" s="1974" t="s">
        <v>555</v>
      </c>
      <c r="D81" s="1975" t="s">
        <v>1519</v>
      </c>
      <c r="E81" s="1974">
        <v>184669581</v>
      </c>
      <c r="F81" s="1974">
        <v>35087220</v>
      </c>
      <c r="G81" s="1976"/>
      <c r="H81" s="1977"/>
      <c r="I81" s="1977">
        <f>SUM(E81:G81)</f>
        <v>219756801</v>
      </c>
      <c r="J81" s="1985">
        <v>45853</v>
      </c>
      <c r="K81" s="129"/>
      <c r="L81" s="107"/>
      <c r="M81" s="140"/>
    </row>
    <row r="82" spans="1:13">
      <c r="A82" s="2253">
        <v>45846</v>
      </c>
      <c r="B82" s="2254">
        <v>319</v>
      </c>
      <c r="C82" s="2255" t="s">
        <v>557</v>
      </c>
      <c r="D82" s="2256" t="s">
        <v>1520</v>
      </c>
      <c r="E82" s="2255">
        <v>16552341</v>
      </c>
      <c r="F82" s="2255">
        <v>3144945</v>
      </c>
      <c r="G82" s="2262"/>
      <c r="H82" s="2263"/>
      <c r="I82" s="2263">
        <f>SUM(E82:F82)</f>
        <v>19697286</v>
      </c>
      <c r="J82" s="2260">
        <v>45876</v>
      </c>
      <c r="K82" s="129"/>
      <c r="L82" s="107">
        <v>1</v>
      </c>
      <c r="M82" s="140"/>
    </row>
    <row r="83" spans="1:13">
      <c r="A83" s="1972">
        <v>45847</v>
      </c>
      <c r="B83" s="1973">
        <v>320</v>
      </c>
      <c r="C83" s="1974" t="s">
        <v>557</v>
      </c>
      <c r="D83" s="1975" t="s">
        <v>1642</v>
      </c>
      <c r="E83" s="1974">
        <v>59171658</v>
      </c>
      <c r="F83" s="1974">
        <v>11242615</v>
      </c>
      <c r="G83" s="1976"/>
      <c r="H83" s="1977"/>
      <c r="I83" s="1977">
        <f>SUM(E83:F83)</f>
        <v>70414273</v>
      </c>
      <c r="J83" s="1985">
        <v>45876</v>
      </c>
      <c r="K83" s="1577">
        <f>SUM(I82:I83)</f>
        <v>90111559</v>
      </c>
      <c r="L83" s="107">
        <v>1</v>
      </c>
      <c r="M83" s="140"/>
    </row>
    <row r="84" spans="1:13" ht="12" thickBot="1">
      <c r="A84" s="1972">
        <v>45862</v>
      </c>
      <c r="B84" s="1973">
        <v>323</v>
      </c>
      <c r="C84" s="1974" t="s">
        <v>555</v>
      </c>
      <c r="D84" s="1975" t="s">
        <v>1521</v>
      </c>
      <c r="E84" s="1974">
        <v>127996002</v>
      </c>
      <c r="F84" s="1974">
        <v>24319240</v>
      </c>
      <c r="G84" s="1976"/>
      <c r="H84" s="1977"/>
      <c r="I84" s="107">
        <f>SUM(E84:F84)</f>
        <v>152315242</v>
      </c>
      <c r="J84" s="1985">
        <v>45869</v>
      </c>
      <c r="K84" s="129"/>
      <c r="L84" s="107"/>
      <c r="M84" s="1288"/>
    </row>
    <row r="85" spans="1:13" ht="12" thickBot="1">
      <c r="A85" s="914"/>
      <c r="B85" s="915"/>
      <c r="C85" s="916"/>
      <c r="D85" s="405" t="s">
        <v>230</v>
      </c>
      <c r="E85" s="1922">
        <f>SUM(E78:E84)</f>
        <v>467576059</v>
      </c>
      <c r="F85" s="1922">
        <f>SUM(F78:F84)</f>
        <v>88887399</v>
      </c>
      <c r="G85" s="1922">
        <f>SUM(G78:G84)</f>
        <v>252358</v>
      </c>
      <c r="H85" s="1922">
        <f t="shared" ref="H85" si="8">SUM(H78:H84)</f>
        <v>0</v>
      </c>
      <c r="I85" s="1922">
        <f>SUM(I78:I84)</f>
        <v>556463458</v>
      </c>
      <c r="J85" s="1985"/>
      <c r="K85" s="129"/>
      <c r="L85" s="107"/>
      <c r="M85" s="1288"/>
    </row>
    <row r="86" spans="1:13">
      <c r="A86" s="1967">
        <v>45873</v>
      </c>
      <c r="B86" s="1963">
        <v>326</v>
      </c>
      <c r="C86" s="1918" t="s">
        <v>185</v>
      </c>
      <c r="D86" s="1906" t="s">
        <v>1522</v>
      </c>
      <c r="E86" s="1964">
        <v>8548355</v>
      </c>
      <c r="F86" s="1964">
        <v>1624187</v>
      </c>
      <c r="G86" s="1969"/>
      <c r="H86" s="1970"/>
      <c r="I86" s="1970">
        <f>SUM(E86:F86)</f>
        <v>10172542</v>
      </c>
      <c r="J86" s="1986">
        <v>45903</v>
      </c>
      <c r="K86" s="322" t="s">
        <v>501</v>
      </c>
      <c r="L86" s="107"/>
      <c r="M86" s="140"/>
    </row>
    <row r="87" spans="1:13">
      <c r="A87" s="1967">
        <v>45873</v>
      </c>
      <c r="B87" s="1963">
        <v>327</v>
      </c>
      <c r="C87" s="1964" t="s">
        <v>185</v>
      </c>
      <c r="D87" s="1968" t="s">
        <v>1523</v>
      </c>
      <c r="E87" s="1964">
        <v>12765752</v>
      </c>
      <c r="F87" s="1964">
        <v>2425493</v>
      </c>
      <c r="G87" s="1969"/>
      <c r="H87" s="1970"/>
      <c r="I87" s="1970">
        <f>SUM(E87:F87)</f>
        <v>15191245</v>
      </c>
      <c r="J87" s="1986">
        <v>45903</v>
      </c>
      <c r="K87" s="322" t="s">
        <v>501</v>
      </c>
      <c r="L87" s="107"/>
      <c r="M87" s="140"/>
    </row>
    <row r="88" spans="1:13">
      <c r="A88" s="2253">
        <v>45873</v>
      </c>
      <c r="B88" s="2254">
        <v>328</v>
      </c>
      <c r="C88" s="2255" t="s">
        <v>557</v>
      </c>
      <c r="D88" s="2256" t="s">
        <v>1524</v>
      </c>
      <c r="E88" s="2255">
        <v>17999771</v>
      </c>
      <c r="F88" s="2255">
        <v>3419956</v>
      </c>
      <c r="G88" s="2262"/>
      <c r="H88" s="2263"/>
      <c r="I88" s="2263">
        <v>21419727</v>
      </c>
      <c r="J88" s="2260">
        <v>45897</v>
      </c>
      <c r="K88" s="1577"/>
      <c r="L88" s="107">
        <v>3</v>
      </c>
      <c r="M88" s="1288"/>
    </row>
    <row r="89" spans="1:13">
      <c r="A89" s="1972">
        <v>45873</v>
      </c>
      <c r="B89" s="1973">
        <v>329</v>
      </c>
      <c r="C89" s="1974" t="s">
        <v>401</v>
      </c>
      <c r="D89" s="1975" t="s">
        <v>1525</v>
      </c>
      <c r="E89" s="1974">
        <v>52829556</v>
      </c>
      <c r="F89" s="1974">
        <v>10037616</v>
      </c>
      <c r="G89" s="1976"/>
      <c r="I89" s="1977">
        <v>62867172</v>
      </c>
      <c r="J89" s="1985">
        <v>45898</v>
      </c>
      <c r="K89" s="1577"/>
      <c r="L89" s="107">
        <v>5</v>
      </c>
      <c r="M89" s="1288"/>
    </row>
    <row r="90" spans="1:13">
      <c r="A90" s="1972">
        <v>45877</v>
      </c>
      <c r="B90" s="1973">
        <v>330</v>
      </c>
      <c r="C90" s="1974" t="s">
        <v>1264</v>
      </c>
      <c r="D90" s="1975" t="s">
        <v>1526</v>
      </c>
      <c r="E90" s="1974">
        <v>29180697</v>
      </c>
      <c r="F90" s="1974">
        <v>5544332</v>
      </c>
      <c r="G90" s="2245"/>
      <c r="H90" s="2087"/>
      <c r="I90" s="2087">
        <v>34725029</v>
      </c>
      <c r="J90" s="1985">
        <v>45883</v>
      </c>
      <c r="K90" s="209"/>
      <c r="L90" s="107">
        <v>2</v>
      </c>
      <c r="M90" s="1288"/>
    </row>
    <row r="91" spans="1:13">
      <c r="A91" s="1972">
        <v>38585</v>
      </c>
      <c r="B91" s="1973">
        <v>331</v>
      </c>
      <c r="C91" s="1974" t="s">
        <v>401</v>
      </c>
      <c r="D91" s="1975" t="s">
        <v>1611</v>
      </c>
      <c r="E91" s="1974">
        <v>67578326</v>
      </c>
      <c r="F91" s="1974">
        <v>12839882</v>
      </c>
      <c r="G91" s="1976"/>
      <c r="H91" s="1977"/>
      <c r="I91" s="1977">
        <v>80418208</v>
      </c>
      <c r="J91" s="1985">
        <v>45912</v>
      </c>
      <c r="K91" s="129"/>
      <c r="L91" s="107"/>
      <c r="M91" s="1288"/>
    </row>
    <row r="92" spans="1:13">
      <c r="A92" s="1972">
        <v>45890</v>
      </c>
      <c r="B92" s="1973">
        <v>333</v>
      </c>
      <c r="C92" s="1974" t="s">
        <v>185</v>
      </c>
      <c r="D92" s="1975" t="s">
        <v>1613</v>
      </c>
      <c r="E92" s="1974">
        <v>29125728</v>
      </c>
      <c r="F92" s="1974">
        <v>5533888</v>
      </c>
      <c r="G92" s="1976"/>
      <c r="H92" s="1977"/>
      <c r="I92" s="1977">
        <f>SUM(E92:F92)</f>
        <v>34659616</v>
      </c>
      <c r="J92" s="1985">
        <v>45917</v>
      </c>
      <c r="K92" s="129"/>
      <c r="L92" s="107"/>
      <c r="M92" s="1288"/>
    </row>
    <row r="93" spans="1:13">
      <c r="A93" s="2253">
        <v>45896</v>
      </c>
      <c r="B93" s="2254">
        <v>335</v>
      </c>
      <c r="C93" s="2255" t="s">
        <v>557</v>
      </c>
      <c r="D93" s="2256" t="s">
        <v>1643</v>
      </c>
      <c r="E93" s="2255">
        <v>3311403</v>
      </c>
      <c r="F93" s="2255">
        <v>629167</v>
      </c>
      <c r="G93" s="2262"/>
      <c r="H93" s="2263"/>
      <c r="I93" s="2263">
        <v>3940570</v>
      </c>
      <c r="J93" s="2261">
        <v>45925</v>
      </c>
      <c r="K93" s="129"/>
      <c r="L93" s="107"/>
      <c r="M93" s="1288"/>
    </row>
    <row r="94" spans="1:13">
      <c r="A94" s="1972">
        <v>45896</v>
      </c>
      <c r="B94" s="1973">
        <v>336</v>
      </c>
      <c r="C94" s="1974" t="s">
        <v>185</v>
      </c>
      <c r="D94" s="1975" t="s">
        <v>1612</v>
      </c>
      <c r="E94" s="1974">
        <v>7369894</v>
      </c>
      <c r="F94" s="1974">
        <v>1400280</v>
      </c>
      <c r="G94" s="1976"/>
      <c r="H94" s="1977"/>
      <c r="I94" s="2279">
        <v>8770174</v>
      </c>
      <c r="J94" s="1978">
        <v>45926</v>
      </c>
      <c r="K94" s="129"/>
      <c r="L94" s="107"/>
      <c r="M94" s="1288"/>
    </row>
    <row r="95" spans="1:13">
      <c r="A95" s="1972">
        <v>45896</v>
      </c>
      <c r="B95" s="1973">
        <v>337</v>
      </c>
      <c r="C95" s="1974" t="s">
        <v>185</v>
      </c>
      <c r="D95" s="1975" t="s">
        <v>1614</v>
      </c>
      <c r="E95" s="1974">
        <v>10941351</v>
      </c>
      <c r="F95" s="1974">
        <v>2078857</v>
      </c>
      <c r="G95" s="1976"/>
      <c r="H95" s="1977"/>
      <c r="I95" s="2279">
        <v>13020208</v>
      </c>
      <c r="J95" s="1985">
        <v>45926</v>
      </c>
      <c r="K95" s="1577">
        <f>SUM(I91:I95)</f>
        <v>140808776</v>
      </c>
      <c r="L95" s="107"/>
      <c r="M95" s="1288"/>
    </row>
    <row r="96" spans="1:13" ht="12" thickBot="1">
      <c r="A96" s="1972">
        <v>45896</v>
      </c>
      <c r="B96" s="1973">
        <v>91</v>
      </c>
      <c r="C96" s="1974" t="s">
        <v>1682</v>
      </c>
      <c r="D96" s="1975" t="s">
        <v>1683</v>
      </c>
      <c r="E96" s="1974">
        <v>428601471</v>
      </c>
      <c r="F96" s="1974">
        <v>0</v>
      </c>
      <c r="G96" s="1976"/>
      <c r="I96" s="1977">
        <f>SUM(E96)</f>
        <v>428601471</v>
      </c>
      <c r="J96" s="1985">
        <v>45896</v>
      </c>
      <c r="K96" s="1577">
        <f>SUM(I86:I87)</f>
        <v>25363787</v>
      </c>
      <c r="L96" s="107">
        <v>4</v>
      </c>
      <c r="M96" s="1288"/>
    </row>
    <row r="97" spans="1:13" ht="12" thickBot="1">
      <c r="A97" s="1972"/>
      <c r="B97" s="1973"/>
      <c r="C97" s="1974"/>
      <c r="D97" s="405" t="s">
        <v>230</v>
      </c>
      <c r="E97" s="1922">
        <f>SUM(E86:E96)</f>
        <v>668252304</v>
      </c>
      <c r="F97" s="1922">
        <f t="shared" ref="F97:H97" si="9">SUM(F86:F96)</f>
        <v>45533658</v>
      </c>
      <c r="G97" s="1922">
        <f t="shared" si="9"/>
        <v>0</v>
      </c>
      <c r="H97" s="1922">
        <f t="shared" si="9"/>
        <v>0</v>
      </c>
      <c r="I97" s="1922">
        <f>SUM(I86:I96)</f>
        <v>713785962</v>
      </c>
      <c r="J97" s="1985"/>
      <c r="K97" s="1577">
        <f>SUM(K95:K96)</f>
        <v>166172563</v>
      </c>
      <c r="L97" s="107"/>
      <c r="M97" s="1288"/>
    </row>
    <row r="98" spans="1:13">
      <c r="A98" s="1972">
        <v>45908</v>
      </c>
      <c r="B98" s="1973">
        <v>338</v>
      </c>
      <c r="C98" s="1974" t="s">
        <v>1685</v>
      </c>
      <c r="D98" s="1975" t="s">
        <v>1686</v>
      </c>
      <c r="E98" s="1974">
        <v>151177169</v>
      </c>
      <c r="F98" s="1974">
        <v>28723662</v>
      </c>
      <c r="G98" s="1976"/>
      <c r="H98" s="1977"/>
      <c r="I98" s="1977">
        <f>SUM(E98:G98)</f>
        <v>179900831</v>
      </c>
      <c r="J98" s="1985">
        <v>45915</v>
      </c>
      <c r="K98" s="129"/>
      <c r="L98" s="107"/>
      <c r="M98" s="1288"/>
    </row>
    <row r="99" spans="1:13">
      <c r="A99" s="1972">
        <v>45908</v>
      </c>
      <c r="B99" s="1973">
        <v>339</v>
      </c>
      <c r="C99" s="1974" t="s">
        <v>1264</v>
      </c>
      <c r="D99" s="1975" t="s">
        <v>1687</v>
      </c>
      <c r="E99" s="1974">
        <v>11473679</v>
      </c>
      <c r="F99" s="1974">
        <v>2179999</v>
      </c>
      <c r="G99" s="1976"/>
      <c r="H99" s="1977"/>
      <c r="I99" s="1977">
        <f>SUM(E99:G99)</f>
        <v>13653678</v>
      </c>
      <c r="J99" s="1985">
        <v>45915</v>
      </c>
      <c r="K99" s="129"/>
      <c r="L99" s="107"/>
      <c r="M99" s="1288"/>
    </row>
    <row r="100" spans="1:13">
      <c r="A100" s="2156">
        <v>45925</v>
      </c>
      <c r="B100" s="2157">
        <v>340</v>
      </c>
      <c r="C100" s="2158" t="s">
        <v>1724</v>
      </c>
      <c r="D100" s="1975" t="s">
        <v>1725</v>
      </c>
      <c r="E100" s="2158">
        <v>66745864</v>
      </c>
      <c r="F100" s="2158">
        <v>12681714</v>
      </c>
      <c r="G100" s="2114"/>
      <c r="H100" s="2115">
        <v>79427578</v>
      </c>
      <c r="I100" s="2115"/>
      <c r="J100" s="2116"/>
      <c r="K100" s="129"/>
      <c r="L100" s="107"/>
      <c r="M100" s="1288"/>
    </row>
    <row r="101" spans="1:13">
      <c r="A101" s="2156">
        <v>45925</v>
      </c>
      <c r="B101" s="2157">
        <v>341</v>
      </c>
      <c r="C101" s="2158" t="s">
        <v>366</v>
      </c>
      <c r="D101" s="2159" t="s">
        <v>1723</v>
      </c>
      <c r="E101" s="2158">
        <v>23657641</v>
      </c>
      <c r="F101" s="2158">
        <v>4494952</v>
      </c>
      <c r="G101" s="2114"/>
      <c r="H101" s="2115">
        <v>28152593</v>
      </c>
      <c r="I101" s="2115"/>
      <c r="J101" s="2116"/>
      <c r="K101" s="129"/>
      <c r="L101" s="107"/>
      <c r="M101" s="1288"/>
    </row>
    <row r="102" spans="1:13">
      <c r="A102" s="2156">
        <v>45925</v>
      </c>
      <c r="B102" s="2157">
        <v>342</v>
      </c>
      <c r="C102" s="2158" t="s">
        <v>350</v>
      </c>
      <c r="D102" s="2159" t="s">
        <v>1723</v>
      </c>
      <c r="E102" s="2158">
        <v>13946282</v>
      </c>
      <c r="F102" s="2158">
        <v>2649794</v>
      </c>
      <c r="G102" s="2114"/>
      <c r="H102" s="2115">
        <v>16596076</v>
      </c>
      <c r="I102" s="2115"/>
      <c r="J102" s="2116"/>
      <c r="K102" s="129"/>
      <c r="L102" s="107"/>
      <c r="M102" s="1288"/>
    </row>
    <row r="103" spans="1:13">
      <c r="A103" s="2264">
        <v>45929</v>
      </c>
      <c r="B103" s="2265">
        <v>343</v>
      </c>
      <c r="C103" s="2266" t="s">
        <v>557</v>
      </c>
      <c r="D103" s="2256" t="s">
        <v>1777</v>
      </c>
      <c r="E103" s="2266">
        <v>1369760</v>
      </c>
      <c r="F103" s="2266">
        <v>260254</v>
      </c>
      <c r="G103" s="2267"/>
      <c r="H103" s="2268">
        <v>1630014</v>
      </c>
      <c r="I103" s="2268"/>
      <c r="J103" s="2269"/>
      <c r="K103" s="129"/>
      <c r="L103" s="107"/>
      <c r="M103" s="1288"/>
    </row>
    <row r="104" spans="1:13">
      <c r="A104" s="2264">
        <v>45929</v>
      </c>
      <c r="B104" s="2265">
        <v>344</v>
      </c>
      <c r="C104" s="2266" t="s">
        <v>557</v>
      </c>
      <c r="D104" s="2256" t="s">
        <v>1776</v>
      </c>
      <c r="E104" s="2266">
        <v>20117722</v>
      </c>
      <c r="F104" s="2266">
        <v>3822367</v>
      </c>
      <c r="G104" s="2267"/>
      <c r="H104" s="2268">
        <v>23940089</v>
      </c>
      <c r="I104" s="2268"/>
      <c r="J104" s="2269"/>
      <c r="K104" s="129"/>
      <c r="L104" s="107"/>
      <c r="M104" s="1288"/>
    </row>
    <row r="105" spans="1:13" ht="12" thickBot="1">
      <c r="A105" s="2156">
        <v>45929</v>
      </c>
      <c r="B105" s="2157">
        <v>345</v>
      </c>
      <c r="C105" s="2158" t="s">
        <v>1125</v>
      </c>
      <c r="D105" s="2159" t="s">
        <v>1778</v>
      </c>
      <c r="E105" s="2158">
        <v>17260200</v>
      </c>
      <c r="F105" s="2158">
        <v>3279438</v>
      </c>
      <c r="G105" s="2114"/>
      <c r="H105" s="2115">
        <v>20539638</v>
      </c>
      <c r="I105" s="2115"/>
      <c r="J105" s="2116"/>
      <c r="K105" s="129"/>
      <c r="L105" s="107"/>
      <c r="M105" s="1288"/>
    </row>
    <row r="106" spans="1:13" ht="12" thickBot="1">
      <c r="A106" s="1972"/>
      <c r="B106" s="1973"/>
      <c r="C106" s="1974"/>
      <c r="D106" s="405" t="s">
        <v>230</v>
      </c>
      <c r="E106" s="1922">
        <f>SUM(E98:E105)</f>
        <v>305748317</v>
      </c>
      <c r="F106" s="1922">
        <f t="shared" ref="F106:H106" si="10">SUM(F98:F105)</f>
        <v>58092180</v>
      </c>
      <c r="G106" s="1922">
        <f t="shared" si="10"/>
        <v>0</v>
      </c>
      <c r="H106" s="1922">
        <f t="shared" si="10"/>
        <v>170285988</v>
      </c>
      <c r="I106" s="1922">
        <f>SUM(I98:I105)</f>
        <v>193554509</v>
      </c>
      <c r="J106" s="1922"/>
      <c r="K106" s="1577">
        <f>SUM(K104:K105)</f>
        <v>0</v>
      </c>
      <c r="L106" s="107"/>
      <c r="M106" s="1288"/>
    </row>
    <row r="107" spans="1:13">
      <c r="A107" s="2156">
        <v>45933</v>
      </c>
      <c r="B107" s="2157">
        <v>346</v>
      </c>
      <c r="C107" s="1974" t="s">
        <v>177</v>
      </c>
      <c r="D107" s="2159" t="s">
        <v>1779</v>
      </c>
      <c r="E107" s="2158">
        <v>33578597</v>
      </c>
      <c r="F107" s="2158">
        <v>6379933</v>
      </c>
      <c r="G107" s="2114"/>
      <c r="H107" s="2115">
        <f>SUM(E107:F107)</f>
        <v>39958530</v>
      </c>
      <c r="I107" s="2115"/>
      <c r="J107" s="2116"/>
      <c r="K107" s="129"/>
      <c r="L107" s="107"/>
      <c r="M107" s="1288"/>
    </row>
    <row r="108" spans="1:13">
      <c r="A108" s="1972">
        <v>45936</v>
      </c>
      <c r="B108" s="1973">
        <v>347</v>
      </c>
      <c r="C108" s="1974" t="s">
        <v>557</v>
      </c>
      <c r="D108" s="1975" t="s">
        <v>1801</v>
      </c>
      <c r="E108" s="1974">
        <v>25979584</v>
      </c>
      <c r="F108" s="1974">
        <v>4936121</v>
      </c>
      <c r="G108" s="1976"/>
      <c r="H108" s="1977">
        <v>30915705</v>
      </c>
      <c r="I108" s="1977"/>
      <c r="J108" s="1985"/>
      <c r="K108" s="129"/>
      <c r="L108" s="107"/>
      <c r="M108" s="1288"/>
    </row>
    <row r="109" spans="1:13" ht="13.5" customHeight="1" thickBot="1">
      <c r="A109" s="1972"/>
      <c r="B109" s="1973"/>
      <c r="C109" s="1974"/>
      <c r="D109" s="1975"/>
      <c r="E109" s="1974"/>
      <c r="F109" s="1974"/>
      <c r="G109" s="1976"/>
      <c r="H109" s="1977"/>
      <c r="I109" s="1977"/>
      <c r="J109" s="1985"/>
      <c r="K109" s="129"/>
      <c r="L109" s="107"/>
      <c r="M109" s="1586"/>
    </row>
    <row r="110" spans="1:13" ht="12" thickBot="1">
      <c r="A110" s="914"/>
      <c r="B110" s="915"/>
      <c r="C110" s="916"/>
      <c r="D110" s="405" t="s">
        <v>230</v>
      </c>
      <c r="E110" s="1922">
        <f>SUM(E107:E109)</f>
        <v>59558181</v>
      </c>
      <c r="F110" s="1922">
        <f>SUM(F107:F109)</f>
        <v>11316054</v>
      </c>
      <c r="G110" s="1922">
        <f t="shared" ref="G110" si="11">SUM(G107:G109)</f>
        <v>0</v>
      </c>
      <c r="H110" s="1922">
        <f>SUM(H107:H109)</f>
        <v>70874235</v>
      </c>
      <c r="I110" s="1922">
        <f>SUM(I107:I109)</f>
        <v>0</v>
      </c>
      <c r="J110" s="1527"/>
      <c r="K110" s="129"/>
      <c r="L110" s="140"/>
      <c r="M110" s="140"/>
    </row>
    <row r="111" spans="1:13" ht="12" thickBot="1">
      <c r="A111" s="1321"/>
      <c r="D111" s="1987" t="s">
        <v>1360</v>
      </c>
      <c r="E111" s="1945">
        <f>SUM(E110,E106,E97,E85,E77,E69,E57,E47,E36,E29,E16)</f>
        <v>3878521469</v>
      </c>
      <c r="F111" s="1945">
        <f t="shared" ref="F111:I111" si="12">SUM(F110,F106,F97,F85,F77,F69,F57,F47,F36,F29,F16)</f>
        <v>658700431</v>
      </c>
      <c r="G111" s="1945">
        <f>SUM(G110,G106,G97,G85,G77,G69,G57,G47,G36,G29,G16)</f>
        <v>16924383.350000001</v>
      </c>
      <c r="H111" s="1945">
        <f>SUM(H110,H106,H97,H85,H77,H69,H57,H47,H36,H29,H16)</f>
        <v>241160223</v>
      </c>
      <c r="I111" s="1945">
        <f t="shared" si="12"/>
        <v>4296061677</v>
      </c>
      <c r="J111" s="1209"/>
      <c r="K111" s="379"/>
      <c r="M111" s="140"/>
    </row>
    <row r="112" spans="1:13">
      <c r="A112" s="104" t="s">
        <v>549</v>
      </c>
      <c r="C112" s="162"/>
      <c r="D112" s="162"/>
      <c r="E112" s="106"/>
      <c r="F112" s="106"/>
      <c r="G112" s="106">
        <f>SUM(E111:G111)</f>
        <v>4554146283.3500004</v>
      </c>
      <c r="H112" s="106"/>
      <c r="I112" s="106">
        <f>SUM(G111:I111)</f>
        <v>4554146283.3500004</v>
      </c>
      <c r="J112" s="129"/>
      <c r="K112" s="108"/>
      <c r="M112" s="140"/>
    </row>
    <row r="116" spans="5:8">
      <c r="E116" s="2288">
        <v>45910</v>
      </c>
    </row>
    <row r="117" spans="5:8">
      <c r="E117" s="2080">
        <v>83787872.260000005</v>
      </c>
      <c r="H117" s="104">
        <v>16</v>
      </c>
    </row>
    <row r="118" spans="5:8">
      <c r="E118" s="2080">
        <v>170000000</v>
      </c>
      <c r="H118" s="104">
        <v>39600</v>
      </c>
    </row>
    <row r="119" spans="5:8">
      <c r="G119" s="2080">
        <v>159000000</v>
      </c>
    </row>
    <row r="120" spans="5:8">
      <c r="E120" s="186">
        <f>SUM(E117:E118)</f>
        <v>253787872.25999999</v>
      </c>
      <c r="H120" s="2080">
        <f>+H117*H118</f>
        <v>633600</v>
      </c>
    </row>
    <row r="121" spans="5:8">
      <c r="G121" s="186">
        <f>SUM(G119/30)</f>
        <v>5300000</v>
      </c>
    </row>
    <row r="122" spans="5:8">
      <c r="G122" s="186">
        <f>SUM(G121/12)</f>
        <v>441666.66666666669</v>
      </c>
    </row>
  </sheetData>
  <autoFilter ref="A1:J94" xr:uid="{F13674D2-2D69-4B36-A051-9BE766525A6A}"/>
  <phoneticPr fontId="12" type="noConversion"/>
  <pageMargins left="0.7" right="0.7" top="0.75" bottom="0.75" header="0.3" footer="0.3"/>
  <pageSetup scale="68" orientation="landscape" horizontalDpi="4294967295" verticalDpi="4294967295" r:id="rId1"/>
  <colBreaks count="1" manualBreakCount="1">
    <brk id="1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CAD8-3E59-4E9B-94F5-326BC1324A2B}">
  <sheetPr codeName="Hoja19"/>
  <dimension ref="B2:I26"/>
  <sheetViews>
    <sheetView workbookViewId="0">
      <selection activeCell="F17" sqref="F17"/>
    </sheetView>
  </sheetViews>
  <sheetFormatPr baseColWidth="10" defaultRowHeight="15"/>
  <cols>
    <col min="1" max="1" width="4.5" customWidth="1"/>
    <col min="3" max="3" width="8.5" customWidth="1"/>
    <col min="4" max="4" width="26.5" customWidth="1"/>
    <col min="5" max="5" width="29.5" customWidth="1"/>
  </cols>
  <sheetData>
    <row r="2" spans="2:9">
      <c r="B2" s="159">
        <v>45653</v>
      </c>
      <c r="C2" s="160">
        <v>247</v>
      </c>
      <c r="D2" s="164" t="s">
        <v>491</v>
      </c>
      <c r="E2" s="321" t="s">
        <v>492</v>
      </c>
      <c r="F2" s="164">
        <v>31007618</v>
      </c>
      <c r="G2" s="164">
        <v>5891447</v>
      </c>
      <c r="H2" s="193">
        <f>+F2+G2</f>
        <v>36899065</v>
      </c>
      <c r="I2" s="194">
        <v>45698</v>
      </c>
    </row>
    <row r="3" spans="2:9">
      <c r="B3" s="159">
        <v>45653</v>
      </c>
      <c r="C3" s="160">
        <v>248</v>
      </c>
      <c r="D3" s="164" t="s">
        <v>491</v>
      </c>
      <c r="E3" s="394" t="s">
        <v>493</v>
      </c>
      <c r="F3" s="164">
        <v>127765165</v>
      </c>
      <c r="G3" s="164">
        <v>24275381</v>
      </c>
      <c r="H3" s="193">
        <f>+F3+G3</f>
        <v>152040546</v>
      </c>
      <c r="I3" s="194">
        <v>45698</v>
      </c>
    </row>
    <row r="4" spans="2:9">
      <c r="B4" s="104"/>
      <c r="C4" s="104"/>
      <c r="D4" s="104"/>
      <c r="E4" s="384" t="s">
        <v>579</v>
      </c>
      <c r="F4" s="395">
        <f>SUM(F2:F3)</f>
        <v>158772783</v>
      </c>
      <c r="G4" s="395">
        <f>SUM(G2:G3)</f>
        <v>30166828</v>
      </c>
      <c r="H4" s="395">
        <f>SUM(H2:H3)</f>
        <v>188939611</v>
      </c>
      <c r="I4" s="104"/>
    </row>
    <row r="5" spans="2:9">
      <c r="B5" s="104"/>
      <c r="C5" s="104"/>
      <c r="D5" s="104"/>
      <c r="E5" s="104"/>
      <c r="F5" s="104"/>
      <c r="G5" s="104"/>
      <c r="H5" s="104"/>
      <c r="I5" s="104"/>
    </row>
    <row r="6" spans="2:9">
      <c r="B6" s="146">
        <v>45665</v>
      </c>
      <c r="C6" s="132">
        <v>251</v>
      </c>
      <c r="D6" s="133" t="s">
        <v>177</v>
      </c>
      <c r="E6" s="119" t="s">
        <v>435</v>
      </c>
      <c r="F6" s="133">
        <v>41976916</v>
      </c>
      <c r="G6" s="133">
        <v>8395383</v>
      </c>
      <c r="H6" s="195">
        <f t="shared" ref="H6:H12" si="0">SUM(F6:G6)</f>
        <v>50372299</v>
      </c>
      <c r="I6" s="149">
        <v>45672</v>
      </c>
    </row>
    <row r="7" spans="2:9">
      <c r="B7" s="146">
        <v>45667</v>
      </c>
      <c r="C7" s="132">
        <v>252</v>
      </c>
      <c r="D7" s="133" t="s">
        <v>177</v>
      </c>
      <c r="E7" s="119" t="s">
        <v>496</v>
      </c>
      <c r="F7" s="133">
        <v>117830934</v>
      </c>
      <c r="G7" s="133">
        <v>22387877</v>
      </c>
      <c r="H7" s="195">
        <f t="shared" si="0"/>
        <v>140218811</v>
      </c>
      <c r="I7" s="149">
        <v>45700</v>
      </c>
    </row>
    <row r="8" spans="2:9">
      <c r="B8" s="146">
        <v>45667</v>
      </c>
      <c r="C8" s="132">
        <v>253</v>
      </c>
      <c r="D8" s="133" t="s">
        <v>473</v>
      </c>
      <c r="E8" s="119" t="s">
        <v>395</v>
      </c>
      <c r="F8" s="133">
        <v>34170570</v>
      </c>
      <c r="G8" s="133">
        <v>6492408</v>
      </c>
      <c r="H8" s="195">
        <f t="shared" si="0"/>
        <v>40662978</v>
      </c>
      <c r="I8" s="149">
        <v>45695</v>
      </c>
    </row>
    <row r="9" spans="2:9">
      <c r="B9" s="146">
        <v>45667</v>
      </c>
      <c r="C9" s="132">
        <v>254</v>
      </c>
      <c r="D9" s="133" t="s">
        <v>185</v>
      </c>
      <c r="E9" s="119" t="s">
        <v>474</v>
      </c>
      <c r="F9" s="133">
        <v>14077368</v>
      </c>
      <c r="G9" s="133">
        <v>2674700</v>
      </c>
      <c r="H9" s="195">
        <f t="shared" si="0"/>
        <v>16752068</v>
      </c>
      <c r="I9" s="149">
        <v>45700</v>
      </c>
    </row>
    <row r="10" spans="2:9">
      <c r="B10" s="146">
        <v>45667</v>
      </c>
      <c r="C10" s="132">
        <v>255</v>
      </c>
      <c r="D10" s="133" t="s">
        <v>185</v>
      </c>
      <c r="E10" s="119" t="s">
        <v>475</v>
      </c>
      <c r="F10" s="133">
        <v>32070646</v>
      </c>
      <c r="G10" s="133">
        <v>6093423</v>
      </c>
      <c r="H10" s="195">
        <f t="shared" si="0"/>
        <v>38164069</v>
      </c>
      <c r="I10" s="149">
        <v>45700</v>
      </c>
    </row>
    <row r="11" spans="2:9">
      <c r="B11" s="146">
        <v>45667</v>
      </c>
      <c r="C11" s="132">
        <v>256</v>
      </c>
      <c r="D11" s="133" t="s">
        <v>185</v>
      </c>
      <c r="E11" s="119" t="s">
        <v>476</v>
      </c>
      <c r="F11" s="133">
        <v>10801809</v>
      </c>
      <c r="G11" s="133">
        <v>2052344</v>
      </c>
      <c r="H11" s="195">
        <f t="shared" si="0"/>
        <v>12854153</v>
      </c>
      <c r="I11" s="149">
        <v>45700</v>
      </c>
    </row>
    <row r="12" spans="2:9">
      <c r="B12" s="146">
        <v>45667</v>
      </c>
      <c r="C12" s="132">
        <v>257</v>
      </c>
      <c r="D12" s="133" t="s">
        <v>185</v>
      </c>
      <c r="E12" s="119" t="s">
        <v>477</v>
      </c>
      <c r="F12" s="133">
        <v>18001350</v>
      </c>
      <c r="G12" s="133">
        <v>3420257</v>
      </c>
      <c r="H12" s="195">
        <f t="shared" si="0"/>
        <v>21421607</v>
      </c>
      <c r="I12" s="149">
        <v>45700</v>
      </c>
    </row>
    <row r="13" spans="2:9">
      <c r="B13" s="146">
        <v>45671</v>
      </c>
      <c r="C13" s="132">
        <v>258</v>
      </c>
      <c r="D13" s="133" t="s">
        <v>483</v>
      </c>
      <c r="E13" s="119" t="s">
        <v>484</v>
      </c>
      <c r="F13" s="133">
        <v>655462</v>
      </c>
      <c r="G13" s="133">
        <v>124538</v>
      </c>
      <c r="H13" s="195">
        <v>780000</v>
      </c>
      <c r="I13" s="149">
        <v>45684</v>
      </c>
    </row>
    <row r="14" spans="2:9">
      <c r="B14" s="146">
        <v>45684</v>
      </c>
      <c r="C14" s="132">
        <v>260</v>
      </c>
      <c r="D14" s="133" t="s">
        <v>497</v>
      </c>
      <c r="E14" s="133" t="s">
        <v>499</v>
      </c>
      <c r="F14" s="133">
        <v>14564501</v>
      </c>
      <c r="G14" s="133">
        <v>2767255</v>
      </c>
      <c r="H14" s="195">
        <f>SUM(F14:G14)</f>
        <v>17331756</v>
      </c>
      <c r="I14" s="149">
        <v>45695</v>
      </c>
    </row>
    <row r="15" spans="2:9">
      <c r="B15" s="146">
        <v>45684</v>
      </c>
      <c r="C15" s="132">
        <v>261</v>
      </c>
      <c r="D15" s="133" t="s">
        <v>177</v>
      </c>
      <c r="E15" s="119" t="s">
        <v>498</v>
      </c>
      <c r="F15" s="133">
        <v>33111261</v>
      </c>
      <c r="G15" s="133">
        <v>6291140</v>
      </c>
      <c r="H15" s="195">
        <f>SUM(F15:G15)</f>
        <v>39402401</v>
      </c>
      <c r="I15" s="149">
        <v>45714</v>
      </c>
    </row>
    <row r="16" spans="2:9">
      <c r="B16" s="104"/>
      <c r="C16" s="104"/>
      <c r="D16" s="104"/>
      <c r="E16" s="104" t="s">
        <v>577</v>
      </c>
      <c r="F16" s="395">
        <f>SUM(F6:F15)</f>
        <v>317260817</v>
      </c>
      <c r="G16" s="395">
        <f>SUM(G6:G15)</f>
        <v>60699325</v>
      </c>
      <c r="H16" s="395">
        <f>SUM(H6:H15)</f>
        <v>377960142</v>
      </c>
      <c r="I16" s="104"/>
    </row>
    <row r="17" spans="2:9">
      <c r="B17" s="104"/>
      <c r="C17" s="104"/>
      <c r="D17" s="104"/>
      <c r="E17" s="104"/>
      <c r="F17" s="104"/>
      <c r="G17" s="104"/>
      <c r="H17" s="162"/>
      <c r="I17" s="104"/>
    </row>
    <row r="18" spans="2:9">
      <c r="B18" s="104"/>
      <c r="C18" s="104"/>
      <c r="D18" s="104"/>
      <c r="E18" s="397" t="s">
        <v>230</v>
      </c>
      <c r="F18" s="398">
        <f>SUM(F4+F16)</f>
        <v>476033600</v>
      </c>
      <c r="G18" s="104"/>
      <c r="H18" s="162"/>
      <c r="I18" s="104"/>
    </row>
    <row r="19" spans="2:9" ht="16" thickBot="1">
      <c r="B19" s="104"/>
      <c r="C19" s="104"/>
      <c r="D19" s="104"/>
      <c r="E19" s="104"/>
      <c r="F19" s="104"/>
      <c r="G19" s="104"/>
      <c r="H19" s="104"/>
      <c r="I19" s="104"/>
    </row>
    <row r="20" spans="2:9">
      <c r="B20" s="348">
        <v>45663</v>
      </c>
      <c r="C20" s="349">
        <v>249</v>
      </c>
      <c r="D20" s="376" t="s">
        <v>185</v>
      </c>
      <c r="E20" s="347" t="s">
        <v>437</v>
      </c>
      <c r="F20" s="376">
        <v>36951935</v>
      </c>
      <c r="G20" s="376">
        <v>7020868</v>
      </c>
      <c r="H20" s="377">
        <f>SUM(F20:G20)</f>
        <v>43972803</v>
      </c>
      <c r="I20" s="378">
        <v>45693</v>
      </c>
    </row>
    <row r="21" spans="2:9">
      <c r="B21" s="380">
        <v>45663</v>
      </c>
      <c r="C21" s="345">
        <v>250</v>
      </c>
      <c r="D21" s="346" t="s">
        <v>185</v>
      </c>
      <c r="E21" s="381" t="s">
        <v>438</v>
      </c>
      <c r="F21" s="346">
        <v>51959455</v>
      </c>
      <c r="G21" s="346">
        <v>9872296</v>
      </c>
      <c r="H21" s="382">
        <f>SUM(F21:G21)</f>
        <v>61831751</v>
      </c>
      <c r="I21" s="383">
        <v>45693</v>
      </c>
    </row>
    <row r="22" spans="2:9">
      <c r="B22" s="104"/>
      <c r="C22" s="104"/>
      <c r="D22" s="104"/>
      <c r="E22" s="104" t="s">
        <v>578</v>
      </c>
      <c r="F22" s="104"/>
      <c r="G22" s="104" t="s">
        <v>576</v>
      </c>
      <c r="H22" s="162">
        <f>SUM(H20:H21)</f>
        <v>105804554</v>
      </c>
      <c r="I22" s="104"/>
    </row>
    <row r="23" spans="2:9">
      <c r="B23" s="104"/>
      <c r="C23" s="104"/>
      <c r="D23" s="104"/>
      <c r="E23" s="104"/>
      <c r="F23" s="104"/>
      <c r="G23" s="104"/>
      <c r="H23" s="104"/>
      <c r="I23" s="104"/>
    </row>
    <row r="24" spans="2:9">
      <c r="B24" s="104"/>
      <c r="C24" s="104"/>
      <c r="D24" s="104"/>
      <c r="E24" s="104"/>
      <c r="F24" s="104"/>
      <c r="G24" s="104"/>
      <c r="H24" s="104"/>
      <c r="I24" s="104"/>
    </row>
    <row r="25" spans="2:9">
      <c r="B25" s="104"/>
      <c r="C25" s="104"/>
      <c r="D25" s="104"/>
      <c r="E25" s="396" t="s">
        <v>580</v>
      </c>
      <c r="F25" s="104"/>
      <c r="G25" s="104"/>
      <c r="H25" s="104"/>
      <c r="I25" s="104"/>
    </row>
    <row r="26" spans="2:9">
      <c r="B26" s="146">
        <v>45677</v>
      </c>
      <c r="C26" s="132">
        <v>259</v>
      </c>
      <c r="D26" s="133" t="s">
        <v>485</v>
      </c>
      <c r="E26" s="119" t="s">
        <v>486</v>
      </c>
      <c r="F26" s="133">
        <v>81846288</v>
      </c>
      <c r="G26" s="133">
        <v>15550795</v>
      </c>
      <c r="H26" s="148"/>
      <c r="I26" s="195">
        <f>SUM(F26:G26)</f>
        <v>97397083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E0B6-5743-4E30-89CD-349429065DC2}">
  <sheetPr codeName="Hoja20"/>
  <dimension ref="B2:K18"/>
  <sheetViews>
    <sheetView workbookViewId="0">
      <selection activeCell="E21" sqref="E21"/>
    </sheetView>
  </sheetViews>
  <sheetFormatPr baseColWidth="10" defaultRowHeight="15"/>
  <cols>
    <col min="1" max="1" width="2.83203125" customWidth="1"/>
    <col min="3" max="3" width="7.83203125" customWidth="1"/>
    <col min="4" max="4" width="25.5" bestFit="1" customWidth="1"/>
    <col min="5" max="5" width="43.5" customWidth="1"/>
  </cols>
  <sheetData>
    <row r="2" spans="2:11" ht="16" thickBot="1">
      <c r="B2" s="104"/>
      <c r="C2" s="104"/>
      <c r="D2" s="104"/>
      <c r="E2" s="214"/>
      <c r="F2" s="108"/>
      <c r="G2" s="108"/>
      <c r="H2" s="186"/>
      <c r="I2" s="108"/>
      <c r="J2" s="108"/>
      <c r="K2" s="105" t="s">
        <v>337</v>
      </c>
    </row>
    <row r="3" spans="2:11">
      <c r="B3" s="104"/>
      <c r="C3" s="104"/>
      <c r="D3" s="104"/>
      <c r="E3" s="396" t="s">
        <v>581</v>
      </c>
      <c r="F3" s="140" t="s">
        <v>548</v>
      </c>
      <c r="G3" s="104"/>
      <c r="H3" s="114" t="s">
        <v>157</v>
      </c>
      <c r="I3" s="112" t="s">
        <v>158</v>
      </c>
      <c r="J3" s="320"/>
    </row>
    <row r="4" spans="2:11">
      <c r="B4" s="400">
        <v>45677</v>
      </c>
      <c r="C4" s="401">
        <v>259</v>
      </c>
      <c r="D4" s="184" t="s">
        <v>485</v>
      </c>
      <c r="E4" s="402" t="s">
        <v>486</v>
      </c>
      <c r="F4" s="184">
        <v>81846288</v>
      </c>
      <c r="G4" s="184">
        <v>15550795</v>
      </c>
      <c r="H4" s="403">
        <f>SUM(F4:G4)</f>
        <v>97397083</v>
      </c>
      <c r="I4" s="195"/>
      <c r="J4" s="149"/>
    </row>
    <row r="5" spans="2:11">
      <c r="B5" s="104"/>
      <c r="C5" s="104"/>
      <c r="D5" s="104"/>
      <c r="E5" s="104"/>
      <c r="F5" s="104"/>
      <c r="G5" s="104"/>
      <c r="H5" s="104"/>
      <c r="I5" s="104"/>
      <c r="J5" s="104"/>
    </row>
    <row r="6" spans="2:11">
      <c r="B6" s="385">
        <v>45712</v>
      </c>
      <c r="C6" s="281">
        <v>262</v>
      </c>
      <c r="D6" s="282" t="s">
        <v>497</v>
      </c>
      <c r="E6" s="282" t="s">
        <v>550</v>
      </c>
      <c r="F6" s="282">
        <v>7736812</v>
      </c>
      <c r="G6" s="282">
        <v>1469994</v>
      </c>
      <c r="H6" s="386">
        <v>9206806</v>
      </c>
      <c r="I6" s="387"/>
      <c r="J6" s="388"/>
    </row>
    <row r="7" spans="2:11">
      <c r="B7" s="385">
        <v>45712</v>
      </c>
      <c r="C7" s="281">
        <v>263</v>
      </c>
      <c r="D7" s="282" t="s">
        <v>177</v>
      </c>
      <c r="E7" s="316" t="s">
        <v>551</v>
      </c>
      <c r="F7" s="282">
        <v>9265729</v>
      </c>
      <c r="G7" s="282">
        <v>1853146</v>
      </c>
      <c r="H7" s="386"/>
      <c r="I7" s="392">
        <f>SUM(F7:G7)</f>
        <v>11118875</v>
      </c>
      <c r="J7" s="388">
        <v>45716</v>
      </c>
    </row>
    <row r="8" spans="2:11">
      <c r="B8" s="385">
        <v>45712</v>
      </c>
      <c r="C8" s="281">
        <v>264</v>
      </c>
      <c r="D8" s="282" t="s">
        <v>177</v>
      </c>
      <c r="E8" s="316" t="s">
        <v>552</v>
      </c>
      <c r="F8" s="282">
        <v>44047733</v>
      </c>
      <c r="G8" s="282">
        <v>8369069</v>
      </c>
      <c r="H8" s="386">
        <v>52416802</v>
      </c>
      <c r="I8" s="386"/>
      <c r="J8" s="388"/>
    </row>
    <row r="9" spans="2:11">
      <c r="B9" s="385">
        <v>45712</v>
      </c>
      <c r="C9" s="281">
        <v>265</v>
      </c>
      <c r="D9" s="282" t="s">
        <v>177</v>
      </c>
      <c r="E9" s="316" t="s">
        <v>553</v>
      </c>
      <c r="F9" s="282">
        <v>67426546</v>
      </c>
      <c r="G9" s="282">
        <v>13485309</v>
      </c>
      <c r="H9" s="386"/>
      <c r="I9" s="392">
        <f>SUM(F9:G9)</f>
        <v>80911855</v>
      </c>
      <c r="J9" s="388">
        <v>45716</v>
      </c>
    </row>
    <row r="10" spans="2:11">
      <c r="B10" s="385">
        <v>45712</v>
      </c>
      <c r="C10" s="281">
        <v>266</v>
      </c>
      <c r="D10" s="282" t="s">
        <v>497</v>
      </c>
      <c r="E10" s="316" t="s">
        <v>554</v>
      </c>
      <c r="F10" s="282">
        <v>30291258</v>
      </c>
      <c r="G10" s="282">
        <v>5755339</v>
      </c>
      <c r="H10" s="386">
        <f>SUM(F10:G10)</f>
        <v>36046597</v>
      </c>
      <c r="I10" s="386"/>
      <c r="J10" s="388"/>
    </row>
    <row r="11" spans="2:11">
      <c r="B11" s="385">
        <v>45714</v>
      </c>
      <c r="C11" s="281">
        <v>267</v>
      </c>
      <c r="D11" s="282" t="s">
        <v>555</v>
      </c>
      <c r="E11" s="316" t="s">
        <v>556</v>
      </c>
      <c r="F11" s="282">
        <v>82945096</v>
      </c>
      <c r="G11" s="282">
        <v>15759568</v>
      </c>
      <c r="H11" s="386">
        <f>SUM(F11:G11)</f>
        <v>98704664</v>
      </c>
      <c r="I11" s="386"/>
      <c r="J11" s="388"/>
    </row>
    <row r="12" spans="2:11">
      <c r="B12" s="385">
        <v>45716</v>
      </c>
      <c r="C12" s="281">
        <v>268</v>
      </c>
      <c r="D12" s="282" t="s">
        <v>557</v>
      </c>
      <c r="E12" s="316" t="s">
        <v>558</v>
      </c>
      <c r="F12" s="282">
        <v>4907728</v>
      </c>
      <c r="G12" s="282">
        <v>932468</v>
      </c>
      <c r="H12" s="386">
        <f>SUM(F12:G12)</f>
        <v>5840196</v>
      </c>
      <c r="I12" s="386"/>
      <c r="J12" s="388"/>
    </row>
    <row r="13" spans="2:11">
      <c r="B13" s="104"/>
      <c r="C13" s="104"/>
      <c r="D13" s="104"/>
      <c r="E13" s="404" t="s">
        <v>582</v>
      </c>
      <c r="F13" s="399">
        <f>SUM(F6:F12)</f>
        <v>246620902</v>
      </c>
      <c r="G13" s="399">
        <f>SUM(G6:G12)</f>
        <v>47624893</v>
      </c>
      <c r="H13" s="399">
        <f>SUM(H6:H12)</f>
        <v>202215065</v>
      </c>
      <c r="I13" s="399">
        <f>SUM(I6:I12)</f>
        <v>92030730</v>
      </c>
      <c r="J13" s="104"/>
    </row>
    <row r="14" spans="2:11">
      <c r="B14" s="104"/>
      <c r="C14" s="104"/>
      <c r="D14" s="104"/>
      <c r="E14" s="405"/>
      <c r="F14" s="406"/>
      <c r="G14" s="406"/>
      <c r="H14" s="406"/>
      <c r="I14" s="406"/>
      <c r="J14" s="104"/>
    </row>
    <row r="15" spans="2:11">
      <c r="B15" s="104"/>
      <c r="C15" s="104"/>
      <c r="D15" s="104"/>
      <c r="E15" s="404" t="s">
        <v>584</v>
      </c>
      <c r="F15" s="399">
        <f>SUM(F4+F13)</f>
        <v>328467190</v>
      </c>
      <c r="G15" s="399">
        <f>SUM(G4+G13)</f>
        <v>63175688</v>
      </c>
      <c r="H15" s="399">
        <f>SUM(H4+H13)</f>
        <v>299612148</v>
      </c>
      <c r="I15" s="399">
        <f>SUM(I4+I13)</f>
        <v>92030730</v>
      </c>
      <c r="J15" s="162">
        <f>SUM(H15:I15)-I7-I9</f>
        <v>299612148</v>
      </c>
    </row>
    <row r="16" spans="2:11">
      <c r="B16" s="104"/>
      <c r="C16" s="104"/>
      <c r="D16" s="141" t="s">
        <v>583</v>
      </c>
      <c r="E16" s="104"/>
      <c r="F16" s="107"/>
      <c r="G16" s="104"/>
      <c r="H16" s="104"/>
      <c r="I16" s="104"/>
      <c r="J16" s="104"/>
    </row>
    <row r="17" spans="2:10">
      <c r="B17" s="385">
        <v>45719</v>
      </c>
      <c r="C17" s="281">
        <v>269</v>
      </c>
      <c r="D17" s="282" t="s">
        <v>559</v>
      </c>
      <c r="E17" s="282" t="s">
        <v>560</v>
      </c>
      <c r="F17" s="282">
        <v>29416169</v>
      </c>
      <c r="G17" s="282">
        <v>5589072</v>
      </c>
      <c r="H17" s="386">
        <f>SUM(F17+G17)</f>
        <v>35005241</v>
      </c>
      <c r="I17" s="386"/>
      <c r="J17" s="388"/>
    </row>
    <row r="18" spans="2:10">
      <c r="B18" s="104"/>
      <c r="C18" s="104"/>
      <c r="D18" s="104"/>
      <c r="F18" s="104"/>
      <c r="G18" s="104"/>
      <c r="H18" s="104"/>
      <c r="I18" s="104"/>
      <c r="J18" s="10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303B-DE17-42CD-926A-D01F2FFB90A3}">
  <sheetPr codeName="Hoja21">
    <tabColor rgb="FFFFFF00"/>
  </sheetPr>
  <dimension ref="A1:F9"/>
  <sheetViews>
    <sheetView workbookViewId="0">
      <selection activeCell="E18" sqref="E18"/>
    </sheetView>
  </sheetViews>
  <sheetFormatPr baseColWidth="10" defaultRowHeight="15"/>
  <cols>
    <col min="2" max="2" width="16" customWidth="1"/>
    <col min="4" max="4" width="12" bestFit="1" customWidth="1"/>
    <col min="5" max="5" width="12.5" bestFit="1" customWidth="1"/>
    <col min="6" max="6" width="55.5" bestFit="1" customWidth="1"/>
  </cols>
  <sheetData>
    <row r="1" spans="1:6" ht="16" thickBot="1">
      <c r="A1" s="176" t="s">
        <v>311</v>
      </c>
      <c r="B1" s="177" t="s">
        <v>144</v>
      </c>
      <c r="C1" s="177" t="s">
        <v>312</v>
      </c>
      <c r="D1" s="178" t="s">
        <v>313</v>
      </c>
      <c r="E1" s="177" t="s">
        <v>314</v>
      </c>
      <c r="F1" s="176" t="s">
        <v>315</v>
      </c>
    </row>
    <row r="2" spans="1:6" ht="16" thickTop="1">
      <c r="A2">
        <v>1</v>
      </c>
      <c r="B2" s="179"/>
      <c r="C2" s="179" t="s">
        <v>316</v>
      </c>
      <c r="D2" s="180" t="s">
        <v>317</v>
      </c>
      <c r="E2" s="181">
        <v>100</v>
      </c>
      <c r="F2" t="s">
        <v>318</v>
      </c>
    </row>
    <row r="3" spans="1:6">
      <c r="A3">
        <v>2</v>
      </c>
      <c r="B3" s="179"/>
      <c r="C3" s="179" t="s">
        <v>316</v>
      </c>
      <c r="D3" s="180" t="s">
        <v>317</v>
      </c>
      <c r="E3" s="181">
        <v>98</v>
      </c>
      <c r="F3" t="s">
        <v>319</v>
      </c>
    </row>
    <row r="4" spans="1:6">
      <c r="A4">
        <v>3</v>
      </c>
      <c r="B4" s="182">
        <v>45287</v>
      </c>
      <c r="C4" s="179" t="s">
        <v>320</v>
      </c>
      <c r="D4" s="180" t="s">
        <v>317</v>
      </c>
      <c r="E4" s="181">
        <v>200</v>
      </c>
      <c r="F4" t="s">
        <v>321</v>
      </c>
    </row>
    <row r="5" spans="1:6">
      <c r="A5">
        <v>4</v>
      </c>
      <c r="B5" s="182">
        <v>45288</v>
      </c>
      <c r="C5" s="179" t="s">
        <v>320</v>
      </c>
      <c r="D5" s="180" t="s">
        <v>316</v>
      </c>
      <c r="E5" s="181">
        <v>55</v>
      </c>
      <c r="F5" t="s">
        <v>322</v>
      </c>
    </row>
    <row r="6" spans="1:6">
      <c r="A6">
        <v>5</v>
      </c>
      <c r="B6" s="97">
        <v>45325</v>
      </c>
      <c r="C6" s="179" t="s">
        <v>323</v>
      </c>
      <c r="D6" s="180" t="s">
        <v>320</v>
      </c>
      <c r="E6" s="181">
        <v>50</v>
      </c>
      <c r="F6" t="s">
        <v>324</v>
      </c>
    </row>
    <row r="7" spans="1:6">
      <c r="A7">
        <v>6</v>
      </c>
      <c r="B7" s="97">
        <v>45442</v>
      </c>
      <c r="C7" s="179" t="s">
        <v>320</v>
      </c>
      <c r="D7" s="180" t="s">
        <v>316</v>
      </c>
      <c r="E7" s="181">
        <v>60</v>
      </c>
      <c r="F7" t="s">
        <v>325</v>
      </c>
    </row>
    <row r="8" spans="1:6">
      <c r="A8">
        <v>7</v>
      </c>
      <c r="B8" s="97">
        <v>45448</v>
      </c>
      <c r="C8" s="179" t="s">
        <v>320</v>
      </c>
      <c r="D8" s="180" t="s">
        <v>316</v>
      </c>
      <c r="E8" s="181">
        <v>70</v>
      </c>
      <c r="F8" t="s">
        <v>326</v>
      </c>
    </row>
    <row r="9" spans="1:6">
      <c r="A9">
        <v>8</v>
      </c>
      <c r="B9" s="97">
        <v>45492</v>
      </c>
      <c r="C9" s="179" t="s">
        <v>320</v>
      </c>
      <c r="D9" s="180" t="s">
        <v>316</v>
      </c>
      <c r="E9" s="181">
        <v>16</v>
      </c>
      <c r="F9" t="s">
        <v>335</v>
      </c>
    </row>
  </sheetData>
  <phoneticPr fontId="1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1711-640C-4A33-9801-ADE80023CDB6}">
  <sheetPr codeName="Hoja22"/>
  <dimension ref="A2:C23"/>
  <sheetViews>
    <sheetView workbookViewId="0">
      <selection activeCell="A2" sqref="A2:C23"/>
    </sheetView>
  </sheetViews>
  <sheetFormatPr baseColWidth="10" defaultRowHeight="15"/>
  <sheetData>
    <row r="2" spans="1:3" ht="16" thickBot="1">
      <c r="A2" s="2516" t="s">
        <v>463</v>
      </c>
      <c r="B2" s="2516"/>
      <c r="C2" s="2516"/>
    </row>
    <row r="3" spans="1:3" ht="16" thickBot="1">
      <c r="A3" s="290" t="s">
        <v>464</v>
      </c>
      <c r="B3" s="291" t="s">
        <v>465</v>
      </c>
      <c r="C3" s="292" t="s">
        <v>466</v>
      </c>
    </row>
    <row r="4" spans="1:3">
      <c r="A4" s="293" t="s">
        <v>467</v>
      </c>
      <c r="B4" s="294">
        <v>172983.82699999999</v>
      </c>
      <c r="C4" s="295">
        <v>0</v>
      </c>
    </row>
    <row r="5" spans="1:3">
      <c r="A5" s="296">
        <v>45471</v>
      </c>
      <c r="B5" s="297">
        <v>0</v>
      </c>
      <c r="C5" s="298">
        <v>28330.2</v>
      </c>
    </row>
    <row r="6" spans="1:3">
      <c r="A6" s="296">
        <v>45471</v>
      </c>
      <c r="B6" s="297">
        <v>0</v>
      </c>
      <c r="C6" s="298">
        <v>28330.2</v>
      </c>
    </row>
    <row r="7" spans="1:3">
      <c r="A7" s="296">
        <v>45473</v>
      </c>
      <c r="B7" s="299">
        <v>56660.4</v>
      </c>
      <c r="C7" s="300">
        <v>0</v>
      </c>
    </row>
    <row r="8" spans="1:3">
      <c r="A8" s="296">
        <v>45473</v>
      </c>
      <c r="B8" s="299">
        <v>66103.8</v>
      </c>
      <c r="C8" s="300">
        <v>0</v>
      </c>
    </row>
    <row r="9" spans="1:3">
      <c r="A9" s="296">
        <v>45350</v>
      </c>
      <c r="B9" s="297">
        <v>0</v>
      </c>
      <c r="C9" s="300">
        <v>33000</v>
      </c>
    </row>
    <row r="10" spans="1:3">
      <c r="A10" s="296">
        <v>45350</v>
      </c>
      <c r="B10" s="297">
        <v>0</v>
      </c>
      <c r="C10" s="300">
        <v>67000.001999999993</v>
      </c>
    </row>
    <row r="11" spans="1:3">
      <c r="A11" s="296">
        <v>45443</v>
      </c>
      <c r="B11" s="297">
        <v>0</v>
      </c>
      <c r="C11" s="300">
        <v>75884.021999999997</v>
      </c>
    </row>
    <row r="12" spans="1:3">
      <c r="A12" s="296">
        <v>45464</v>
      </c>
      <c r="B12" s="297">
        <v>100000</v>
      </c>
      <c r="C12" s="300">
        <v>0</v>
      </c>
    </row>
    <row r="13" spans="1:3">
      <c r="A13" s="296">
        <v>45464</v>
      </c>
      <c r="B13" s="297">
        <v>100000</v>
      </c>
      <c r="C13" s="300">
        <v>0</v>
      </c>
    </row>
    <row r="14" spans="1:3">
      <c r="A14" s="296">
        <v>45464</v>
      </c>
      <c r="B14" s="297">
        <v>100000</v>
      </c>
      <c r="C14" s="300">
        <v>0</v>
      </c>
    </row>
    <row r="15" spans="1:3">
      <c r="A15" s="296">
        <v>45481</v>
      </c>
      <c r="B15" s="297">
        <v>0</v>
      </c>
      <c r="C15" s="300">
        <v>70000</v>
      </c>
    </row>
    <row r="16" spans="1:3">
      <c r="A16" s="296">
        <v>45532</v>
      </c>
      <c r="B16" s="297">
        <v>0</v>
      </c>
      <c r="C16" s="300">
        <v>30474.998</v>
      </c>
    </row>
    <row r="17" spans="1:3">
      <c r="A17" s="296">
        <v>45532</v>
      </c>
      <c r="B17" s="297">
        <v>0</v>
      </c>
      <c r="C17" s="300">
        <v>69531.591</v>
      </c>
    </row>
    <row r="18" spans="1:3">
      <c r="A18" s="296">
        <v>45546</v>
      </c>
      <c r="B18" s="297">
        <v>100000</v>
      </c>
      <c r="C18" s="301">
        <v>0</v>
      </c>
    </row>
    <row r="19" spans="1:3" ht="16" thickBot="1">
      <c r="A19" s="302">
        <v>45642</v>
      </c>
      <c r="B19" s="303">
        <v>0</v>
      </c>
      <c r="C19" s="304">
        <v>100000</v>
      </c>
    </row>
    <row r="20" spans="1:3" ht="16" thickBot="1">
      <c r="A20" s="305" t="s">
        <v>31</v>
      </c>
      <c r="B20" s="306">
        <f>SUM(B4:B19)</f>
        <v>695748.027</v>
      </c>
      <c r="C20" s="307">
        <f>SUM(C4:C19)</f>
        <v>502551.01300000004</v>
      </c>
    </row>
    <row r="21" spans="1:3">
      <c r="A21" s="2517" t="s">
        <v>468</v>
      </c>
      <c r="B21" s="2518"/>
      <c r="C21" s="308">
        <f>SUM(B20-C20)</f>
        <v>193197.01399999997</v>
      </c>
    </row>
    <row r="22" spans="1:3">
      <c r="A22" s="2519" t="s">
        <v>469</v>
      </c>
      <c r="B22" s="2520"/>
      <c r="C22" s="309">
        <v>18092</v>
      </c>
    </row>
    <row r="23" spans="1:3" ht="16" thickBot="1">
      <c r="A23" s="2521" t="s">
        <v>470</v>
      </c>
      <c r="B23" s="2522"/>
      <c r="C23" s="310">
        <f>SUM(C21:C22)</f>
        <v>211289.01399999997</v>
      </c>
    </row>
  </sheetData>
  <mergeCells count="4">
    <mergeCell ref="A2:C2"/>
    <mergeCell ref="A21:B21"/>
    <mergeCell ref="A22:B22"/>
    <mergeCell ref="A23:B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E82-F7EF-4078-840E-A24AF32D8560}">
  <sheetPr codeName="Hoja23"/>
  <dimension ref="A1:J18"/>
  <sheetViews>
    <sheetView workbookViewId="0">
      <selection activeCell="D18" sqref="D18"/>
    </sheetView>
  </sheetViews>
  <sheetFormatPr baseColWidth="10" defaultRowHeight="15"/>
  <cols>
    <col min="4" max="4" width="52.1640625" customWidth="1"/>
  </cols>
  <sheetData>
    <row r="1" spans="1:10" ht="16" thickBot="1"/>
    <row r="2" spans="1:10">
      <c r="A2" s="110" t="s">
        <v>151</v>
      </c>
      <c r="B2" s="111" t="s">
        <v>152</v>
      </c>
      <c r="C2" s="111" t="s">
        <v>22</v>
      </c>
      <c r="D2" s="111" t="s">
        <v>153</v>
      </c>
      <c r="E2" s="111" t="s">
        <v>154</v>
      </c>
      <c r="F2" s="112" t="s">
        <v>155</v>
      </c>
      <c r="G2" s="113" t="s">
        <v>156</v>
      </c>
      <c r="H2" s="114" t="s">
        <v>157</v>
      </c>
      <c r="I2" s="112" t="s">
        <v>158</v>
      </c>
      <c r="J2" s="115" t="s">
        <v>159</v>
      </c>
    </row>
    <row r="3" spans="1:10">
      <c r="A3" s="2253">
        <v>45716</v>
      </c>
      <c r="B3" s="2254">
        <v>268</v>
      </c>
      <c r="C3" s="2255" t="s">
        <v>557</v>
      </c>
      <c r="D3" s="2256" t="s">
        <v>558</v>
      </c>
      <c r="E3" s="2257">
        <v>4907728</v>
      </c>
      <c r="F3" s="2257">
        <v>932468</v>
      </c>
      <c r="G3" s="2258"/>
      <c r="H3" s="2259"/>
      <c r="I3" s="2259">
        <f>SUM(E3:F3)</f>
        <v>5840196</v>
      </c>
      <c r="J3" s="2261">
        <v>45743</v>
      </c>
    </row>
    <row r="4" spans="1:10">
      <c r="A4" s="2253">
        <v>45744</v>
      </c>
      <c r="B4" s="2254">
        <v>282</v>
      </c>
      <c r="C4" s="2255" t="s">
        <v>557</v>
      </c>
      <c r="D4" s="2256" t="s">
        <v>972</v>
      </c>
      <c r="E4" s="2257">
        <v>9723072</v>
      </c>
      <c r="F4" s="2257">
        <v>1847384</v>
      </c>
      <c r="G4" s="2258"/>
      <c r="H4" s="2259"/>
      <c r="I4" s="2259">
        <f>SUM(E4:F4)</f>
        <v>11570456</v>
      </c>
      <c r="J4" s="2260">
        <v>45771</v>
      </c>
    </row>
    <row r="5" spans="1:10">
      <c r="A5" s="2253">
        <v>45768</v>
      </c>
      <c r="B5" s="2254">
        <v>287</v>
      </c>
      <c r="C5" s="2255" t="s">
        <v>557</v>
      </c>
      <c r="D5" s="2256" t="s">
        <v>1319</v>
      </c>
      <c r="E5" s="2255">
        <v>37559143</v>
      </c>
      <c r="F5" s="2255">
        <v>7136237</v>
      </c>
      <c r="G5" s="2262"/>
      <c r="H5" s="2263"/>
      <c r="I5" s="2263">
        <f>SUM(E5:F5)</f>
        <v>44695380</v>
      </c>
      <c r="J5" s="2260">
        <v>45792</v>
      </c>
    </row>
    <row r="6" spans="1:10">
      <c r="A6" s="2253">
        <v>45804</v>
      </c>
      <c r="B6" s="2254">
        <v>305</v>
      </c>
      <c r="C6" s="2255" t="s">
        <v>557</v>
      </c>
      <c r="D6" s="2256" t="s">
        <v>1515</v>
      </c>
      <c r="E6" s="2255">
        <v>62829846</v>
      </c>
      <c r="F6" s="2255">
        <v>11937671</v>
      </c>
      <c r="G6" s="2262"/>
      <c r="H6" s="2263"/>
      <c r="I6" s="2263">
        <v>74767517</v>
      </c>
      <c r="J6" s="2260">
        <v>45839</v>
      </c>
    </row>
    <row r="7" spans="1:10">
      <c r="A7" s="2253">
        <v>45846</v>
      </c>
      <c r="B7" s="2254">
        <v>319</v>
      </c>
      <c r="C7" s="2255" t="s">
        <v>557</v>
      </c>
      <c r="D7" s="2256" t="s">
        <v>1520</v>
      </c>
      <c r="E7" s="2255">
        <v>16552341</v>
      </c>
      <c r="F7" s="2255">
        <v>3144945</v>
      </c>
      <c r="G7" s="2262"/>
      <c r="H7" s="2263"/>
      <c r="I7" s="2263">
        <f>SUM(E7:F7)</f>
        <v>19697286</v>
      </c>
      <c r="J7" s="2260">
        <v>45876</v>
      </c>
    </row>
    <row r="8" spans="1:10">
      <c r="A8" s="2253">
        <v>45873</v>
      </c>
      <c r="B8" s="2254">
        <v>328</v>
      </c>
      <c r="C8" s="2255" t="s">
        <v>557</v>
      </c>
      <c r="D8" s="2256" t="s">
        <v>1524</v>
      </c>
      <c r="E8" s="2255">
        <v>17999771</v>
      </c>
      <c r="F8" s="2255">
        <v>3419956</v>
      </c>
      <c r="G8" s="2262"/>
      <c r="H8" s="2263"/>
      <c r="I8" s="2263">
        <v>21419727</v>
      </c>
      <c r="J8" s="2260">
        <v>45897</v>
      </c>
    </row>
    <row r="9" spans="1:10">
      <c r="A9" s="2253">
        <v>45896</v>
      </c>
      <c r="B9" s="2254">
        <v>335</v>
      </c>
      <c r="C9" s="2255" t="s">
        <v>557</v>
      </c>
      <c r="D9" s="2256" t="s">
        <v>1643</v>
      </c>
      <c r="E9" s="2255">
        <v>3311403</v>
      </c>
      <c r="F9" s="2255">
        <v>629167</v>
      </c>
      <c r="G9" s="2262"/>
      <c r="H9" s="2263"/>
      <c r="I9" s="2263">
        <v>3940570</v>
      </c>
      <c r="J9" s="2261">
        <v>45925</v>
      </c>
    </row>
    <row r="10" spans="1:10">
      <c r="A10" s="914"/>
      <c r="B10" s="915"/>
      <c r="C10" s="917"/>
      <c r="D10" s="2272" t="s">
        <v>212</v>
      </c>
      <c r="E10" s="1984">
        <f>SUM(E3:E9)</f>
        <v>152883304</v>
      </c>
      <c r="F10" s="1984">
        <f>SUM(F3:F9)</f>
        <v>29047828</v>
      </c>
      <c r="G10" s="2273"/>
      <c r="H10" s="2271"/>
      <c r="I10" s="2271">
        <f>SUM(I3:I9)</f>
        <v>181931132</v>
      </c>
      <c r="J10" s="129"/>
    </row>
    <row r="11" spans="1:10">
      <c r="A11" s="914"/>
      <c r="B11" s="915"/>
      <c r="C11" s="917"/>
      <c r="D11" s="1831"/>
      <c r="E11" s="917"/>
      <c r="F11" s="917"/>
      <c r="G11" s="202"/>
      <c r="H11" s="2270"/>
      <c r="I11" s="2270"/>
      <c r="J11" s="129"/>
    </row>
    <row r="13" spans="1:10">
      <c r="A13" s="2264">
        <v>45929</v>
      </c>
      <c r="B13" s="2265">
        <v>343</v>
      </c>
      <c r="C13" s="2266" t="s">
        <v>557</v>
      </c>
      <c r="D13" s="2256" t="s">
        <v>1777</v>
      </c>
      <c r="E13" s="2266">
        <v>1369760</v>
      </c>
      <c r="F13" s="2266">
        <v>260254</v>
      </c>
      <c r="G13" s="2267"/>
      <c r="H13" s="2268">
        <v>1630014</v>
      </c>
      <c r="I13" s="2268"/>
      <c r="J13" s="2269"/>
    </row>
    <row r="14" spans="1:10">
      <c r="A14" s="2264">
        <v>45929</v>
      </c>
      <c r="B14" s="2265">
        <v>344</v>
      </c>
      <c r="C14" s="2266" t="s">
        <v>557</v>
      </c>
      <c r="D14" s="2256" t="s">
        <v>1776</v>
      </c>
      <c r="E14" s="2266">
        <v>20117722</v>
      </c>
      <c r="F14" s="2266">
        <v>3822367</v>
      </c>
      <c r="G14" s="2267"/>
      <c r="H14" s="2268">
        <v>23940089</v>
      </c>
      <c r="I14" s="2268"/>
      <c r="J14" s="2269"/>
    </row>
    <row r="15" spans="1:10">
      <c r="D15" s="2272" t="s">
        <v>212</v>
      </c>
      <c r="E15" s="1984">
        <f>SUM(E13:E14)</f>
        <v>21487482</v>
      </c>
      <c r="F15" s="1984">
        <f>SUM(F13:F14)</f>
        <v>4082621</v>
      </c>
      <c r="G15" s="2274"/>
      <c r="H15" s="2271">
        <f>SUM(H13:H14)</f>
        <v>25570103</v>
      </c>
    </row>
    <row r="18" spans="5:5">
      <c r="E18" s="79">
        <f>SUM(E10+E15)</f>
        <v>174370786</v>
      </c>
    </row>
  </sheetData>
  <sortState xmlns:xlrd2="http://schemas.microsoft.com/office/spreadsheetml/2017/richdata2" ref="A3:J9">
    <sortCondition ref="J3:J9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2195-68D7-43C9-94F9-5E45E40E2B78}">
  <sheetPr codeName="Hoja24"/>
  <dimension ref="A1:E70"/>
  <sheetViews>
    <sheetView zoomScale="80" zoomScaleNormal="80" workbookViewId="0">
      <selection activeCell="E70" sqref="E70"/>
    </sheetView>
  </sheetViews>
  <sheetFormatPr baseColWidth="10" defaultRowHeight="15"/>
  <cols>
    <col min="3" max="3" width="28.5" bestFit="1" customWidth="1"/>
    <col min="4" max="4" width="63.5" bestFit="1" customWidth="1"/>
  </cols>
  <sheetData>
    <row r="1" spans="1:5">
      <c r="A1" s="925"/>
      <c r="B1" s="925"/>
      <c r="C1" s="925"/>
      <c r="D1" s="925"/>
      <c r="E1" s="925"/>
    </row>
    <row r="2" spans="1:5">
      <c r="A2" s="31" t="s">
        <v>146</v>
      </c>
      <c r="B2" s="31"/>
      <c r="C2" s="31"/>
      <c r="D2" s="31"/>
    </row>
    <row r="3" spans="1:5">
      <c r="A3" s="31" t="s">
        <v>147</v>
      </c>
      <c r="B3" s="31"/>
      <c r="C3" s="31"/>
      <c r="D3" s="31"/>
    </row>
    <row r="4" spans="1:5">
      <c r="D4" s="31" t="s">
        <v>149</v>
      </c>
    </row>
    <row r="5" spans="1:5" ht="16" thickBot="1"/>
    <row r="6" spans="1:5">
      <c r="A6" s="1238" t="s">
        <v>151</v>
      </c>
      <c r="B6" s="1239" t="s">
        <v>152</v>
      </c>
      <c r="C6" s="1239" t="s">
        <v>22</v>
      </c>
      <c r="D6" s="1239" t="s">
        <v>153</v>
      </c>
      <c r="E6" s="1240" t="s">
        <v>156</v>
      </c>
    </row>
    <row r="7" spans="1:5">
      <c r="A7" s="1241">
        <v>44777</v>
      </c>
      <c r="B7" s="898">
        <v>477</v>
      </c>
      <c r="C7" s="907" t="s">
        <v>1055</v>
      </c>
      <c r="D7" s="907" t="s">
        <v>1056</v>
      </c>
      <c r="E7" s="1242">
        <v>508530</v>
      </c>
    </row>
    <row r="8" spans="1:5">
      <c r="A8" s="1241">
        <v>44809</v>
      </c>
      <c r="B8" s="898">
        <v>481</v>
      </c>
      <c r="C8" s="1243" t="s">
        <v>1055</v>
      </c>
      <c r="D8" s="907" t="s">
        <v>1057</v>
      </c>
      <c r="E8" s="1242">
        <v>1904185</v>
      </c>
    </row>
    <row r="9" spans="1:5">
      <c r="A9" s="1241">
        <v>44838</v>
      </c>
      <c r="B9" s="898">
        <v>486</v>
      </c>
      <c r="C9" s="1243" t="s">
        <v>1055</v>
      </c>
      <c r="D9" s="907" t="s">
        <v>1058</v>
      </c>
      <c r="E9" s="1242">
        <v>2633504</v>
      </c>
    </row>
    <row r="10" spans="1:5">
      <c r="A10" s="1241">
        <v>44869</v>
      </c>
      <c r="B10" s="898">
        <v>492</v>
      </c>
      <c r="C10" s="1243" t="s">
        <v>1055</v>
      </c>
      <c r="D10" s="907" t="s">
        <v>1059</v>
      </c>
      <c r="E10" s="1242">
        <v>3316815</v>
      </c>
    </row>
    <row r="11" spans="1:5">
      <c r="A11" s="1241">
        <v>44901</v>
      </c>
      <c r="B11" s="898">
        <v>493</v>
      </c>
      <c r="C11" s="1243" t="s">
        <v>1055</v>
      </c>
      <c r="D11" s="907" t="s">
        <v>1060</v>
      </c>
      <c r="E11" s="1242">
        <v>1397346.25</v>
      </c>
    </row>
    <row r="12" spans="1:5">
      <c r="A12" s="1241">
        <v>44901</v>
      </c>
      <c r="B12" s="898">
        <v>494</v>
      </c>
      <c r="C12" s="1243" t="s">
        <v>1055</v>
      </c>
      <c r="D12" s="1243" t="s">
        <v>1061</v>
      </c>
      <c r="E12" s="1242">
        <v>1573321.25</v>
      </c>
    </row>
    <row r="13" spans="1:5">
      <c r="A13" s="1244">
        <v>44931</v>
      </c>
      <c r="B13" s="1245">
        <v>39</v>
      </c>
      <c r="C13" s="1243" t="s">
        <v>1055</v>
      </c>
      <c r="D13" s="1243" t="s">
        <v>1062</v>
      </c>
      <c r="E13" s="1242">
        <v>1951789.55</v>
      </c>
    </row>
    <row r="14" spans="1:5">
      <c r="A14" s="1244">
        <v>44932</v>
      </c>
      <c r="B14" s="1245">
        <v>40</v>
      </c>
      <c r="C14" s="1243" t="s">
        <v>1055</v>
      </c>
      <c r="D14" s="1243" t="s">
        <v>1063</v>
      </c>
      <c r="E14" s="1242">
        <v>1699129.75</v>
      </c>
    </row>
    <row r="15" spans="1:5">
      <c r="A15" s="1244">
        <v>44936</v>
      </c>
      <c r="B15" s="1245">
        <v>42</v>
      </c>
      <c r="C15" s="1243" t="s">
        <v>1055</v>
      </c>
      <c r="D15" s="1243" t="s">
        <v>1064</v>
      </c>
      <c r="E15" s="1242">
        <v>2061542.25</v>
      </c>
    </row>
    <row r="16" spans="1:5">
      <c r="A16" s="1244">
        <v>44964</v>
      </c>
      <c r="B16" s="1245">
        <v>45</v>
      </c>
      <c r="C16" s="1243" t="s">
        <v>177</v>
      </c>
      <c r="D16" s="1243" t="s">
        <v>1065</v>
      </c>
      <c r="E16" s="1242">
        <v>2090433.1</v>
      </c>
    </row>
    <row r="17" spans="1:5">
      <c r="A17" s="1244">
        <v>44964</v>
      </c>
      <c r="B17" s="1245">
        <v>46</v>
      </c>
      <c r="C17" s="1243" t="s">
        <v>177</v>
      </c>
      <c r="D17" s="1243" t="s">
        <v>1066</v>
      </c>
      <c r="E17" s="1242">
        <v>4869437.9000000004</v>
      </c>
    </row>
    <row r="18" spans="1:5">
      <c r="A18" s="1244">
        <v>44980</v>
      </c>
      <c r="B18" s="1245">
        <v>47</v>
      </c>
      <c r="C18" s="1243" t="s">
        <v>1055</v>
      </c>
      <c r="D18" s="1243" t="s">
        <v>1067</v>
      </c>
      <c r="E18" s="1242">
        <v>121271</v>
      </c>
    </row>
    <row r="19" spans="1:5">
      <c r="A19" s="1244">
        <v>44992</v>
      </c>
      <c r="B19" s="1245">
        <v>54</v>
      </c>
      <c r="C19" s="1243" t="s">
        <v>1055</v>
      </c>
      <c r="D19" s="1243" t="s">
        <v>1068</v>
      </c>
      <c r="E19" s="1242">
        <v>1493135</v>
      </c>
    </row>
    <row r="20" spans="1:5">
      <c r="A20" s="1244">
        <v>44994</v>
      </c>
      <c r="B20" s="1245">
        <v>56</v>
      </c>
      <c r="C20" s="1243" t="s">
        <v>177</v>
      </c>
      <c r="D20" s="1243" t="s">
        <v>1069</v>
      </c>
      <c r="E20" s="1242">
        <v>4074505.8000000003</v>
      </c>
    </row>
    <row r="21" spans="1:5">
      <c r="A21" s="1244">
        <v>44994</v>
      </c>
      <c r="B21" s="1245">
        <v>57</v>
      </c>
      <c r="C21" s="1243" t="s">
        <v>177</v>
      </c>
      <c r="D21" s="1243" t="s">
        <v>1070</v>
      </c>
      <c r="E21" s="1242">
        <v>3303749.6</v>
      </c>
    </row>
    <row r="22" spans="1:5">
      <c r="A22" s="1244">
        <v>45021</v>
      </c>
      <c r="B22" s="1245">
        <v>59</v>
      </c>
      <c r="C22" s="1243" t="s">
        <v>177</v>
      </c>
      <c r="D22" s="1243" t="s">
        <v>1071</v>
      </c>
      <c r="E22" s="1242">
        <v>853140</v>
      </c>
    </row>
    <row r="23" spans="1:5">
      <c r="A23" s="1244">
        <v>45021</v>
      </c>
      <c r="B23" s="1245">
        <v>60</v>
      </c>
      <c r="C23" s="1243" t="s">
        <v>177</v>
      </c>
      <c r="D23" s="1243" t="s">
        <v>1072</v>
      </c>
      <c r="E23" s="1242">
        <v>8319762</v>
      </c>
    </row>
    <row r="24" spans="1:5">
      <c r="A24" s="1244">
        <v>45021</v>
      </c>
      <c r="B24" s="1245">
        <v>61</v>
      </c>
      <c r="C24" s="1243" t="s">
        <v>177</v>
      </c>
      <c r="D24" s="1243" t="s">
        <v>1073</v>
      </c>
      <c r="E24" s="1242">
        <v>3291979</v>
      </c>
    </row>
    <row r="25" spans="1:5">
      <c r="A25" s="1244">
        <v>45030</v>
      </c>
      <c r="B25" s="1245">
        <v>63</v>
      </c>
      <c r="C25" s="1243" t="s">
        <v>177</v>
      </c>
      <c r="D25" s="1243" t="s">
        <v>1074</v>
      </c>
      <c r="E25" s="1242">
        <v>1394917</v>
      </c>
    </row>
    <row r="26" spans="1:5">
      <c r="A26" s="1246">
        <v>45055</v>
      </c>
      <c r="B26" s="1245">
        <v>66</v>
      </c>
      <c r="C26" s="1243" t="s">
        <v>177</v>
      </c>
      <c r="D26" s="1247" t="s">
        <v>1075</v>
      </c>
      <c r="E26" s="1242">
        <v>2373120</v>
      </c>
    </row>
    <row r="27" spans="1:5">
      <c r="A27" s="1246">
        <v>45056</v>
      </c>
      <c r="B27" s="1245">
        <v>67</v>
      </c>
      <c r="C27" s="1243" t="s">
        <v>177</v>
      </c>
      <c r="D27" s="1247" t="s">
        <v>1076</v>
      </c>
      <c r="E27" s="1242">
        <v>2221599</v>
      </c>
    </row>
    <row r="28" spans="1:5">
      <c r="A28" s="1246">
        <v>45057</v>
      </c>
      <c r="B28" s="1245">
        <v>68</v>
      </c>
      <c r="C28" s="1243" t="s">
        <v>177</v>
      </c>
      <c r="D28" s="1247" t="s">
        <v>1077</v>
      </c>
      <c r="E28" s="1242">
        <v>3398534</v>
      </c>
    </row>
    <row r="29" spans="1:5">
      <c r="A29" s="1246">
        <v>45077</v>
      </c>
      <c r="B29" s="1245">
        <v>74</v>
      </c>
      <c r="C29" s="1243" t="s">
        <v>177</v>
      </c>
      <c r="D29" s="1247" t="s">
        <v>1078</v>
      </c>
      <c r="E29" s="1242">
        <v>1682557</v>
      </c>
    </row>
    <row r="30" spans="1:5">
      <c r="A30" s="1246">
        <v>45077</v>
      </c>
      <c r="B30" s="1245">
        <v>75</v>
      </c>
      <c r="C30" s="1243" t="s">
        <v>177</v>
      </c>
      <c r="D30" s="1247" t="s">
        <v>1079</v>
      </c>
      <c r="E30" s="1242">
        <v>2241245.75</v>
      </c>
    </row>
    <row r="31" spans="1:5">
      <c r="A31" s="1246">
        <v>45077</v>
      </c>
      <c r="B31" s="1245">
        <v>76</v>
      </c>
      <c r="C31" s="1243" t="s">
        <v>177</v>
      </c>
      <c r="D31" s="1247" t="s">
        <v>1080</v>
      </c>
      <c r="E31" s="1242">
        <v>1177915</v>
      </c>
    </row>
    <row r="32" spans="1:5">
      <c r="A32" s="1246">
        <v>45078</v>
      </c>
      <c r="B32" s="1245">
        <v>77</v>
      </c>
      <c r="C32" s="1243" t="s">
        <v>177</v>
      </c>
      <c r="D32" s="1247" t="s">
        <v>1081</v>
      </c>
      <c r="E32" s="1242">
        <v>777304.5</v>
      </c>
    </row>
    <row r="33" spans="1:5">
      <c r="A33" s="1244">
        <v>45083</v>
      </c>
      <c r="B33" s="1245">
        <v>79</v>
      </c>
      <c r="C33" s="1243" t="s">
        <v>177</v>
      </c>
      <c r="D33" s="1243" t="s">
        <v>1082</v>
      </c>
      <c r="E33" s="1242">
        <v>4003773</v>
      </c>
    </row>
    <row r="34" spans="1:5">
      <c r="A34" s="1244">
        <v>45112</v>
      </c>
      <c r="B34" s="1245">
        <v>87</v>
      </c>
      <c r="C34" s="1248" t="s">
        <v>177</v>
      </c>
      <c r="D34" s="1248" t="s">
        <v>1083</v>
      </c>
      <c r="E34" s="1242">
        <v>3003144.75</v>
      </c>
    </row>
    <row r="35" spans="1:5">
      <c r="A35" s="1244">
        <v>45112</v>
      </c>
      <c r="B35" s="1245">
        <v>88</v>
      </c>
      <c r="C35" s="1248" t="s">
        <v>177</v>
      </c>
      <c r="D35" s="1248" t="s">
        <v>1084</v>
      </c>
      <c r="E35" s="1242">
        <v>1052184</v>
      </c>
    </row>
    <row r="36" spans="1:5">
      <c r="A36" s="1244">
        <v>45114</v>
      </c>
      <c r="B36" s="1245">
        <v>89</v>
      </c>
      <c r="C36" s="1248" t="s">
        <v>177</v>
      </c>
      <c r="D36" s="1248" t="s">
        <v>1085</v>
      </c>
      <c r="E36" s="1242">
        <v>992151</v>
      </c>
    </row>
    <row r="37" spans="1:5">
      <c r="A37" s="1244">
        <v>45142</v>
      </c>
      <c r="B37" s="1245">
        <v>98</v>
      </c>
      <c r="C37" s="1248" t="s">
        <v>177</v>
      </c>
      <c r="D37" s="1248" t="s">
        <v>1086</v>
      </c>
      <c r="E37" s="1242">
        <v>439144</v>
      </c>
    </row>
    <row r="38" spans="1:5">
      <c r="A38" s="1244">
        <v>45142</v>
      </c>
      <c r="B38" s="1245">
        <v>99</v>
      </c>
      <c r="C38" s="1248" t="s">
        <v>177</v>
      </c>
      <c r="D38" s="1248" t="s">
        <v>1087</v>
      </c>
      <c r="E38" s="1242">
        <v>1895690</v>
      </c>
    </row>
    <row r="39" spans="1:5">
      <c r="A39" s="1244">
        <v>45147</v>
      </c>
      <c r="B39" s="1245">
        <v>101</v>
      </c>
      <c r="C39" s="1248" t="s">
        <v>177</v>
      </c>
      <c r="D39" s="1248" t="s">
        <v>1088</v>
      </c>
      <c r="E39" s="1242">
        <v>1397169.7000000002</v>
      </c>
    </row>
    <row r="40" spans="1:5">
      <c r="A40" s="1244">
        <v>45169</v>
      </c>
      <c r="B40" s="1245">
        <v>102</v>
      </c>
      <c r="C40" s="1248" t="s">
        <v>177</v>
      </c>
      <c r="D40" s="1248" t="s">
        <v>1089</v>
      </c>
      <c r="E40" s="1242">
        <v>449280</v>
      </c>
    </row>
    <row r="41" spans="1:5">
      <c r="A41" s="1249">
        <v>45202</v>
      </c>
      <c r="B41" s="1250">
        <v>113</v>
      </c>
      <c r="C41" s="1248" t="s">
        <v>177</v>
      </c>
      <c r="D41" s="1248" t="s">
        <v>1090</v>
      </c>
      <c r="E41" s="1242">
        <v>1864360</v>
      </c>
    </row>
    <row r="42" spans="1:5">
      <c r="A42" s="1249">
        <v>45209</v>
      </c>
      <c r="B42" s="1250">
        <v>116</v>
      </c>
      <c r="C42" s="1248" t="s">
        <v>177</v>
      </c>
      <c r="D42" s="1248" t="s">
        <v>1091</v>
      </c>
      <c r="E42" s="1242">
        <v>1187902.1500000001</v>
      </c>
    </row>
    <row r="43" spans="1:5">
      <c r="A43" s="1249">
        <v>45209</v>
      </c>
      <c r="B43" s="1250">
        <v>117</v>
      </c>
      <c r="C43" s="1248" t="s">
        <v>177</v>
      </c>
      <c r="D43" s="1248" t="s">
        <v>1092</v>
      </c>
      <c r="E43" s="1242">
        <v>1700185</v>
      </c>
    </row>
    <row r="44" spans="1:5">
      <c r="A44" s="1249">
        <v>45217</v>
      </c>
      <c r="B44" s="1250">
        <v>120</v>
      </c>
      <c r="C44" s="1247" t="s">
        <v>177</v>
      </c>
      <c r="D44" s="1248" t="s">
        <v>1093</v>
      </c>
      <c r="E44" s="1242">
        <v>12336</v>
      </c>
    </row>
    <row r="45" spans="1:5">
      <c r="A45" s="1249">
        <v>45223</v>
      </c>
      <c r="B45" s="1250">
        <v>121</v>
      </c>
      <c r="C45" s="1248" t="s">
        <v>177</v>
      </c>
      <c r="D45" s="1248" t="s">
        <v>1094</v>
      </c>
      <c r="E45" s="1242">
        <v>1266370</v>
      </c>
    </row>
    <row r="46" spans="1:5">
      <c r="A46" s="1249">
        <v>45237</v>
      </c>
      <c r="B46" s="1250">
        <v>123</v>
      </c>
      <c r="C46" s="1248" t="s">
        <v>177</v>
      </c>
      <c r="D46" s="1248" t="s">
        <v>1095</v>
      </c>
      <c r="E46" s="1242">
        <v>2361663.85</v>
      </c>
    </row>
    <row r="47" spans="1:5">
      <c r="A47" s="1249">
        <v>45237</v>
      </c>
      <c r="B47" s="1250">
        <v>124</v>
      </c>
      <c r="C47" s="1248" t="s">
        <v>177</v>
      </c>
      <c r="D47" s="1248" t="s">
        <v>1096</v>
      </c>
      <c r="E47" s="1242">
        <v>998604.75</v>
      </c>
    </row>
    <row r="48" spans="1:5">
      <c r="A48" s="1249">
        <v>45237</v>
      </c>
      <c r="B48" s="1250">
        <v>125</v>
      </c>
      <c r="C48" s="1248" t="s">
        <v>177</v>
      </c>
      <c r="D48" s="1248" t="s">
        <v>1097</v>
      </c>
      <c r="E48" s="1242">
        <v>1640773.25</v>
      </c>
    </row>
    <row r="49" spans="1:5">
      <c r="A49" s="1249">
        <v>45244</v>
      </c>
      <c r="B49" s="1250">
        <v>126</v>
      </c>
      <c r="C49" s="1248" t="s">
        <v>177</v>
      </c>
      <c r="D49" s="1247" t="s">
        <v>1098</v>
      </c>
      <c r="E49" s="1242">
        <v>2760174.2</v>
      </c>
    </row>
    <row r="50" spans="1:5">
      <c r="A50" s="1249">
        <v>45265</v>
      </c>
      <c r="B50" s="1250">
        <v>127</v>
      </c>
      <c r="C50" s="1248" t="s">
        <v>177</v>
      </c>
      <c r="D50" s="1248" t="s">
        <v>1099</v>
      </c>
      <c r="E50" s="1242">
        <v>1378460.8</v>
      </c>
    </row>
    <row r="51" spans="1:5">
      <c r="A51" s="1249">
        <v>45267</v>
      </c>
      <c r="B51" s="1250">
        <v>129</v>
      </c>
      <c r="C51" s="1248" t="s">
        <v>177</v>
      </c>
      <c r="D51" s="1247" t="s">
        <v>1100</v>
      </c>
      <c r="E51" s="1242">
        <v>2810045.45</v>
      </c>
    </row>
    <row r="52" spans="1:5">
      <c r="A52" s="1249">
        <v>45296</v>
      </c>
      <c r="B52" s="1250">
        <v>136</v>
      </c>
      <c r="C52" s="1248" t="s">
        <v>177</v>
      </c>
      <c r="D52" s="1248" t="s">
        <v>179</v>
      </c>
      <c r="E52" s="1242">
        <v>2787353.4</v>
      </c>
    </row>
    <row r="53" spans="1:5">
      <c r="A53" s="1249">
        <v>45296</v>
      </c>
      <c r="B53" s="1250">
        <v>137</v>
      </c>
      <c r="C53" s="1248" t="s">
        <v>177</v>
      </c>
      <c r="D53" s="1248" t="s">
        <v>180</v>
      </c>
      <c r="E53" s="1242">
        <v>2262514.8000000003</v>
      </c>
    </row>
    <row r="54" spans="1:5">
      <c r="A54" s="1249">
        <v>45301</v>
      </c>
      <c r="B54" s="1250">
        <v>155</v>
      </c>
      <c r="C54" s="1248" t="s">
        <v>177</v>
      </c>
      <c r="D54" s="1248" t="s">
        <v>188</v>
      </c>
      <c r="E54" s="1242">
        <v>4001118</v>
      </c>
    </row>
    <row r="55" spans="1:5">
      <c r="A55" s="1249">
        <v>45329</v>
      </c>
      <c r="B55" s="1250">
        <v>160</v>
      </c>
      <c r="C55" s="1248" t="s">
        <v>177</v>
      </c>
      <c r="D55" s="1248" t="s">
        <v>192</v>
      </c>
      <c r="E55" s="1242">
        <v>1514202</v>
      </c>
    </row>
    <row r="56" spans="1:5">
      <c r="A56" s="1249">
        <v>45331</v>
      </c>
      <c r="B56" s="1250">
        <v>161</v>
      </c>
      <c r="C56" s="1248" t="s">
        <v>177</v>
      </c>
      <c r="D56" s="1248" t="s">
        <v>193</v>
      </c>
      <c r="E56" s="1242">
        <v>427501</v>
      </c>
    </row>
    <row r="57" spans="1:5">
      <c r="A57" s="1249">
        <v>45369</v>
      </c>
      <c r="B57" s="1250">
        <v>173</v>
      </c>
      <c r="C57" s="1248" t="s">
        <v>177</v>
      </c>
      <c r="D57" s="1248" t="s">
        <v>207</v>
      </c>
      <c r="E57" s="1242">
        <v>1762707.6</v>
      </c>
    </row>
    <row r="58" spans="1:5">
      <c r="A58" s="1249">
        <v>45394</v>
      </c>
      <c r="B58" s="1250">
        <v>177</v>
      </c>
      <c r="C58" s="1248" t="s">
        <v>177</v>
      </c>
      <c r="D58" s="1248" t="s">
        <v>211</v>
      </c>
      <c r="E58" s="1242">
        <v>334778.60000000003</v>
      </c>
    </row>
    <row r="59" spans="1:5">
      <c r="A59" s="1249">
        <v>45408</v>
      </c>
      <c r="B59" s="1250">
        <v>180</v>
      </c>
      <c r="C59" s="1248" t="s">
        <v>177</v>
      </c>
      <c r="D59" s="1248" t="s">
        <v>276</v>
      </c>
      <c r="E59" s="1242">
        <v>580418.9</v>
      </c>
    </row>
    <row r="60" spans="1:5">
      <c r="A60" s="1249">
        <v>45429</v>
      </c>
      <c r="B60" s="1250">
        <v>187</v>
      </c>
      <c r="C60" s="1248" t="s">
        <v>177</v>
      </c>
      <c r="D60" s="1248" t="s">
        <v>284</v>
      </c>
      <c r="E60" s="1242">
        <v>541494</v>
      </c>
    </row>
    <row r="61" spans="1:5">
      <c r="A61" s="1249">
        <v>45449</v>
      </c>
      <c r="B61" s="1250">
        <v>189</v>
      </c>
      <c r="C61" s="1248" t="s">
        <v>201</v>
      </c>
      <c r="D61" s="1248" t="s">
        <v>309</v>
      </c>
      <c r="E61" s="1242">
        <v>598233</v>
      </c>
    </row>
    <row r="62" spans="1:5">
      <c r="A62" s="1249">
        <v>45478</v>
      </c>
      <c r="B62" s="1250">
        <v>195</v>
      </c>
      <c r="C62" s="1248" t="s">
        <v>201</v>
      </c>
      <c r="D62" s="1248" t="s">
        <v>338</v>
      </c>
      <c r="E62" s="1242">
        <v>1006112.9</v>
      </c>
    </row>
    <row r="63" spans="1:5">
      <c r="A63" s="1249">
        <v>45497</v>
      </c>
      <c r="B63" s="1250">
        <v>198</v>
      </c>
      <c r="C63" s="1248" t="s">
        <v>177</v>
      </c>
      <c r="D63" s="1248" t="s">
        <v>342</v>
      </c>
      <c r="E63" s="1242">
        <v>1548790</v>
      </c>
    </row>
    <row r="64" spans="1:5">
      <c r="A64" s="1249">
        <v>45509</v>
      </c>
      <c r="B64" s="1250">
        <v>203</v>
      </c>
      <c r="C64" s="1248" t="s">
        <v>177</v>
      </c>
      <c r="D64" s="1248" t="s">
        <v>1101</v>
      </c>
      <c r="E64" s="1242">
        <v>1783209</v>
      </c>
    </row>
    <row r="65" spans="1:5">
      <c r="A65" s="1249">
        <v>45546</v>
      </c>
      <c r="B65" s="1250">
        <v>211</v>
      </c>
      <c r="C65" s="1248" t="s">
        <v>177</v>
      </c>
      <c r="D65" s="1248" t="s">
        <v>364</v>
      </c>
      <c r="E65" s="1242">
        <v>756260.55</v>
      </c>
    </row>
    <row r="66" spans="1:5">
      <c r="A66" s="1249">
        <v>45575</v>
      </c>
      <c r="B66" s="1250">
        <v>223</v>
      </c>
      <c r="C66" s="1248" t="s">
        <v>177</v>
      </c>
      <c r="D66" s="1248" t="s">
        <v>382</v>
      </c>
      <c r="E66" s="1242">
        <v>910830</v>
      </c>
    </row>
    <row r="67" spans="1:5">
      <c r="A67" s="1251">
        <v>45604</v>
      </c>
      <c r="B67" s="912">
        <v>233</v>
      </c>
      <c r="C67" s="913" t="s">
        <v>177</v>
      </c>
      <c r="D67" s="1252" t="s">
        <v>405</v>
      </c>
      <c r="E67" s="1242">
        <v>1194509.3500000001</v>
      </c>
    </row>
    <row r="68" spans="1:5">
      <c r="A68" s="1251">
        <v>45604</v>
      </c>
      <c r="B68" s="912">
        <v>234</v>
      </c>
      <c r="C68" s="913" t="s">
        <v>177</v>
      </c>
      <c r="D68" s="1252" t="s">
        <v>402</v>
      </c>
      <c r="E68" s="1242">
        <v>455394.85000000003</v>
      </c>
    </row>
    <row r="69" spans="1:5" ht="16" thickBot="1">
      <c r="A69" s="1251">
        <v>45631</v>
      </c>
      <c r="B69" s="912">
        <v>243</v>
      </c>
      <c r="C69" s="913" t="s">
        <v>177</v>
      </c>
      <c r="D69" s="1231" t="s">
        <v>414</v>
      </c>
      <c r="E69" s="1242">
        <v>1066225</v>
      </c>
    </row>
    <row r="70" spans="1:5" ht="16" thickBot="1">
      <c r="A70" s="1253"/>
      <c r="B70" s="1254"/>
      <c r="C70" s="1255"/>
      <c r="D70" s="1256" t="s">
        <v>212</v>
      </c>
      <c r="E70" s="1257">
        <f>SUM(E7:E69)</f>
        <v>115475833.55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79D3-06A2-4DAA-918A-F5EE1A72F793}">
  <sheetPr codeName="Hoja25"/>
  <dimension ref="A5:O66"/>
  <sheetViews>
    <sheetView topLeftCell="A4" zoomScaleNormal="100" workbookViewId="0">
      <selection activeCell="E26" sqref="E26"/>
    </sheetView>
  </sheetViews>
  <sheetFormatPr baseColWidth="10" defaultRowHeight="15"/>
  <cols>
    <col min="1" max="1" width="13.5" style="789" customWidth="1"/>
    <col min="3" max="3" width="36.5" customWidth="1"/>
    <col min="4" max="4" width="21.83203125" customWidth="1"/>
    <col min="5" max="5" width="15.5" customWidth="1"/>
    <col min="6" max="6" width="12.1640625" customWidth="1"/>
    <col min="7" max="7" width="16" customWidth="1"/>
    <col min="8" max="8" width="14.1640625" style="1225" customWidth="1"/>
    <col min="9" max="9" width="16.5" style="790" customWidth="1"/>
    <col min="10" max="10" width="21.83203125" style="1225" customWidth="1"/>
    <col min="11" max="11" width="11.5" style="1225"/>
    <col min="12" max="12" width="14.5" bestFit="1" customWidth="1"/>
  </cols>
  <sheetData>
    <row r="5" spans="1:10" ht="18">
      <c r="A5" s="922"/>
      <c r="B5" s="276"/>
      <c r="C5" s="276"/>
      <c r="D5" s="2523" t="s">
        <v>471</v>
      </c>
      <c r="E5" s="2523"/>
      <c r="F5" s="2523"/>
      <c r="G5" s="2523"/>
      <c r="H5" s="1226"/>
      <c r="I5" s="920"/>
      <c r="J5" s="1226"/>
    </row>
    <row r="6" spans="1:10" ht="16" thickBot="1">
      <c r="A6" s="922"/>
      <c r="B6" s="276"/>
      <c r="C6" s="276"/>
      <c r="D6" s="276"/>
      <c r="E6" s="1265" t="e">
        <f>SUM(#REF!+#REF!)</f>
        <v>#REF!</v>
      </c>
      <c r="F6" s="276"/>
      <c r="G6" s="276"/>
      <c r="H6" s="1226"/>
      <c r="I6" s="920"/>
      <c r="J6" s="1226"/>
    </row>
    <row r="7" spans="1:10">
      <c r="A7" s="1323" t="s">
        <v>151</v>
      </c>
      <c r="B7" s="1324" t="s">
        <v>802</v>
      </c>
      <c r="C7" s="1324" t="s">
        <v>803</v>
      </c>
      <c r="D7" s="1324" t="s">
        <v>804</v>
      </c>
      <c r="E7" s="1324" t="s">
        <v>805</v>
      </c>
      <c r="F7" s="1325" t="s">
        <v>155</v>
      </c>
      <c r="G7" s="1326" t="s">
        <v>806</v>
      </c>
      <c r="H7" s="1327" t="s">
        <v>807</v>
      </c>
      <c r="I7" s="1323" t="s">
        <v>159</v>
      </c>
      <c r="J7" s="1327" t="s">
        <v>808</v>
      </c>
    </row>
    <row r="8" spans="1:10">
      <c r="A8" s="923">
        <v>44020</v>
      </c>
      <c r="B8" s="919" t="s">
        <v>1035</v>
      </c>
      <c r="C8" s="919" t="s">
        <v>1036</v>
      </c>
      <c r="D8" s="907"/>
      <c r="E8" s="1227">
        <f>+G8/1.18</f>
        <v>30531.152542372885</v>
      </c>
      <c r="F8" s="1227">
        <f t="shared" ref="F8:F31" si="0">+E8*0.18</f>
        <v>5495.6074576271194</v>
      </c>
      <c r="G8" s="1227">
        <v>36026.76</v>
      </c>
      <c r="H8" s="1227"/>
      <c r="I8" s="921"/>
      <c r="J8" s="1227"/>
    </row>
    <row r="9" spans="1:10">
      <c r="A9" s="1420">
        <v>44410</v>
      </c>
      <c r="B9" s="1421" t="s">
        <v>1037</v>
      </c>
      <c r="C9" s="1421" t="s">
        <v>1038</v>
      </c>
      <c r="D9" s="1422"/>
      <c r="E9" s="1423">
        <f>+G9/1.18</f>
        <v>9086.7288135593226</v>
      </c>
      <c r="F9" s="1423">
        <f t="shared" si="0"/>
        <v>1635.611186440678</v>
      </c>
      <c r="G9" s="1423">
        <v>10722.34</v>
      </c>
      <c r="H9" s="1227"/>
      <c r="I9" s="921"/>
      <c r="J9" s="1227"/>
    </row>
    <row r="10" spans="1:10">
      <c r="A10" s="1420">
        <v>45569</v>
      </c>
      <c r="B10" s="1421" t="s">
        <v>1039</v>
      </c>
      <c r="C10" s="1421" t="s">
        <v>1038</v>
      </c>
      <c r="D10" s="1422" t="s">
        <v>1040</v>
      </c>
      <c r="E10" s="1423">
        <f>+G10/1.18</f>
        <v>5218</v>
      </c>
      <c r="F10" s="1423">
        <f t="shared" si="0"/>
        <v>939.24</v>
      </c>
      <c r="G10" s="1423">
        <v>6157.24</v>
      </c>
      <c r="H10" s="1227"/>
      <c r="I10" s="921"/>
      <c r="J10" s="1227"/>
    </row>
    <row r="11" spans="1:10">
      <c r="A11" s="923">
        <v>45569</v>
      </c>
      <c r="B11" s="919" t="s">
        <v>816</v>
      </c>
      <c r="C11" s="919" t="s">
        <v>641</v>
      </c>
      <c r="D11" s="907" t="s">
        <v>817</v>
      </c>
      <c r="E11" s="1227">
        <v>32848</v>
      </c>
      <c r="F11" s="1227">
        <f t="shared" si="0"/>
        <v>5912.6399999999994</v>
      </c>
      <c r="G11" s="1227">
        <f>+E11+F11</f>
        <v>38760.639999999999</v>
      </c>
      <c r="H11" s="1227">
        <v>34109.360000000001</v>
      </c>
      <c r="I11" s="921">
        <v>45677</v>
      </c>
      <c r="J11" s="1227">
        <v>4651.2799999999988</v>
      </c>
    </row>
    <row r="12" spans="1:10">
      <c r="A12" s="923">
        <v>45587</v>
      </c>
      <c r="B12" s="919" t="s">
        <v>826</v>
      </c>
      <c r="C12" s="919" t="s">
        <v>827</v>
      </c>
      <c r="D12" s="907" t="s">
        <v>828</v>
      </c>
      <c r="E12" s="1227">
        <v>21582</v>
      </c>
      <c r="F12" s="1227">
        <f t="shared" si="0"/>
        <v>3884.7599999999998</v>
      </c>
      <c r="G12" s="1227">
        <f>+E12+F12</f>
        <v>25466.76</v>
      </c>
      <c r="H12" s="1227">
        <v>22410.75</v>
      </c>
      <c r="I12" s="921">
        <v>45702</v>
      </c>
      <c r="J12" s="1227">
        <v>3056.0099999999984</v>
      </c>
    </row>
    <row r="13" spans="1:10">
      <c r="A13" s="923">
        <v>45629</v>
      </c>
      <c r="B13" s="919" t="s">
        <v>809</v>
      </c>
      <c r="C13" s="919" t="s">
        <v>810</v>
      </c>
      <c r="D13" s="907" t="s">
        <v>811</v>
      </c>
      <c r="E13" s="1227">
        <v>21062</v>
      </c>
      <c r="F13" s="1227">
        <f t="shared" si="0"/>
        <v>3791.16</v>
      </c>
      <c r="G13" s="1227">
        <f>+E13+F13</f>
        <v>24853.16</v>
      </c>
      <c r="H13" s="1227">
        <v>21870.78</v>
      </c>
      <c r="I13" s="921">
        <v>45660</v>
      </c>
      <c r="J13" s="1227">
        <v>2982.380000000001</v>
      </c>
    </row>
    <row r="14" spans="1:10">
      <c r="A14" s="923">
        <v>45632</v>
      </c>
      <c r="B14" s="919" t="s">
        <v>821</v>
      </c>
      <c r="C14" s="919" t="s">
        <v>822</v>
      </c>
      <c r="D14" s="907" t="s">
        <v>823</v>
      </c>
      <c r="E14" s="1227">
        <v>12843</v>
      </c>
      <c r="F14" s="1227">
        <f t="shared" si="0"/>
        <v>2311.7399999999998</v>
      </c>
      <c r="G14" s="1227">
        <f>+E14+F14</f>
        <v>15154.74</v>
      </c>
      <c r="H14" s="1227">
        <v>13336.27</v>
      </c>
      <c r="I14" s="921">
        <v>45681</v>
      </c>
      <c r="J14" s="1227">
        <v>1818.4699999999993</v>
      </c>
    </row>
    <row r="15" spans="1:10">
      <c r="A15" s="923">
        <v>45644</v>
      </c>
      <c r="B15" s="919" t="s">
        <v>815</v>
      </c>
      <c r="C15" s="919" t="s">
        <v>810</v>
      </c>
      <c r="D15" s="907" t="s">
        <v>811</v>
      </c>
      <c r="E15" s="1227">
        <v>19771</v>
      </c>
      <c r="F15" s="1227">
        <f t="shared" si="0"/>
        <v>3558.7799999999997</v>
      </c>
      <c r="G15" s="1227">
        <f>+E15+F15</f>
        <v>23329.78</v>
      </c>
      <c r="H15" s="1227">
        <v>20530.21</v>
      </c>
      <c r="I15" s="921">
        <v>45673</v>
      </c>
      <c r="J15" s="1227">
        <v>2799.5699999999997</v>
      </c>
    </row>
    <row r="16" spans="1:10">
      <c r="A16" s="1420">
        <v>45645</v>
      </c>
      <c r="B16" s="1421" t="s">
        <v>1041</v>
      </c>
      <c r="C16" s="1421" t="s">
        <v>1038</v>
      </c>
      <c r="D16" s="1422" t="s">
        <v>1042</v>
      </c>
      <c r="E16" s="1423">
        <f>+G16/1.18</f>
        <v>24147</v>
      </c>
      <c r="F16" s="1423">
        <f t="shared" si="0"/>
        <v>4346.46</v>
      </c>
      <c r="G16" s="1423">
        <v>28493.46</v>
      </c>
      <c r="H16" s="1227"/>
      <c r="I16" s="921"/>
      <c r="J16" s="1227"/>
    </row>
    <row r="17" spans="1:15">
      <c r="A17" s="923">
        <v>45646</v>
      </c>
      <c r="B17" s="919" t="s">
        <v>818</v>
      </c>
      <c r="C17" s="919" t="s">
        <v>819</v>
      </c>
      <c r="D17" s="907" t="s">
        <v>820</v>
      </c>
      <c r="E17" s="1227">
        <v>17153</v>
      </c>
      <c r="F17" s="1227">
        <f t="shared" si="0"/>
        <v>3087.54</v>
      </c>
      <c r="G17" s="1227">
        <f t="shared" ref="G17:G31" si="1">+E17+F17</f>
        <v>20240.54</v>
      </c>
      <c r="H17" s="1227">
        <v>17811.68</v>
      </c>
      <c r="I17" s="921">
        <v>45678</v>
      </c>
      <c r="J17" s="1227">
        <v>2428.8600000000006</v>
      </c>
    </row>
    <row r="18" spans="1:15">
      <c r="A18" s="923">
        <v>45653</v>
      </c>
      <c r="B18" s="1328" t="s">
        <v>973</v>
      </c>
      <c r="C18" s="1328" t="s">
        <v>1147</v>
      </c>
      <c r="D18" s="907" t="s">
        <v>974</v>
      </c>
      <c r="E18" s="1227">
        <v>51892</v>
      </c>
      <c r="F18" s="1227">
        <f t="shared" si="0"/>
        <v>9340.56</v>
      </c>
      <c r="G18" s="1227">
        <f t="shared" si="1"/>
        <v>61232.56</v>
      </c>
      <c r="H18" s="1227">
        <v>61232.56</v>
      </c>
      <c r="I18" s="921">
        <v>45741</v>
      </c>
      <c r="J18" s="1227">
        <v>0</v>
      </c>
    </row>
    <row r="19" spans="1:15">
      <c r="A19" s="923">
        <v>45653</v>
      </c>
      <c r="B19" s="919" t="s">
        <v>824</v>
      </c>
      <c r="C19" s="919" t="s">
        <v>822</v>
      </c>
      <c r="D19" s="907" t="s">
        <v>823</v>
      </c>
      <c r="E19" s="1227">
        <v>6857</v>
      </c>
      <c r="F19" s="1227">
        <f t="shared" si="0"/>
        <v>1234.26</v>
      </c>
      <c r="G19" s="1227">
        <f t="shared" si="1"/>
        <v>8091.26</v>
      </c>
      <c r="H19" s="1227">
        <v>7120.34</v>
      </c>
      <c r="I19" s="921">
        <v>45688</v>
      </c>
      <c r="J19" s="1227">
        <v>970.92000000000007</v>
      </c>
    </row>
    <row r="20" spans="1:15">
      <c r="A20" s="923">
        <v>45659</v>
      </c>
      <c r="B20" s="919" t="s">
        <v>825</v>
      </c>
      <c r="C20" s="919" t="s">
        <v>819</v>
      </c>
      <c r="D20" s="907" t="s">
        <v>820</v>
      </c>
      <c r="E20" s="1227">
        <v>4697</v>
      </c>
      <c r="F20" s="1227">
        <f t="shared" si="0"/>
        <v>845.45999999999992</v>
      </c>
      <c r="G20" s="1227">
        <f t="shared" si="1"/>
        <v>5542.46</v>
      </c>
      <c r="H20" s="1227">
        <v>4877.3599999999997</v>
      </c>
      <c r="I20" s="921">
        <v>45698</v>
      </c>
      <c r="J20" s="1227">
        <v>665.10000000000036</v>
      </c>
    </row>
    <row r="21" spans="1:15">
      <c r="A21" s="923" t="s">
        <v>741</v>
      </c>
      <c r="B21" s="919" t="s">
        <v>812</v>
      </c>
      <c r="C21" s="919" t="s">
        <v>813</v>
      </c>
      <c r="D21" s="907" t="s">
        <v>814</v>
      </c>
      <c r="E21" s="1227">
        <v>13312</v>
      </c>
      <c r="F21" s="1227">
        <f t="shared" si="0"/>
        <v>2396.16</v>
      </c>
      <c r="G21" s="1227">
        <f t="shared" si="1"/>
        <v>15708.16</v>
      </c>
      <c r="H21" s="1227">
        <v>13823.18</v>
      </c>
      <c r="I21" s="921">
        <v>45673</v>
      </c>
      <c r="J21" s="1227">
        <v>2224.2800000000002</v>
      </c>
    </row>
    <row r="22" spans="1:15">
      <c r="A22" s="923" t="s">
        <v>829</v>
      </c>
      <c r="B22" s="919" t="s">
        <v>830</v>
      </c>
      <c r="C22" s="919" t="s">
        <v>819</v>
      </c>
      <c r="D22" s="907" t="s">
        <v>820</v>
      </c>
      <c r="E22" s="1227">
        <v>36175</v>
      </c>
      <c r="F22" s="1227">
        <f t="shared" si="0"/>
        <v>6511.5</v>
      </c>
      <c r="G22" s="1227">
        <f t="shared" si="1"/>
        <v>42686.5</v>
      </c>
      <c r="H22" s="1227">
        <v>37564.120000000003</v>
      </c>
      <c r="I22" s="921">
        <v>45716</v>
      </c>
      <c r="J22" s="1227">
        <v>5122.38</v>
      </c>
    </row>
    <row r="23" spans="1:15">
      <c r="A23" s="923" t="s">
        <v>742</v>
      </c>
      <c r="B23" s="919" t="s">
        <v>831</v>
      </c>
      <c r="C23" s="919" t="s">
        <v>810</v>
      </c>
      <c r="D23" s="907" t="s">
        <v>811</v>
      </c>
      <c r="E23" s="1227">
        <v>57746</v>
      </c>
      <c r="F23" s="1227">
        <f t="shared" si="0"/>
        <v>10394.279999999999</v>
      </c>
      <c r="G23" s="1227">
        <f t="shared" si="1"/>
        <v>68140.28</v>
      </c>
      <c r="H23" s="1227">
        <v>59963.45</v>
      </c>
      <c r="I23" s="921">
        <v>45720</v>
      </c>
      <c r="J23" s="1227">
        <v>8176.83</v>
      </c>
    </row>
    <row r="24" spans="1:15">
      <c r="A24" s="923" t="s">
        <v>832</v>
      </c>
      <c r="B24" s="919" t="s">
        <v>833</v>
      </c>
      <c r="C24" s="919" t="s">
        <v>819</v>
      </c>
      <c r="D24" s="907" t="s">
        <v>820</v>
      </c>
      <c r="E24" s="1227">
        <v>47631</v>
      </c>
      <c r="F24" s="1227">
        <f t="shared" si="0"/>
        <v>8573.58</v>
      </c>
      <c r="G24" s="1227">
        <f t="shared" si="1"/>
        <v>56204.58</v>
      </c>
      <c r="H24" s="1227">
        <v>49460.03</v>
      </c>
      <c r="I24" s="921">
        <v>45743</v>
      </c>
      <c r="J24" s="1227">
        <v>6744.55</v>
      </c>
    </row>
    <row r="25" spans="1:15">
      <c r="A25" s="923">
        <v>45744</v>
      </c>
      <c r="B25" s="919" t="s">
        <v>975</v>
      </c>
      <c r="C25" s="919" t="s">
        <v>810</v>
      </c>
      <c r="D25" s="907" t="s">
        <v>1148</v>
      </c>
      <c r="E25" s="1227">
        <v>0</v>
      </c>
      <c r="F25" s="1227">
        <v>0</v>
      </c>
      <c r="G25" s="1227">
        <f t="shared" si="1"/>
        <v>0</v>
      </c>
      <c r="H25" s="1227">
        <v>0</v>
      </c>
      <c r="I25" s="921"/>
      <c r="J25" s="1227"/>
    </row>
    <row r="26" spans="1:15">
      <c r="A26" s="923">
        <v>45751</v>
      </c>
      <c r="B26" s="919" t="s">
        <v>1043</v>
      </c>
      <c r="C26" s="919" t="s">
        <v>1044</v>
      </c>
      <c r="D26" s="907" t="s">
        <v>1045</v>
      </c>
      <c r="E26" s="1227">
        <v>110077</v>
      </c>
      <c r="F26" s="1227">
        <f t="shared" si="0"/>
        <v>19813.86</v>
      </c>
      <c r="G26" s="1227">
        <f t="shared" si="1"/>
        <v>129890.86</v>
      </c>
      <c r="H26" s="1227">
        <v>114303.96</v>
      </c>
      <c r="I26" s="921">
        <v>45755</v>
      </c>
      <c r="J26" s="1227"/>
    </row>
    <row r="27" spans="1:15">
      <c r="A27" s="923">
        <v>45757</v>
      </c>
      <c r="B27" s="919" t="s">
        <v>1046</v>
      </c>
      <c r="C27" s="919" t="s">
        <v>819</v>
      </c>
      <c r="D27" s="907" t="s">
        <v>820</v>
      </c>
      <c r="E27" s="1227">
        <v>34217</v>
      </c>
      <c r="F27" s="1227">
        <f t="shared" si="0"/>
        <v>6159.0599999999995</v>
      </c>
      <c r="G27" s="1227">
        <f t="shared" si="1"/>
        <v>40376.06</v>
      </c>
      <c r="H27" s="1227"/>
      <c r="I27" s="921"/>
      <c r="J27" s="1227"/>
    </row>
    <row r="28" spans="1:15">
      <c r="A28" s="923">
        <v>45758</v>
      </c>
      <c r="B28" s="919" t="s">
        <v>1047</v>
      </c>
      <c r="C28" s="919" t="s">
        <v>1048</v>
      </c>
      <c r="D28" s="907" t="s">
        <v>1049</v>
      </c>
      <c r="E28" s="1227">
        <v>6348</v>
      </c>
      <c r="F28" s="1227">
        <f t="shared" si="0"/>
        <v>1142.6399999999999</v>
      </c>
      <c r="G28" s="1227">
        <f t="shared" si="1"/>
        <v>7490.6399999999994</v>
      </c>
      <c r="H28" s="1227"/>
      <c r="I28" s="921"/>
      <c r="J28" s="1227"/>
    </row>
    <row r="29" spans="1:15">
      <c r="A29" s="923">
        <v>45762</v>
      </c>
      <c r="B29" s="919" t="s">
        <v>1149</v>
      </c>
      <c r="C29" s="919" t="s">
        <v>1150</v>
      </c>
      <c r="D29" s="907" t="s">
        <v>1151</v>
      </c>
      <c r="E29" s="1227">
        <v>9930</v>
      </c>
      <c r="F29" s="1227">
        <f t="shared" si="0"/>
        <v>1787.3999999999999</v>
      </c>
      <c r="G29" s="1227">
        <f t="shared" si="1"/>
        <v>11717.4</v>
      </c>
      <c r="H29" s="1227"/>
      <c r="I29" s="921"/>
      <c r="J29" s="1227"/>
    </row>
    <row r="30" spans="1:15">
      <c r="A30" s="923">
        <v>45762</v>
      </c>
      <c r="B30" s="919" t="s">
        <v>1152</v>
      </c>
      <c r="C30" s="919" t="s">
        <v>1150</v>
      </c>
      <c r="D30" s="907" t="s">
        <v>1153</v>
      </c>
      <c r="E30" s="1227">
        <v>27785</v>
      </c>
      <c r="F30" s="1227">
        <f t="shared" si="0"/>
        <v>5001.3</v>
      </c>
      <c r="G30" s="1227">
        <f t="shared" si="1"/>
        <v>32786.300000000003</v>
      </c>
      <c r="H30" s="1227"/>
      <c r="I30" s="921"/>
      <c r="J30" s="1227"/>
    </row>
    <row r="31" spans="1:15">
      <c r="A31" s="923">
        <v>45762</v>
      </c>
      <c r="B31" s="919" t="s">
        <v>1047</v>
      </c>
      <c r="C31" s="919" t="s">
        <v>810</v>
      </c>
      <c r="D31" s="907" t="s">
        <v>811</v>
      </c>
      <c r="E31" s="1227">
        <v>24935</v>
      </c>
      <c r="F31" s="1227">
        <f t="shared" si="0"/>
        <v>4488.3</v>
      </c>
      <c r="G31" s="1227">
        <f t="shared" si="1"/>
        <v>29423.3</v>
      </c>
      <c r="H31" s="1227">
        <v>0</v>
      </c>
      <c r="I31" s="921"/>
      <c r="J31" s="1227">
        <f>+G31*0.12</f>
        <v>3530.7959999999998</v>
      </c>
    </row>
    <row r="32" spans="1:15">
      <c r="E32" s="275"/>
      <c r="F32" s="1266"/>
      <c r="G32" s="275"/>
      <c r="H32" s="1266"/>
      <c r="I32" s="1266"/>
      <c r="J32" s="1266"/>
      <c r="M32" s="1329"/>
      <c r="N32" s="1330"/>
      <c r="O32" s="1330"/>
    </row>
    <row r="33" spans="1:15">
      <c r="E33" s="275"/>
      <c r="F33" s="1266"/>
      <c r="G33" s="275"/>
      <c r="H33" s="1266"/>
      <c r="I33" s="1266"/>
      <c r="J33" s="1266"/>
      <c r="M33" s="1329"/>
      <c r="N33" s="1330"/>
      <c r="O33" s="1330"/>
    </row>
    <row r="34" spans="1:15">
      <c r="E34" s="275"/>
      <c r="F34" s="1266"/>
      <c r="G34" s="275"/>
      <c r="H34" s="1266"/>
      <c r="I34" s="1266"/>
      <c r="J34" s="1266"/>
      <c r="M34" s="1329"/>
      <c r="N34" s="1330"/>
      <c r="O34" s="1330"/>
    </row>
    <row r="35" spans="1:15">
      <c r="E35" s="275"/>
      <c r="F35" s="1266"/>
      <c r="G35" s="275"/>
      <c r="H35" s="1266"/>
      <c r="I35" s="1266"/>
      <c r="J35" s="1266"/>
      <c r="M35" s="1329"/>
      <c r="N35" s="1330"/>
      <c r="O35" s="1330"/>
    </row>
    <row r="36" spans="1:15">
      <c r="E36" s="275"/>
      <c r="F36" s="1266"/>
      <c r="G36" s="275"/>
      <c r="H36" s="1266"/>
      <c r="I36" s="1266"/>
      <c r="J36" s="1266"/>
      <c r="M36" s="1329"/>
      <c r="N36" s="1330"/>
      <c r="O36" s="1330"/>
    </row>
    <row r="37" spans="1:15">
      <c r="E37" s="275"/>
      <c r="F37" s="1266"/>
      <c r="G37" s="275"/>
      <c r="H37" s="1266"/>
      <c r="I37" s="1266"/>
      <c r="J37" s="1266"/>
      <c r="M37" s="1329"/>
      <c r="N37" s="1330"/>
      <c r="O37" s="1330"/>
    </row>
    <row r="38" spans="1:15">
      <c r="E38" s="275"/>
      <c r="F38" s="1266"/>
      <c r="G38" s="275"/>
      <c r="H38" s="1266"/>
      <c r="I38" s="275"/>
      <c r="J38" s="1266"/>
    </row>
    <row r="39" spans="1:15">
      <c r="D39" s="1229"/>
      <c r="E39" s="438"/>
      <c r="F39" s="438"/>
      <c r="G39" s="438"/>
      <c r="H39" s="438"/>
      <c r="I39" s="438"/>
      <c r="J39" s="438"/>
      <c r="K39" s="438"/>
    </row>
    <row r="40" spans="1:15">
      <c r="A40"/>
      <c r="B40" s="31" t="s">
        <v>1123</v>
      </c>
      <c r="D40" s="438"/>
      <c r="E40" s="1266"/>
      <c r="G40" s="275"/>
      <c r="H40" s="1266"/>
      <c r="I40" s="1225"/>
    </row>
    <row r="41" spans="1:15">
      <c r="A41" s="924">
        <v>45569</v>
      </c>
      <c r="B41" s="1282" t="s">
        <v>1039</v>
      </c>
      <c r="C41" s="164" t="s">
        <v>1038</v>
      </c>
      <c r="D41" s="394" t="s">
        <v>1040</v>
      </c>
      <c r="E41" s="1271">
        <v>5218</v>
      </c>
      <c r="G41" s="924">
        <v>45751</v>
      </c>
      <c r="H41" s="1282" t="s">
        <v>1043</v>
      </c>
      <c r="I41" s="164" t="s">
        <v>1044</v>
      </c>
      <c r="J41" s="394" t="s">
        <v>1045</v>
      </c>
      <c r="K41" s="1271"/>
      <c r="L41" s="1308">
        <v>110077</v>
      </c>
      <c r="M41" s="1282" t="s">
        <v>788</v>
      </c>
      <c r="N41" s="164">
        <v>45755</v>
      </c>
    </row>
    <row r="42" spans="1:15">
      <c r="A42" s="924">
        <v>45645</v>
      </c>
      <c r="B42" s="1282" t="s">
        <v>1041</v>
      </c>
      <c r="C42" s="164" t="s">
        <v>1038</v>
      </c>
      <c r="D42" s="394" t="s">
        <v>1042</v>
      </c>
      <c r="E42" s="1271">
        <v>24147</v>
      </c>
      <c r="K42" s="1313" t="s">
        <v>230</v>
      </c>
      <c r="L42" s="1225"/>
      <c r="M42" s="1225"/>
    </row>
    <row r="43" spans="1:15">
      <c r="A43" s="924">
        <v>45744</v>
      </c>
      <c r="B43" s="1282" t="s">
        <v>975</v>
      </c>
      <c r="C43" s="164" t="s">
        <v>810</v>
      </c>
      <c r="D43" s="394" t="s">
        <v>811</v>
      </c>
      <c r="E43" s="1271">
        <v>24935</v>
      </c>
      <c r="G43" s="924">
        <v>45749</v>
      </c>
      <c r="H43" s="1282">
        <v>283</v>
      </c>
      <c r="I43" s="164" t="s">
        <v>497</v>
      </c>
      <c r="J43" s="394" t="s">
        <v>980</v>
      </c>
      <c r="K43" s="1271"/>
      <c r="L43" s="1308">
        <v>32767.963519313304</v>
      </c>
      <c r="M43" s="1282" t="s">
        <v>599</v>
      </c>
      <c r="N43" s="164">
        <v>45758</v>
      </c>
    </row>
    <row r="44" spans="1:15">
      <c r="A44" s="924">
        <v>45757</v>
      </c>
      <c r="B44" s="1282" t="s">
        <v>1046</v>
      </c>
      <c r="C44" s="164" t="s">
        <v>819</v>
      </c>
      <c r="D44" s="394" t="s">
        <v>820</v>
      </c>
      <c r="E44" s="1271">
        <f>34217+6348</f>
        <v>40565</v>
      </c>
      <c r="G44" s="924">
        <v>45749</v>
      </c>
      <c r="H44" s="1282">
        <v>284</v>
      </c>
      <c r="I44" s="164" t="s">
        <v>497</v>
      </c>
      <c r="J44" s="394" t="s">
        <v>981</v>
      </c>
      <c r="K44" s="1271"/>
      <c r="L44" s="1308">
        <v>31933.110515021461</v>
      </c>
      <c r="M44" s="1282" t="s">
        <v>599</v>
      </c>
      <c r="N44" s="164">
        <v>45758</v>
      </c>
    </row>
    <row r="45" spans="1:15">
      <c r="A45" s="1275"/>
      <c r="B45" s="1283"/>
      <c r="C45" s="1281"/>
      <c r="D45" s="1276" t="s">
        <v>1118</v>
      </c>
      <c r="E45" s="1273">
        <f>SUM(E41:E44)</f>
        <v>94865</v>
      </c>
      <c r="G45" s="924">
        <v>45737</v>
      </c>
      <c r="H45" s="1282">
        <v>280</v>
      </c>
      <c r="I45" s="164" t="s">
        <v>497</v>
      </c>
      <c r="J45" s="394" t="s">
        <v>851</v>
      </c>
      <c r="K45" s="1271"/>
      <c r="L45" s="1308">
        <v>11158.080472103004</v>
      </c>
      <c r="M45" s="1282" t="s">
        <v>599</v>
      </c>
      <c r="N45" s="164">
        <v>45751</v>
      </c>
    </row>
    <row r="46" spans="1:15">
      <c r="A46" s="924">
        <v>45744</v>
      </c>
      <c r="B46" s="1284">
        <v>282</v>
      </c>
      <c r="C46" s="164" t="s">
        <v>557</v>
      </c>
      <c r="D46" s="394" t="s">
        <v>972</v>
      </c>
      <c r="E46" s="1271">
        <v>10432.480686695279</v>
      </c>
      <c r="G46" s="924">
        <v>45719</v>
      </c>
      <c r="H46" s="1282">
        <v>269</v>
      </c>
      <c r="I46" s="164" t="s">
        <v>559</v>
      </c>
      <c r="J46" s="394" t="s">
        <v>560</v>
      </c>
      <c r="K46" s="1271"/>
      <c r="L46" s="1308">
        <v>31562.413090128757</v>
      </c>
      <c r="M46" s="1282" t="s">
        <v>599</v>
      </c>
      <c r="N46" s="164">
        <v>45389</v>
      </c>
    </row>
    <row r="47" spans="1:15">
      <c r="A47" s="1286"/>
      <c r="B47" s="1316"/>
      <c r="C47" s="1271"/>
      <c r="D47" s="1290"/>
      <c r="E47" s="1271"/>
      <c r="G47" s="924">
        <v>45728</v>
      </c>
      <c r="H47" s="1282">
        <v>276</v>
      </c>
      <c r="I47" s="164" t="s">
        <v>485</v>
      </c>
      <c r="J47" s="394" t="s">
        <v>797</v>
      </c>
      <c r="K47" s="1271"/>
      <c r="L47" s="1308">
        <v>87431.639484978543</v>
      </c>
      <c r="M47" s="1282" t="s">
        <v>599</v>
      </c>
      <c r="N47" s="164">
        <v>45751</v>
      </c>
    </row>
    <row r="48" spans="1:15">
      <c r="A48" s="1286"/>
      <c r="B48" s="1316"/>
      <c r="C48" s="1271"/>
      <c r="D48" s="1290"/>
      <c r="E48" s="1271"/>
      <c r="G48" s="924">
        <v>45736</v>
      </c>
      <c r="H48" s="1282">
        <v>279</v>
      </c>
      <c r="I48" s="164" t="s">
        <v>177</v>
      </c>
      <c r="J48" s="394" t="s">
        <v>852</v>
      </c>
      <c r="K48" s="1271"/>
      <c r="L48" s="1308">
        <v>42581.277896995707</v>
      </c>
      <c r="M48" s="1282" t="s">
        <v>599</v>
      </c>
      <c r="N48" s="164">
        <v>45763</v>
      </c>
    </row>
    <row r="49" spans="1:14">
      <c r="A49" s="1272"/>
      <c r="B49" s="1285"/>
      <c r="C49" s="1281"/>
      <c r="D49" s="1277" t="s">
        <v>1119</v>
      </c>
      <c r="E49" s="1273">
        <f>SUM(E46:E46)</f>
        <v>10432.480686695279</v>
      </c>
      <c r="K49" s="1313" t="s">
        <v>230</v>
      </c>
      <c r="L49" s="1308">
        <f>SUM(L43:L48)</f>
        <v>237434.4849785408</v>
      </c>
    </row>
    <row r="50" spans="1:14">
      <c r="A50" s="924">
        <v>45680</v>
      </c>
      <c r="B50" s="1284">
        <v>58</v>
      </c>
      <c r="C50" s="164" t="s">
        <v>843</v>
      </c>
      <c r="D50" s="394" t="s">
        <v>960</v>
      </c>
      <c r="E50" s="1271">
        <v>21227.14</v>
      </c>
      <c r="G50" s="1309"/>
      <c r="H50" s="1310"/>
      <c r="I50" s="1311"/>
      <c r="J50" s="1310"/>
      <c r="K50" s="1310"/>
      <c r="L50" s="1312"/>
      <c r="M50" s="1309"/>
      <c r="N50" s="1309"/>
    </row>
    <row r="51" spans="1:14">
      <c r="A51" s="924">
        <v>45681</v>
      </c>
      <c r="B51" s="1284">
        <v>59</v>
      </c>
      <c r="C51" s="164" t="s">
        <v>844</v>
      </c>
      <c r="D51" s="394" t="s">
        <v>961</v>
      </c>
      <c r="E51" s="1271">
        <v>18747.16</v>
      </c>
      <c r="G51" s="924">
        <v>62</v>
      </c>
      <c r="H51" s="1282">
        <v>45727</v>
      </c>
      <c r="I51" s="164" t="s">
        <v>846</v>
      </c>
      <c r="J51" s="394">
        <v>346945.5</v>
      </c>
      <c r="K51" s="1271">
        <f>J51-R47</f>
        <v>346945.5</v>
      </c>
      <c r="L51" s="1308">
        <v>54268.058625000005</v>
      </c>
      <c r="M51" s="1282" t="s">
        <v>789</v>
      </c>
      <c r="N51" s="164">
        <v>45758</v>
      </c>
    </row>
    <row r="52" spans="1:14">
      <c r="A52" s="924">
        <v>45733</v>
      </c>
      <c r="B52" s="1284">
        <v>63</v>
      </c>
      <c r="C52" s="164" t="s">
        <v>843</v>
      </c>
      <c r="D52" s="394" t="s">
        <v>961</v>
      </c>
      <c r="E52" s="1271">
        <v>9498.7149166666659</v>
      </c>
      <c r="G52" s="30"/>
      <c r="H52" s="1304"/>
      <c r="I52" s="1305"/>
      <c r="J52" s="1306"/>
      <c r="K52" s="1306"/>
      <c r="L52" s="257"/>
      <c r="M52" s="917"/>
      <c r="N52" s="1307"/>
    </row>
    <row r="53" spans="1:14">
      <c r="A53" s="924">
        <v>45733</v>
      </c>
      <c r="B53" s="1284">
        <v>64</v>
      </c>
      <c r="C53" s="164" t="s">
        <v>847</v>
      </c>
      <c r="D53" s="394" t="s">
        <v>961</v>
      </c>
      <c r="E53" s="1271">
        <v>11785.213750000001</v>
      </c>
      <c r="G53" s="924" t="s">
        <v>1007</v>
      </c>
      <c r="H53" s="1282">
        <v>32025</v>
      </c>
      <c r="I53" s="164" t="s">
        <v>998</v>
      </c>
      <c r="J53" s="394" t="s">
        <v>1008</v>
      </c>
      <c r="K53" s="1271"/>
      <c r="L53" s="1308">
        <v>84975</v>
      </c>
      <c r="M53" s="1282" t="s">
        <v>1052</v>
      </c>
      <c r="N53" s="164">
        <v>45755</v>
      </c>
    </row>
    <row r="54" spans="1:14">
      <c r="A54" s="924">
        <v>45740</v>
      </c>
      <c r="B54" s="1284">
        <v>65</v>
      </c>
      <c r="C54" s="164" t="s">
        <v>1010</v>
      </c>
      <c r="D54" s="394" t="s">
        <v>1011</v>
      </c>
      <c r="E54" s="1271">
        <v>8091.63</v>
      </c>
      <c r="H54"/>
      <c r="I54" s="1274"/>
      <c r="J54" s="790"/>
    </row>
    <row r="55" spans="1:14">
      <c r="A55" s="924">
        <v>45740</v>
      </c>
      <c r="B55" s="1284">
        <v>66</v>
      </c>
      <c r="C55" s="164"/>
      <c r="D55" s="394" t="s">
        <v>960</v>
      </c>
      <c r="E55" s="1271">
        <v>20260.62</v>
      </c>
      <c r="K55" s="1314" t="s">
        <v>212</v>
      </c>
      <c r="L55" s="1315">
        <f>SUM(L41+L49+L51+L53)</f>
        <v>486754.54360354081</v>
      </c>
    </row>
    <row r="56" spans="1:14" ht="16" thickBot="1">
      <c r="B56" s="653"/>
      <c r="C56" s="1281"/>
      <c r="D56" s="1301" t="s">
        <v>1120</v>
      </c>
      <c r="E56" s="1271">
        <f>SUM(E50:E55)</f>
        <v>89610.478666666662</v>
      </c>
    </row>
    <row r="57" spans="1:14" ht="16" thickBot="1">
      <c r="C57" s="1280"/>
      <c r="D57" s="1278" t="s">
        <v>1121</v>
      </c>
      <c r="E57" s="1279">
        <f>SUM(E56,E49,E45)</f>
        <v>194907.95935336195</v>
      </c>
    </row>
    <row r="58" spans="1:14" ht="16" thickBot="1">
      <c r="A58"/>
      <c r="C58" s="917"/>
    </row>
    <row r="59" spans="1:14" ht="16" thickBot="1">
      <c r="A59"/>
      <c r="D59" s="1303" t="s">
        <v>1122</v>
      </c>
      <c r="E59" s="1302" t="s">
        <v>769</v>
      </c>
      <c r="G59" t="s">
        <v>1108</v>
      </c>
      <c r="H59" s="1274"/>
      <c r="I59" s="790" t="s">
        <v>1110</v>
      </c>
      <c r="L59">
        <v>486</v>
      </c>
      <c r="M59">
        <v>466</v>
      </c>
    </row>
    <row r="60" spans="1:14">
      <c r="A60"/>
      <c r="D60" s="1291" t="s">
        <v>1114</v>
      </c>
      <c r="E60" s="1292">
        <v>466</v>
      </c>
      <c r="G60" s="438">
        <f>SUM(L41+L43+L44)</f>
        <v>174778.07403433477</v>
      </c>
      <c r="H60" s="1274">
        <v>3</v>
      </c>
      <c r="I60" s="438">
        <f>+L45+L47</f>
        <v>98589.719957081543</v>
      </c>
      <c r="J60" s="1225">
        <v>2</v>
      </c>
      <c r="L60">
        <v>-443</v>
      </c>
      <c r="M60" s="1289">
        <v>209</v>
      </c>
    </row>
    <row r="61" spans="1:14" ht="16" thickBot="1">
      <c r="A61"/>
      <c r="D61" s="1293" t="s">
        <v>1113</v>
      </c>
      <c r="E61" s="1294">
        <v>215</v>
      </c>
      <c r="L61">
        <f>SUM(L59:L60)</f>
        <v>43</v>
      </c>
      <c r="M61">
        <f>SUM(M59:M60)</f>
        <v>675</v>
      </c>
    </row>
    <row r="62" spans="1:14">
      <c r="A62"/>
      <c r="D62" s="1297" t="s">
        <v>1116</v>
      </c>
      <c r="E62" s="1298">
        <f>SUM(E60:E61)</f>
        <v>681</v>
      </c>
      <c r="G62" t="s">
        <v>1109</v>
      </c>
      <c r="I62" s="790" t="s">
        <v>1111</v>
      </c>
      <c r="M62">
        <v>-486</v>
      </c>
    </row>
    <row r="63" spans="1:14" ht="16" thickBot="1">
      <c r="A63"/>
      <c r="D63" s="1295" t="s">
        <v>1117</v>
      </c>
      <c r="E63" s="1296">
        <v>486</v>
      </c>
      <c r="G63" s="438">
        <f>SUM(E44)</f>
        <v>40565</v>
      </c>
      <c r="H63" s="1225">
        <v>1</v>
      </c>
      <c r="I63" s="438">
        <f>+L41+L46+L43+L44+L51+L53</f>
        <v>345583.54574946349</v>
      </c>
      <c r="J63" s="1225">
        <v>6</v>
      </c>
      <c r="M63">
        <f>SUM(M61:M62)</f>
        <v>189</v>
      </c>
    </row>
    <row r="64" spans="1:14" ht="16" thickBot="1">
      <c r="A64"/>
      <c r="D64" s="1299" t="s">
        <v>1115</v>
      </c>
      <c r="E64" s="1300">
        <f>SUM(E62-E63)</f>
        <v>195</v>
      </c>
    </row>
    <row r="65" spans="9:10">
      <c r="I65" s="790" t="s">
        <v>1112</v>
      </c>
      <c r="J65" s="1225">
        <f ca="1">SUM(J59:J65)</f>
        <v>370144</v>
      </c>
    </row>
    <row r="66" spans="9:10">
      <c r="I66" s="438">
        <f>+L48</f>
        <v>42581.277896995707</v>
      </c>
      <c r="J66" s="1225">
        <v>1</v>
      </c>
    </row>
  </sheetData>
  <autoFilter ref="A7:J29" xr:uid="{25DA79D3-06A2-4DAA-918A-F5EE1A72F793}"/>
  <sortState xmlns:xlrd2="http://schemas.microsoft.com/office/spreadsheetml/2017/richdata2" ref="A8:J23">
    <sortCondition ref="A8:A23"/>
  </sortState>
  <mergeCells count="1">
    <mergeCell ref="D5:G5"/>
  </mergeCells>
  <phoneticPr fontId="12" type="noConversion"/>
  <pageMargins left="0.7" right="0.7" top="0.75" bottom="0.75" header="0.3" footer="0.3"/>
  <pageSetup scale="40" orientation="portrait" horizontalDpi="4294967295" verticalDpi="4294967295" r:id="rId1"/>
  <rowBreaks count="1" manualBreakCount="1">
    <brk id="58" max="16383" man="1"/>
  </row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BD8-AC61-42E4-8A57-2E763BCD3B00}">
  <sheetPr codeName="Hoja26"/>
  <dimension ref="B1:Z126"/>
  <sheetViews>
    <sheetView workbookViewId="0">
      <selection activeCell="G20" sqref="G20"/>
    </sheetView>
  </sheetViews>
  <sheetFormatPr baseColWidth="10" defaultColWidth="9.1640625" defaultRowHeight="15"/>
  <cols>
    <col min="1" max="1" width="1.1640625" customWidth="1"/>
    <col min="2" max="2" width="13" customWidth="1"/>
    <col min="3" max="3" width="12.5" customWidth="1"/>
    <col min="4" max="4" width="24" customWidth="1"/>
    <col min="5" max="5" width="33.5" customWidth="1"/>
    <col min="6" max="6" width="11.5" customWidth="1"/>
    <col min="7" max="7" width="16.83203125" style="654" customWidth="1"/>
    <col min="8" max="8" width="16.5" style="654" customWidth="1"/>
    <col min="9" max="9" width="17.5" style="654" customWidth="1"/>
    <col min="10" max="10" width="13" style="654" customWidth="1"/>
    <col min="11" max="11" width="12.5" customWidth="1"/>
    <col min="12" max="12" width="17.5" style="654" hidden="1" customWidth="1"/>
    <col min="13" max="13" width="16.83203125" style="654" hidden="1" customWidth="1"/>
    <col min="14" max="14" width="20.83203125" style="654" hidden="1" customWidth="1"/>
    <col min="15" max="16" width="15.5" style="654" hidden="1" customWidth="1"/>
    <col min="17" max="18" width="15.5" style="892" hidden="1" customWidth="1"/>
    <col min="19" max="19" width="17.5" style="892" hidden="1" customWidth="1"/>
    <col min="20" max="20" width="18.5" style="892" hidden="1" customWidth="1"/>
    <col min="21" max="21" width="17" style="892" customWidth="1"/>
    <col min="22" max="22" width="10.1640625" bestFit="1" customWidth="1"/>
    <col min="23" max="23" width="9.83203125" customWidth="1"/>
    <col min="24" max="24" width="11.5" bestFit="1" customWidth="1"/>
  </cols>
  <sheetData>
    <row r="1" spans="2:26" s="1369" customFormat="1" ht="7.5" customHeight="1">
      <c r="B1" s="1363"/>
      <c r="C1" s="1363"/>
      <c r="D1" s="1364"/>
      <c r="E1" s="1364"/>
      <c r="F1" s="1364"/>
      <c r="G1" s="1364"/>
      <c r="H1" s="1364"/>
      <c r="I1" s="1364"/>
      <c r="J1" s="1364"/>
      <c r="K1" s="1363"/>
      <c r="L1" s="1365"/>
      <c r="M1" s="1365"/>
      <c r="N1" s="1365"/>
      <c r="O1" s="1365"/>
      <c r="P1" s="1365"/>
      <c r="Q1" s="1365"/>
      <c r="R1" s="1366"/>
      <c r="S1" s="1367"/>
      <c r="T1" s="1368"/>
      <c r="W1"/>
      <c r="X1"/>
      <c r="Y1"/>
      <c r="Z1"/>
    </row>
    <row r="2" spans="2:26" ht="17">
      <c r="B2" s="1331" t="s">
        <v>471</v>
      </c>
      <c r="C2" s="1331"/>
      <c r="D2" s="1331"/>
      <c r="E2" s="1331"/>
      <c r="F2" s="1331"/>
      <c r="G2" s="1332"/>
      <c r="H2" s="1331"/>
      <c r="I2" s="1331"/>
      <c r="J2" s="1331"/>
      <c r="K2" s="1331"/>
      <c r="L2" s="1366"/>
      <c r="M2" s="1366"/>
      <c r="N2" s="1366" t="s">
        <v>936</v>
      </c>
      <c r="O2" s="1366"/>
      <c r="P2" s="1366"/>
      <c r="Q2" s="1366"/>
      <c r="R2" s="1366"/>
      <c r="S2" s="1366"/>
      <c r="T2" s="894" t="s">
        <v>1173</v>
      </c>
      <c r="U2" s="1514" t="s">
        <v>1289</v>
      </c>
    </row>
    <row r="3" spans="2:26" s="31" customFormat="1" ht="16">
      <c r="B3" s="791" t="s">
        <v>802</v>
      </c>
      <c r="C3" s="791" t="s">
        <v>151</v>
      </c>
      <c r="D3" s="1333" t="s">
        <v>1154</v>
      </c>
      <c r="E3" s="1333" t="s">
        <v>1155</v>
      </c>
      <c r="F3" s="1333" t="s">
        <v>950</v>
      </c>
      <c r="G3" s="791" t="s">
        <v>1156</v>
      </c>
      <c r="H3" s="791" t="s">
        <v>1157</v>
      </c>
      <c r="I3" s="791" t="s">
        <v>1158</v>
      </c>
      <c r="J3" s="791" t="s">
        <v>1159</v>
      </c>
      <c r="K3" s="1334" t="s">
        <v>1160</v>
      </c>
      <c r="L3" s="893" t="s">
        <v>951</v>
      </c>
      <c r="M3" s="893" t="s">
        <v>951</v>
      </c>
      <c r="N3" s="895">
        <v>0.03</v>
      </c>
      <c r="O3" s="895">
        <v>6.4999999999999997E-3</v>
      </c>
      <c r="P3" s="895">
        <v>0.03</v>
      </c>
      <c r="Q3" s="895">
        <v>0.01</v>
      </c>
      <c r="R3" s="895">
        <v>1.4999999999999999E-2</v>
      </c>
      <c r="S3" s="896" t="s">
        <v>952</v>
      </c>
      <c r="T3" s="1370">
        <v>6</v>
      </c>
      <c r="U3" s="1514" t="s">
        <v>1290</v>
      </c>
      <c r="W3"/>
      <c r="X3"/>
      <c r="Y3"/>
      <c r="Z3"/>
    </row>
    <row r="4" spans="2:26">
      <c r="B4" s="898">
        <v>48</v>
      </c>
      <c r="C4" s="899">
        <v>45590</v>
      </c>
      <c r="D4" s="907" t="s">
        <v>843</v>
      </c>
      <c r="E4" s="907" t="s">
        <v>736</v>
      </c>
      <c r="F4" s="901" t="s">
        <v>953</v>
      </c>
      <c r="G4" s="902">
        <f t="shared" ref="G4:G17" si="0">M4/6</f>
        <v>43045.241000000002</v>
      </c>
      <c r="H4" s="902">
        <f>T4</f>
        <v>2820.7589999999996</v>
      </c>
      <c r="I4" s="1335">
        <v>0</v>
      </c>
      <c r="J4" s="1335">
        <f t="shared" ref="J4:J15" si="1">G4</f>
        <v>43045.241000000002</v>
      </c>
      <c r="K4" s="900">
        <v>45680</v>
      </c>
      <c r="L4" s="902">
        <v>275196</v>
      </c>
      <c r="M4" s="1371">
        <f>L4-S4</f>
        <v>258271.446</v>
      </c>
      <c r="N4" s="902">
        <f>L4*$N$3</f>
        <v>8255.8799999999992</v>
      </c>
      <c r="O4" s="902">
        <f>L4*$O$3</f>
        <v>1788.7739999999999</v>
      </c>
      <c r="P4" s="902">
        <f>L4*$P$3</f>
        <v>8255.8799999999992</v>
      </c>
      <c r="Q4" s="902">
        <f>L4*$Q$3</f>
        <v>2751.96</v>
      </c>
      <c r="R4" s="902">
        <f>L4*$R$3</f>
        <v>4127.9399999999996</v>
      </c>
      <c r="S4" s="903">
        <f>SUM(O4:R4)</f>
        <v>16924.553999999996</v>
      </c>
      <c r="T4" s="1508">
        <f>S4/6</f>
        <v>2820.7589999999996</v>
      </c>
      <c r="U4" s="1510"/>
    </row>
    <row r="5" spans="2:26">
      <c r="B5" s="898">
        <v>49</v>
      </c>
      <c r="C5" s="899">
        <v>45590</v>
      </c>
      <c r="D5" s="907" t="s">
        <v>847</v>
      </c>
      <c r="E5" s="907" t="s">
        <v>737</v>
      </c>
      <c r="F5" s="901" t="s">
        <v>954</v>
      </c>
      <c r="G5" s="902">
        <f t="shared" si="0"/>
        <v>28019.073916666664</v>
      </c>
      <c r="H5" s="902">
        <f t="shared" ref="H5:H32" si="2">T5</f>
        <v>1836.0927499999998</v>
      </c>
      <c r="I5" s="1335">
        <v>0</v>
      </c>
      <c r="J5" s="1335">
        <f t="shared" si="1"/>
        <v>28019.073916666664</v>
      </c>
      <c r="K5" s="900">
        <v>45680</v>
      </c>
      <c r="L5" s="902">
        <v>179131</v>
      </c>
      <c r="M5" s="1371">
        <f>L5-S5</f>
        <v>168114.44349999999</v>
      </c>
      <c r="N5" s="902">
        <f>L5*$N$3</f>
        <v>5373.9299999999994</v>
      </c>
      <c r="O5" s="902">
        <f>L5*$O$3</f>
        <v>1164.3515</v>
      </c>
      <c r="P5" s="902">
        <f>L5*$P$3</f>
        <v>5373.9299999999994</v>
      </c>
      <c r="Q5" s="902">
        <f>L5*$Q$3</f>
        <v>1791.31</v>
      </c>
      <c r="R5" s="902">
        <f>L5*$R$3</f>
        <v>2686.9649999999997</v>
      </c>
      <c r="S5" s="903">
        <f>SUM(O5:R5)</f>
        <v>11016.556499999999</v>
      </c>
      <c r="T5" s="1508">
        <f t="shared" ref="T5:T26" si="3">S5/6</f>
        <v>1836.0927499999998</v>
      </c>
      <c r="U5" s="1510"/>
    </row>
    <row r="6" spans="2:26" ht="15.75" customHeight="1" thickBot="1">
      <c r="B6" s="1336" t="s">
        <v>1161</v>
      </c>
      <c r="C6" s="1337">
        <v>45590</v>
      </c>
      <c r="D6" s="1338" t="s">
        <v>843</v>
      </c>
      <c r="E6" s="1339" t="s">
        <v>739</v>
      </c>
      <c r="F6" s="1340" t="s">
        <v>953</v>
      </c>
      <c r="G6" s="1341">
        <f t="shared" si="0"/>
        <v>3361.5</v>
      </c>
      <c r="H6" s="1341">
        <f t="shared" si="2"/>
        <v>0</v>
      </c>
      <c r="I6" s="1342">
        <v>0</v>
      </c>
      <c r="J6" s="1342">
        <f t="shared" si="1"/>
        <v>3361.5</v>
      </c>
      <c r="K6" s="1343">
        <v>45680</v>
      </c>
      <c r="L6" s="902">
        <v>20169</v>
      </c>
      <c r="M6" s="902">
        <v>20169</v>
      </c>
      <c r="N6" s="902"/>
      <c r="O6" s="902"/>
      <c r="P6" s="902"/>
      <c r="Q6" s="902"/>
      <c r="R6" s="902"/>
      <c r="S6" s="903"/>
      <c r="T6" s="1508">
        <f t="shared" si="3"/>
        <v>0</v>
      </c>
      <c r="U6" s="1510"/>
    </row>
    <row r="7" spans="2:26" ht="18" customHeight="1" thickBot="1">
      <c r="B7" s="898" t="s">
        <v>834</v>
      </c>
      <c r="C7" s="899">
        <v>45590</v>
      </c>
      <c r="D7" s="907" t="s">
        <v>847</v>
      </c>
      <c r="E7" s="897" t="s">
        <v>740</v>
      </c>
      <c r="F7" s="1344" t="s">
        <v>954</v>
      </c>
      <c r="G7" s="902">
        <f t="shared" si="0"/>
        <v>3009.7566666666667</v>
      </c>
      <c r="H7" s="902">
        <f t="shared" si="2"/>
        <v>0</v>
      </c>
      <c r="I7" s="1335">
        <v>0</v>
      </c>
      <c r="J7" s="1335">
        <f t="shared" si="1"/>
        <v>3009.7566666666667</v>
      </c>
      <c r="K7" s="900">
        <v>45680</v>
      </c>
      <c r="L7" s="902">
        <v>18058.54</v>
      </c>
      <c r="M7" s="902">
        <v>18058.54</v>
      </c>
      <c r="N7" s="902"/>
      <c r="O7" s="902"/>
      <c r="P7" s="902"/>
      <c r="Q7" s="902"/>
      <c r="R7" s="902"/>
      <c r="S7" s="903"/>
      <c r="T7" s="1508">
        <f t="shared" si="3"/>
        <v>0</v>
      </c>
      <c r="U7" s="1510"/>
    </row>
    <row r="8" spans="2:26" ht="16">
      <c r="B8" s="898">
        <v>51</v>
      </c>
      <c r="C8" s="899">
        <v>45618</v>
      </c>
      <c r="D8" s="907" t="s">
        <v>738</v>
      </c>
      <c r="E8" s="907" t="s">
        <v>738</v>
      </c>
      <c r="F8" s="901" t="s">
        <v>955</v>
      </c>
      <c r="G8" s="902">
        <f t="shared" si="0"/>
        <v>9454.3363799999988</v>
      </c>
      <c r="H8" s="902">
        <f t="shared" si="2"/>
        <v>619.54362000000003</v>
      </c>
      <c r="I8" s="1335">
        <v>0</v>
      </c>
      <c r="J8" s="1335">
        <f t="shared" si="1"/>
        <v>9454.3363799999988</v>
      </c>
      <c r="K8" s="900">
        <v>45663</v>
      </c>
      <c r="L8" s="1372">
        <v>60443.28</v>
      </c>
      <c r="M8" s="1371">
        <f t="shared" ref="M8:M26" si="4">L8-S8</f>
        <v>56726.018279999997</v>
      </c>
      <c r="N8" s="902">
        <f t="shared" ref="N8:N14" si="5">L8*$N$3</f>
        <v>1813.2983999999999</v>
      </c>
      <c r="O8" s="902">
        <f t="shared" ref="O8:O14" si="6">L8*$O$3</f>
        <v>392.88131999999996</v>
      </c>
      <c r="P8" s="902">
        <f t="shared" ref="P8:P14" si="7">L8*$P$3</f>
        <v>1813.2983999999999</v>
      </c>
      <c r="Q8" s="902">
        <f t="shared" ref="Q8:Q14" si="8">L8*$Q$3</f>
        <v>604.43280000000004</v>
      </c>
      <c r="R8" s="902">
        <f t="shared" ref="R8:R14" si="9">L8*$R$3</f>
        <v>906.64919999999995</v>
      </c>
      <c r="S8" s="903">
        <f t="shared" ref="S8:S14" si="10">SUM(O8:R8)</f>
        <v>3717.26172</v>
      </c>
      <c r="T8" s="1508">
        <f t="shared" si="3"/>
        <v>619.54362000000003</v>
      </c>
      <c r="U8" s="1510"/>
    </row>
    <row r="9" spans="2:26">
      <c r="B9" s="898">
        <v>52</v>
      </c>
      <c r="C9" s="899">
        <v>45621</v>
      </c>
      <c r="D9" s="907" t="s">
        <v>843</v>
      </c>
      <c r="E9" s="901" t="s">
        <v>835</v>
      </c>
      <c r="F9" s="901" t="s">
        <v>956</v>
      </c>
      <c r="G9" s="902">
        <f t="shared" si="0"/>
        <v>24508.145416666666</v>
      </c>
      <c r="H9" s="902">
        <f t="shared" si="2"/>
        <v>1606.02125</v>
      </c>
      <c r="I9" s="1335">
        <v>0</v>
      </c>
      <c r="J9" s="1335">
        <f t="shared" si="1"/>
        <v>24508.145416666666</v>
      </c>
      <c r="K9" s="900">
        <v>45713</v>
      </c>
      <c r="L9" s="902">
        <v>156685</v>
      </c>
      <c r="M9" s="1371">
        <f t="shared" si="4"/>
        <v>147048.8725</v>
      </c>
      <c r="N9" s="902">
        <f t="shared" si="5"/>
        <v>4700.55</v>
      </c>
      <c r="O9" s="902">
        <f t="shared" si="6"/>
        <v>1018.4525</v>
      </c>
      <c r="P9" s="902">
        <f t="shared" si="7"/>
        <v>4700.55</v>
      </c>
      <c r="Q9" s="902">
        <f t="shared" si="8"/>
        <v>1566.8500000000001</v>
      </c>
      <c r="R9" s="902">
        <f t="shared" si="9"/>
        <v>2350.2750000000001</v>
      </c>
      <c r="S9" s="903">
        <f t="shared" si="10"/>
        <v>9636.1275000000005</v>
      </c>
      <c r="T9" s="1508">
        <f t="shared" si="3"/>
        <v>1606.02125</v>
      </c>
      <c r="U9" s="1510"/>
    </row>
    <row r="10" spans="2:26">
      <c r="B10" s="898">
        <v>53</v>
      </c>
      <c r="C10" s="899">
        <v>45621</v>
      </c>
      <c r="D10" s="907" t="s">
        <v>847</v>
      </c>
      <c r="E10" t="s">
        <v>836</v>
      </c>
      <c r="F10" s="901" t="s">
        <v>957</v>
      </c>
      <c r="G10" s="902">
        <f t="shared" si="0"/>
        <v>34179.700749999996</v>
      </c>
      <c r="H10" s="902">
        <f t="shared" si="2"/>
        <v>2239.7992499999996</v>
      </c>
      <c r="I10" s="1335">
        <v>0</v>
      </c>
      <c r="J10" s="1335">
        <f t="shared" si="1"/>
        <v>34179.700749999996</v>
      </c>
      <c r="K10" s="900">
        <v>45713</v>
      </c>
      <c r="L10" s="1373">
        <v>218517</v>
      </c>
      <c r="M10" s="1371">
        <f t="shared" si="4"/>
        <v>205078.20449999999</v>
      </c>
      <c r="N10" s="902">
        <f t="shared" si="5"/>
        <v>6555.5099999999993</v>
      </c>
      <c r="O10" s="902">
        <f t="shared" si="6"/>
        <v>1420.3605</v>
      </c>
      <c r="P10" s="902">
        <f t="shared" si="7"/>
        <v>6555.5099999999993</v>
      </c>
      <c r="Q10" s="902">
        <f t="shared" si="8"/>
        <v>2185.17</v>
      </c>
      <c r="R10" s="902">
        <f t="shared" si="9"/>
        <v>3277.7549999999997</v>
      </c>
      <c r="S10" s="903">
        <f t="shared" si="10"/>
        <v>13438.795499999998</v>
      </c>
      <c r="T10" s="1508">
        <f t="shared" si="3"/>
        <v>2239.7992499999996</v>
      </c>
      <c r="U10" s="1510"/>
      <c r="X10" s="87"/>
    </row>
    <row r="11" spans="2:26">
      <c r="B11" s="898">
        <v>54</v>
      </c>
      <c r="C11" s="899">
        <v>45637</v>
      </c>
      <c r="D11" s="907" t="s">
        <v>847</v>
      </c>
      <c r="E11" s="907" t="s">
        <v>837</v>
      </c>
      <c r="F11" s="901" t="s">
        <v>958</v>
      </c>
      <c r="G11" s="902">
        <f t="shared" si="0"/>
        <v>7054.2352500000006</v>
      </c>
      <c r="H11" s="902">
        <f t="shared" si="2"/>
        <v>462.26475000000005</v>
      </c>
      <c r="I11" s="1335">
        <v>0</v>
      </c>
      <c r="J11" s="1335">
        <f t="shared" si="1"/>
        <v>7054.2352500000006</v>
      </c>
      <c r="K11" s="900">
        <v>45727</v>
      </c>
      <c r="L11" s="1374">
        <v>45099</v>
      </c>
      <c r="M11" s="1371">
        <f t="shared" si="4"/>
        <v>42325.411500000002</v>
      </c>
      <c r="N11" s="902">
        <f t="shared" si="5"/>
        <v>1352.97</v>
      </c>
      <c r="O11" s="902">
        <f t="shared" si="6"/>
        <v>293.14349999999996</v>
      </c>
      <c r="P11" s="902">
        <f t="shared" si="7"/>
        <v>1352.97</v>
      </c>
      <c r="Q11" s="902">
        <f t="shared" si="8"/>
        <v>450.99</v>
      </c>
      <c r="R11" s="902">
        <f t="shared" si="9"/>
        <v>676.48500000000001</v>
      </c>
      <c r="S11" s="903">
        <f t="shared" si="10"/>
        <v>2773.5885000000003</v>
      </c>
      <c r="T11" s="1508">
        <f t="shared" si="3"/>
        <v>462.26475000000005</v>
      </c>
      <c r="U11" s="1510"/>
      <c r="X11" s="88"/>
    </row>
    <row r="12" spans="2:26" s="653" customFormat="1">
      <c r="B12" s="898">
        <v>55</v>
      </c>
      <c r="C12" s="899">
        <v>45637</v>
      </c>
      <c r="D12" s="907" t="s">
        <v>843</v>
      </c>
      <c r="E12" s="1345" t="s">
        <v>838</v>
      </c>
      <c r="F12" s="1345" t="s">
        <v>959</v>
      </c>
      <c r="G12" s="902">
        <f t="shared" si="0"/>
        <v>5951.9670000000006</v>
      </c>
      <c r="H12" s="902">
        <f t="shared" si="2"/>
        <v>390.03299999999996</v>
      </c>
      <c r="I12" s="1335">
        <v>0</v>
      </c>
      <c r="J12" s="1335">
        <f t="shared" si="1"/>
        <v>5951.9670000000006</v>
      </c>
      <c r="K12" s="900">
        <v>45727</v>
      </c>
      <c r="L12" s="1374">
        <v>38052</v>
      </c>
      <c r="M12" s="1375">
        <f t="shared" si="4"/>
        <v>35711.802000000003</v>
      </c>
      <c r="N12" s="1374">
        <f t="shared" si="5"/>
        <v>1141.56</v>
      </c>
      <c r="O12" s="1374">
        <f t="shared" si="6"/>
        <v>247.33799999999999</v>
      </c>
      <c r="P12" s="1374">
        <f t="shared" si="7"/>
        <v>1141.56</v>
      </c>
      <c r="Q12" s="1374">
        <f t="shared" si="8"/>
        <v>380.52</v>
      </c>
      <c r="R12" s="1374">
        <f t="shared" si="9"/>
        <v>570.78</v>
      </c>
      <c r="S12" s="1345">
        <f t="shared" si="10"/>
        <v>2340.1979999999999</v>
      </c>
      <c r="T12" s="1508">
        <f t="shared" si="3"/>
        <v>390.03299999999996</v>
      </c>
      <c r="U12" s="1511"/>
      <c r="W12"/>
      <c r="X12"/>
      <c r="Y12"/>
      <c r="Z12"/>
    </row>
    <row r="13" spans="2:26" ht="16" thickBot="1">
      <c r="B13" s="898">
        <v>56</v>
      </c>
      <c r="C13" s="899">
        <v>45640</v>
      </c>
      <c r="D13" s="907" t="s">
        <v>843</v>
      </c>
      <c r="E13" s="1346" t="s">
        <v>839</v>
      </c>
      <c r="F13" s="901" t="s">
        <v>959</v>
      </c>
      <c r="G13" s="902">
        <f t="shared" si="0"/>
        <v>9743.1941666666662</v>
      </c>
      <c r="H13" s="902">
        <f t="shared" si="2"/>
        <v>638.47249999999997</v>
      </c>
      <c r="I13" s="1335">
        <v>0</v>
      </c>
      <c r="J13" s="1335">
        <f t="shared" si="1"/>
        <v>9743.1941666666662</v>
      </c>
      <c r="K13" s="900">
        <v>45730</v>
      </c>
      <c r="L13" s="902">
        <v>62290</v>
      </c>
      <c r="M13" s="1371">
        <f t="shared" si="4"/>
        <v>58459.165000000001</v>
      </c>
      <c r="N13" s="902">
        <f t="shared" si="5"/>
        <v>1868.6999999999998</v>
      </c>
      <c r="O13" s="902">
        <f t="shared" si="6"/>
        <v>404.88499999999999</v>
      </c>
      <c r="P13" s="902">
        <f t="shared" si="7"/>
        <v>1868.6999999999998</v>
      </c>
      <c r="Q13" s="902">
        <f t="shared" si="8"/>
        <v>622.9</v>
      </c>
      <c r="R13" s="902">
        <f t="shared" si="9"/>
        <v>934.34999999999991</v>
      </c>
      <c r="S13" s="903">
        <f t="shared" si="10"/>
        <v>3830.835</v>
      </c>
      <c r="T13" s="1508">
        <f t="shared" si="3"/>
        <v>638.47249999999997</v>
      </c>
      <c r="U13" s="1510"/>
    </row>
    <row r="14" spans="2:26" ht="15.75" customHeight="1" thickBot="1">
      <c r="B14" s="898">
        <v>57</v>
      </c>
      <c r="C14" s="899">
        <v>45640</v>
      </c>
      <c r="D14" s="907" t="s">
        <v>847</v>
      </c>
      <c r="E14" s="1347" t="s">
        <v>840</v>
      </c>
      <c r="F14" s="901" t="s">
        <v>959</v>
      </c>
      <c r="G14" s="902">
        <f t="shared" si="0"/>
        <v>16407.013416666665</v>
      </c>
      <c r="H14" s="902">
        <f t="shared" si="2"/>
        <v>1075.1532500000001</v>
      </c>
      <c r="I14" s="1335">
        <v>0</v>
      </c>
      <c r="J14" s="1335">
        <f t="shared" si="1"/>
        <v>16407.013416666665</v>
      </c>
      <c r="K14" s="900">
        <v>45730</v>
      </c>
      <c r="L14" s="257">
        <v>104893</v>
      </c>
      <c r="M14" s="1371">
        <f t="shared" si="4"/>
        <v>98442.080499999996</v>
      </c>
      <c r="N14" s="902">
        <f t="shared" si="5"/>
        <v>3146.79</v>
      </c>
      <c r="O14" s="902">
        <f t="shared" si="6"/>
        <v>681.80449999999996</v>
      </c>
      <c r="P14" s="902">
        <f t="shared" si="7"/>
        <v>3146.79</v>
      </c>
      <c r="Q14" s="902">
        <f t="shared" si="8"/>
        <v>1048.93</v>
      </c>
      <c r="R14" s="902">
        <f t="shared" si="9"/>
        <v>1573.395</v>
      </c>
      <c r="S14" s="903">
        <f t="shared" si="10"/>
        <v>6450.9195</v>
      </c>
      <c r="T14" s="1508">
        <f t="shared" si="3"/>
        <v>1075.1532500000001</v>
      </c>
      <c r="U14" s="1510"/>
    </row>
    <row r="15" spans="2:26">
      <c r="B15" s="1336" t="s">
        <v>841</v>
      </c>
      <c r="C15" s="1337">
        <v>45640</v>
      </c>
      <c r="D15" s="1338" t="s">
        <v>843</v>
      </c>
      <c r="E15" s="1348" t="s">
        <v>842</v>
      </c>
      <c r="F15" s="1348" t="s">
        <v>959</v>
      </c>
      <c r="G15" s="1341">
        <f t="shared" si="0"/>
        <v>2629.19</v>
      </c>
      <c r="H15" s="1341">
        <f t="shared" si="2"/>
        <v>0</v>
      </c>
      <c r="I15" s="1342">
        <v>0</v>
      </c>
      <c r="J15" s="1342">
        <f t="shared" si="1"/>
        <v>2629.19</v>
      </c>
      <c r="K15" s="1343">
        <v>45730</v>
      </c>
      <c r="L15" s="257">
        <v>15775.14</v>
      </c>
      <c r="M15" s="1371">
        <f t="shared" si="4"/>
        <v>15775.14</v>
      </c>
      <c r="N15" s="902"/>
      <c r="O15" s="902"/>
      <c r="P15" s="902"/>
      <c r="Q15" s="902"/>
      <c r="R15" s="902"/>
      <c r="S15" s="903"/>
      <c r="T15" s="1508">
        <f t="shared" si="3"/>
        <v>0</v>
      </c>
      <c r="U15" s="1510"/>
    </row>
    <row r="16" spans="2:26">
      <c r="B16" s="1377">
        <v>58</v>
      </c>
      <c r="C16" s="1378">
        <v>45680</v>
      </c>
      <c r="D16" s="1379" t="s">
        <v>843</v>
      </c>
      <c r="E16" s="1380" t="s">
        <v>1162</v>
      </c>
      <c r="F16" s="1379" t="s">
        <v>960</v>
      </c>
      <c r="G16" s="1381">
        <f t="shared" si="0"/>
        <v>21227.144724166665</v>
      </c>
      <c r="H16" s="1381">
        <f t="shared" si="2"/>
        <v>1391.0169425000001</v>
      </c>
      <c r="I16" s="1382" t="s">
        <v>1163</v>
      </c>
      <c r="J16" s="1381">
        <v>21327.41</v>
      </c>
      <c r="K16" s="1383">
        <v>45769</v>
      </c>
      <c r="L16" s="902">
        <v>135708.97</v>
      </c>
      <c r="M16" s="1371">
        <f t="shared" si="4"/>
        <v>127362.868345</v>
      </c>
      <c r="N16" s="902">
        <f>L16*$N$3</f>
        <v>4071.2691</v>
      </c>
      <c r="O16" s="902">
        <f>L16*$O$3</f>
        <v>882.10830499999997</v>
      </c>
      <c r="P16" s="902">
        <f>L16*$P$3</f>
        <v>4071.2691</v>
      </c>
      <c r="Q16" s="902">
        <f>L16*$Q$3</f>
        <v>1357.0897</v>
      </c>
      <c r="R16" s="902">
        <f>L16*$R$3</f>
        <v>2035.63455</v>
      </c>
      <c r="S16" s="903">
        <f>SUM(O16:R16)</f>
        <v>8346.1016550000004</v>
      </c>
      <c r="T16" s="1508">
        <f t="shared" si="3"/>
        <v>1391.0169425000001</v>
      </c>
      <c r="U16" s="1510"/>
      <c r="V16" s="257"/>
    </row>
    <row r="17" spans="2:26">
      <c r="B17" s="1377">
        <v>59</v>
      </c>
      <c r="C17" s="1378">
        <v>45681</v>
      </c>
      <c r="D17" s="1379" t="s">
        <v>844</v>
      </c>
      <c r="E17" s="1384" t="s">
        <v>1162</v>
      </c>
      <c r="F17" s="1379" t="s">
        <v>960</v>
      </c>
      <c r="G17" s="1381">
        <f t="shared" si="0"/>
        <v>18747.163166666665</v>
      </c>
      <c r="H17" s="1381">
        <f t="shared" si="2"/>
        <v>1228.5035</v>
      </c>
      <c r="I17" s="1349">
        <v>0</v>
      </c>
      <c r="J17" s="1381">
        <f>G17</f>
        <v>18747.163166666665</v>
      </c>
      <c r="K17" s="1383">
        <v>45771</v>
      </c>
      <c r="L17" s="902">
        <v>119854</v>
      </c>
      <c r="M17" s="1371">
        <f t="shared" si="4"/>
        <v>112482.97899999999</v>
      </c>
      <c r="N17" s="902">
        <f>L17*$N$3</f>
        <v>3595.62</v>
      </c>
      <c r="O17" s="902">
        <f>L17*$O$3</f>
        <v>779.05099999999993</v>
      </c>
      <c r="P17" s="902">
        <f>L17*$P$3</f>
        <v>3595.62</v>
      </c>
      <c r="Q17" s="902">
        <f>L17*$Q$3</f>
        <v>1198.54</v>
      </c>
      <c r="R17" s="902">
        <f>L17*$R$3</f>
        <v>1797.81</v>
      </c>
      <c r="S17" s="903">
        <f>SUM(O17:R17)</f>
        <v>7371.0210000000006</v>
      </c>
      <c r="T17" s="1508">
        <f t="shared" si="3"/>
        <v>1228.5035</v>
      </c>
      <c r="U17" s="1510"/>
    </row>
    <row r="18" spans="2:26">
      <c r="B18" s="1377" t="s">
        <v>845</v>
      </c>
      <c r="C18" s="1378">
        <v>45681</v>
      </c>
      <c r="D18" s="1379" t="s">
        <v>844</v>
      </c>
      <c r="E18" s="1384" t="s">
        <v>1164</v>
      </c>
      <c r="F18" s="1379" t="s">
        <v>960</v>
      </c>
      <c r="G18" s="1381">
        <f>L18/6</f>
        <v>2642.4949999999999</v>
      </c>
      <c r="H18" s="1381">
        <f t="shared" si="2"/>
        <v>0</v>
      </c>
      <c r="I18" s="1382" t="s">
        <v>1165</v>
      </c>
      <c r="J18" s="1381">
        <f>2642.5+162</f>
        <v>2804.5</v>
      </c>
      <c r="K18" s="1383">
        <v>45771</v>
      </c>
      <c r="L18" s="902">
        <v>15854.97</v>
      </c>
      <c r="M18" s="1371">
        <f t="shared" si="4"/>
        <v>15854.97</v>
      </c>
      <c r="N18" s="902"/>
      <c r="O18" s="902"/>
      <c r="P18" s="902"/>
      <c r="Q18" s="902"/>
      <c r="R18" s="902"/>
      <c r="S18" s="903"/>
      <c r="T18" s="1508">
        <v>0</v>
      </c>
      <c r="U18" s="1510"/>
      <c r="V18" s="257"/>
    </row>
    <row r="19" spans="2:26">
      <c r="B19" s="898">
        <v>60</v>
      </c>
      <c r="C19" s="899">
        <v>45684</v>
      </c>
      <c r="D19" s="901" t="s">
        <v>1166</v>
      </c>
      <c r="E19" s="901" t="s">
        <v>1167</v>
      </c>
      <c r="F19" s="901" t="s">
        <v>958</v>
      </c>
      <c r="G19" s="902">
        <f t="shared" ref="G19:G24" si="11">M19/6</f>
        <v>52931.259224999994</v>
      </c>
      <c r="H19" s="902">
        <f t="shared" si="2"/>
        <v>3468.5907749999992</v>
      </c>
      <c r="I19" s="902">
        <v>0</v>
      </c>
      <c r="J19" s="902">
        <f>G19</f>
        <v>52931.259224999994</v>
      </c>
      <c r="K19" s="900">
        <v>45721</v>
      </c>
      <c r="L19" s="902">
        <v>338399.1</v>
      </c>
      <c r="M19" s="1371">
        <f t="shared" si="4"/>
        <v>317587.55534999998</v>
      </c>
      <c r="N19" s="902">
        <f>L19*$N$3</f>
        <v>10151.972999999998</v>
      </c>
      <c r="O19" s="902">
        <f>L19*$O$3</f>
        <v>2199.5941499999999</v>
      </c>
      <c r="P19" s="902">
        <f t="shared" ref="P19:P26" si="12">L19*$P$3</f>
        <v>10151.972999999998</v>
      </c>
      <c r="Q19" s="902">
        <f t="shared" ref="Q19:Q26" si="13">L19*$Q$3</f>
        <v>3383.991</v>
      </c>
      <c r="R19" s="902">
        <f t="shared" ref="R19:R26" si="14">L19*$R$3</f>
        <v>5075.9864999999991</v>
      </c>
      <c r="S19" s="903">
        <f>SUM(O19:R19)</f>
        <v>20811.544649999996</v>
      </c>
      <c r="T19" s="1508">
        <f t="shared" si="3"/>
        <v>3468.5907749999992</v>
      </c>
      <c r="U19" s="1510"/>
    </row>
    <row r="20" spans="2:26">
      <c r="B20" s="1377">
        <v>62</v>
      </c>
      <c r="C20" s="1378">
        <v>45727</v>
      </c>
      <c r="D20" s="1379" t="s">
        <v>1168</v>
      </c>
      <c r="E20" s="1379" t="s">
        <v>1167</v>
      </c>
      <c r="F20" s="1379" t="s">
        <v>959</v>
      </c>
      <c r="G20" s="1381">
        <f t="shared" si="11"/>
        <v>54268.058625000005</v>
      </c>
      <c r="H20" s="1381">
        <f t="shared" si="2"/>
        <v>3556.1913749999999</v>
      </c>
      <c r="I20" s="1381">
        <v>0</v>
      </c>
      <c r="J20" s="1381">
        <f>G20</f>
        <v>54268.058625000005</v>
      </c>
      <c r="K20" s="1383">
        <v>45769</v>
      </c>
      <c r="L20" s="257">
        <v>346945.5</v>
      </c>
      <c r="M20" s="1371">
        <f t="shared" si="4"/>
        <v>325608.35175000003</v>
      </c>
      <c r="N20" s="902">
        <f t="shared" ref="N20:N26" si="15">L20*$N$3</f>
        <v>10408.365</v>
      </c>
      <c r="O20" s="902">
        <f t="shared" ref="O20:O26" si="16">L20*$O$3</f>
        <v>2255.1457499999997</v>
      </c>
      <c r="P20" s="902">
        <f t="shared" si="12"/>
        <v>10408.365</v>
      </c>
      <c r="Q20" s="902">
        <f t="shared" si="13"/>
        <v>3469.4549999999999</v>
      </c>
      <c r="R20" s="902">
        <f t="shared" si="14"/>
        <v>5204.1824999999999</v>
      </c>
      <c r="S20" s="903">
        <f t="shared" ref="S20:S26" si="17">SUM(O20:R20)</f>
        <v>21337.148249999998</v>
      </c>
      <c r="T20" s="1508">
        <f t="shared" si="3"/>
        <v>3556.1913749999999</v>
      </c>
      <c r="U20" s="1510"/>
    </row>
    <row r="21" spans="2:26" ht="15" customHeight="1">
      <c r="B21" s="1350">
        <v>63</v>
      </c>
      <c r="C21" s="1351">
        <v>45733</v>
      </c>
      <c r="D21" s="1352" t="s">
        <v>843</v>
      </c>
      <c r="E21" s="1353" t="s">
        <v>1169</v>
      </c>
      <c r="F21" s="1352" t="s">
        <v>961</v>
      </c>
      <c r="G21" s="1354">
        <f t="shared" si="11"/>
        <v>9498.7149166666659</v>
      </c>
      <c r="H21" s="1354">
        <f t="shared" si="2"/>
        <v>622.45175000000006</v>
      </c>
      <c r="I21" s="1355"/>
      <c r="J21" s="1354"/>
      <c r="K21" s="1356">
        <v>45825</v>
      </c>
      <c r="L21" s="902">
        <v>60727</v>
      </c>
      <c r="M21" s="1371">
        <f t="shared" si="4"/>
        <v>56992.289499999999</v>
      </c>
      <c r="N21" s="902">
        <f t="shared" si="15"/>
        <v>1821.81</v>
      </c>
      <c r="O21" s="902">
        <f t="shared" si="16"/>
        <v>394.72549999999995</v>
      </c>
      <c r="P21" s="902">
        <f t="shared" si="12"/>
        <v>1821.81</v>
      </c>
      <c r="Q21" s="902">
        <f t="shared" si="13"/>
        <v>607.27</v>
      </c>
      <c r="R21" s="902">
        <f t="shared" si="14"/>
        <v>910.90499999999997</v>
      </c>
      <c r="S21" s="903">
        <f>SUM(O21:R21)</f>
        <v>3734.7105000000001</v>
      </c>
      <c r="T21" s="1508">
        <f t="shared" si="3"/>
        <v>622.45175000000006</v>
      </c>
      <c r="U21" s="1510"/>
    </row>
    <row r="22" spans="2:26">
      <c r="B22" s="1350">
        <v>64</v>
      </c>
      <c r="C22" s="1351">
        <v>45733</v>
      </c>
      <c r="D22" s="1352" t="s">
        <v>847</v>
      </c>
      <c r="E22" s="1353" t="s">
        <v>1170</v>
      </c>
      <c r="F22" s="1352" t="s">
        <v>961</v>
      </c>
      <c r="G22" s="1354">
        <f t="shared" si="11"/>
        <v>11785.213750000001</v>
      </c>
      <c r="H22" s="1354">
        <f t="shared" si="2"/>
        <v>772.28625</v>
      </c>
      <c r="I22" s="1354"/>
      <c r="J22" s="1354"/>
      <c r="K22" s="1356">
        <v>45825</v>
      </c>
      <c r="L22" s="902">
        <v>75345</v>
      </c>
      <c r="M22" s="1371">
        <f t="shared" si="4"/>
        <v>70711.282500000001</v>
      </c>
      <c r="N22" s="902">
        <f t="shared" si="15"/>
        <v>2260.35</v>
      </c>
      <c r="O22" s="902">
        <f t="shared" si="16"/>
        <v>489.74249999999995</v>
      </c>
      <c r="P22" s="902">
        <f t="shared" si="12"/>
        <v>2260.35</v>
      </c>
      <c r="Q22" s="902">
        <f t="shared" si="13"/>
        <v>753.45</v>
      </c>
      <c r="R22" s="902">
        <f t="shared" si="14"/>
        <v>1130.175</v>
      </c>
      <c r="S22" s="903">
        <f>SUM(O22:R22)</f>
        <v>4633.7174999999997</v>
      </c>
      <c r="T22" s="1508">
        <f t="shared" si="3"/>
        <v>772.28625</v>
      </c>
      <c r="U22" s="1510"/>
    </row>
    <row r="23" spans="2:26">
      <c r="B23" s="1350">
        <v>65</v>
      </c>
      <c r="C23" s="1351">
        <v>45740</v>
      </c>
      <c r="D23" s="1352" t="s">
        <v>1171</v>
      </c>
      <c r="E23" s="1352" t="s">
        <v>1172</v>
      </c>
      <c r="F23" s="1352" t="s">
        <v>1011</v>
      </c>
      <c r="G23" s="1354">
        <f t="shared" si="11"/>
        <v>8091.6312516666667</v>
      </c>
      <c r="H23" s="1354">
        <f t="shared" si="2"/>
        <v>530.24541499999998</v>
      </c>
      <c r="I23" s="1354"/>
      <c r="J23" s="1354"/>
      <c r="K23" s="1357">
        <v>45789</v>
      </c>
      <c r="L23" s="1376">
        <v>51731.26</v>
      </c>
      <c r="M23" s="1371">
        <f>L23-S23</f>
        <v>48549.787510000002</v>
      </c>
      <c r="N23" s="902">
        <f>L23*$N$3</f>
        <v>1551.9377999999999</v>
      </c>
      <c r="O23" s="902">
        <f>L23*$O$3</f>
        <v>336.25319000000002</v>
      </c>
      <c r="P23" s="902">
        <f t="shared" si="12"/>
        <v>1551.9377999999999</v>
      </c>
      <c r="Q23" s="902">
        <f t="shared" si="13"/>
        <v>517.31259999999997</v>
      </c>
      <c r="R23" s="902">
        <f t="shared" si="14"/>
        <v>775.96889999999996</v>
      </c>
      <c r="S23" s="903">
        <f>SUM(O23:R23)</f>
        <v>3181.4724900000001</v>
      </c>
      <c r="T23" s="1508">
        <f t="shared" si="3"/>
        <v>530.24541499999998</v>
      </c>
      <c r="U23" s="1510"/>
    </row>
    <row r="24" spans="2:26">
      <c r="B24" s="1350">
        <v>66</v>
      </c>
      <c r="C24" s="1351">
        <v>45740</v>
      </c>
      <c r="D24" s="1352" t="s">
        <v>897</v>
      </c>
      <c r="E24" s="1352"/>
      <c r="F24" s="1352" t="s">
        <v>960</v>
      </c>
      <c r="G24" s="1354">
        <f t="shared" si="11"/>
        <v>20260.619549999999</v>
      </c>
      <c r="H24" s="1354">
        <f t="shared" si="2"/>
        <v>1327.6804500000001</v>
      </c>
      <c r="I24" s="1354"/>
      <c r="J24" s="1354"/>
      <c r="K24" s="1357">
        <v>45802</v>
      </c>
      <c r="L24" s="902">
        <v>129529.8</v>
      </c>
      <c r="M24" s="1371">
        <f>L24-S24</f>
        <v>121563.7173</v>
      </c>
      <c r="N24" s="902">
        <f>L24*$N$3</f>
        <v>3885.8939999999998</v>
      </c>
      <c r="O24" s="902">
        <f>L24*$O$3</f>
        <v>841.94370000000004</v>
      </c>
      <c r="P24" s="902">
        <f t="shared" si="12"/>
        <v>3885.8939999999998</v>
      </c>
      <c r="Q24" s="902">
        <f t="shared" si="13"/>
        <v>1295.298</v>
      </c>
      <c r="R24" s="902">
        <f t="shared" si="14"/>
        <v>1942.9469999999999</v>
      </c>
      <c r="S24" s="903">
        <f>SUM(O24:R24)</f>
        <v>7966.0826999999999</v>
      </c>
      <c r="T24" s="1508">
        <f t="shared" si="3"/>
        <v>1327.6804500000001</v>
      </c>
      <c r="U24" s="1510"/>
    </row>
    <row r="25" spans="2:26">
      <c r="B25" s="1350">
        <v>67</v>
      </c>
      <c r="C25" s="1356">
        <v>45758</v>
      </c>
      <c r="D25" s="1352" t="s">
        <v>843</v>
      </c>
      <c r="E25" s="1352"/>
      <c r="F25" s="1352" t="s">
        <v>962</v>
      </c>
      <c r="G25" s="1354">
        <f t="shared" ref="G25:G32" si="18">M25/6</f>
        <v>4858.4580833333339</v>
      </c>
      <c r="H25" s="1354">
        <f t="shared" si="2"/>
        <v>318.37524999999999</v>
      </c>
      <c r="I25" s="1354"/>
      <c r="J25" s="1354"/>
      <c r="K25" s="1357">
        <v>45849</v>
      </c>
      <c r="L25" s="902">
        <v>31061</v>
      </c>
      <c r="M25" s="1371">
        <f t="shared" si="4"/>
        <v>29150.748500000002</v>
      </c>
      <c r="N25" s="902">
        <f t="shared" si="15"/>
        <v>931.82999999999993</v>
      </c>
      <c r="O25" s="902">
        <f t="shared" si="16"/>
        <v>201.8965</v>
      </c>
      <c r="P25" s="902">
        <f t="shared" si="12"/>
        <v>931.82999999999993</v>
      </c>
      <c r="Q25" s="902">
        <f t="shared" si="13"/>
        <v>310.61</v>
      </c>
      <c r="R25" s="902">
        <f t="shared" si="14"/>
        <v>465.91499999999996</v>
      </c>
      <c r="S25" s="903">
        <f t="shared" si="17"/>
        <v>1910.2514999999999</v>
      </c>
      <c r="T25" s="1508">
        <f t="shared" si="3"/>
        <v>318.37524999999999</v>
      </c>
      <c r="U25" s="1510"/>
    </row>
    <row r="26" spans="2:26">
      <c r="B26" s="898"/>
      <c r="C26" s="899"/>
      <c r="D26" s="901"/>
      <c r="E26" s="901"/>
      <c r="F26" s="901"/>
      <c r="G26" s="1354">
        <f t="shared" si="18"/>
        <v>0</v>
      </c>
      <c r="H26" s="902">
        <f t="shared" si="2"/>
        <v>0</v>
      </c>
      <c r="I26" s="902"/>
      <c r="J26" s="902"/>
      <c r="K26" s="900"/>
      <c r="L26" s="902"/>
      <c r="M26" s="1371">
        <f t="shared" si="4"/>
        <v>0</v>
      </c>
      <c r="N26" s="902">
        <f t="shared" si="15"/>
        <v>0</v>
      </c>
      <c r="O26" s="902">
        <f t="shared" si="16"/>
        <v>0</v>
      </c>
      <c r="P26" s="902">
        <f t="shared" si="12"/>
        <v>0</v>
      </c>
      <c r="Q26" s="902">
        <f t="shared" si="13"/>
        <v>0</v>
      </c>
      <c r="R26" s="902">
        <f t="shared" si="14"/>
        <v>0</v>
      </c>
      <c r="S26" s="903">
        <f t="shared" si="17"/>
        <v>0</v>
      </c>
      <c r="T26" s="1508">
        <f t="shared" si="3"/>
        <v>0</v>
      </c>
      <c r="U26" s="1510"/>
    </row>
    <row r="27" spans="2:26" s="31" customFormat="1" ht="20.25" customHeight="1">
      <c r="B27" s="898"/>
      <c r="C27" s="899"/>
      <c r="D27" s="901"/>
      <c r="E27" s="901"/>
      <c r="F27" s="901"/>
      <c r="G27" s="1354">
        <v>0</v>
      </c>
      <c r="H27" s="902">
        <f t="shared" si="2"/>
        <v>0</v>
      </c>
      <c r="I27" s="902"/>
      <c r="J27" s="902"/>
      <c r="K27" s="900"/>
      <c r="L27" s="904">
        <f t="shared" ref="L27:S27" si="19">SUM(L4:L26)</f>
        <v>2499465.5599999991</v>
      </c>
      <c r="M27" s="904">
        <f t="shared" si="19"/>
        <v>2350044.673535001</v>
      </c>
      <c r="N27" s="904">
        <f t="shared" si="19"/>
        <v>72888.237299999993</v>
      </c>
      <c r="O27" s="904">
        <f t="shared" si="19"/>
        <v>15792.451415000001</v>
      </c>
      <c r="P27" s="904">
        <f t="shared" si="19"/>
        <v>72888.237299999993</v>
      </c>
      <c r="Q27" s="904">
        <f t="shared" si="19"/>
        <v>24296.079100000003</v>
      </c>
      <c r="R27" s="904">
        <f t="shared" si="19"/>
        <v>36444.118649999997</v>
      </c>
      <c r="S27" s="904">
        <f t="shared" si="19"/>
        <v>149420.88646499996</v>
      </c>
      <c r="T27" s="1509"/>
      <c r="U27" s="1512"/>
      <c r="W27"/>
      <c r="X27"/>
      <c r="Y27"/>
      <c r="Z27"/>
    </row>
    <row r="28" spans="2:26">
      <c r="B28" s="898"/>
      <c r="C28" s="899"/>
      <c r="D28" s="901"/>
      <c r="E28" s="901"/>
      <c r="F28" s="901"/>
      <c r="G28" s="1354">
        <f t="shared" si="18"/>
        <v>0</v>
      </c>
      <c r="H28" s="902">
        <f t="shared" si="2"/>
        <v>0</v>
      </c>
      <c r="I28" s="902"/>
      <c r="J28" s="902"/>
      <c r="K28" s="900"/>
      <c r="U28" s="1510"/>
    </row>
    <row r="29" spans="2:26">
      <c r="B29" s="898"/>
      <c r="C29" s="899"/>
      <c r="D29" s="901"/>
      <c r="E29" s="901"/>
      <c r="F29" s="901"/>
      <c r="G29" s="1354">
        <f t="shared" si="18"/>
        <v>0</v>
      </c>
      <c r="H29" s="902">
        <f t="shared" si="2"/>
        <v>0</v>
      </c>
      <c r="I29" s="902"/>
      <c r="J29" s="902"/>
      <c r="K29" s="900"/>
      <c r="L29"/>
      <c r="M29"/>
      <c r="N29"/>
      <c r="O29"/>
      <c r="P29"/>
      <c r="Q29"/>
      <c r="R29"/>
      <c r="S29"/>
      <c r="T29"/>
      <c r="U29" s="1513"/>
    </row>
    <row r="30" spans="2:26">
      <c r="B30" s="898"/>
      <c r="C30" s="899"/>
      <c r="D30" s="901"/>
      <c r="E30" s="901"/>
      <c r="F30" s="901"/>
      <c r="G30" s="1354">
        <f t="shared" si="18"/>
        <v>0</v>
      </c>
      <c r="H30" s="902">
        <f t="shared" si="2"/>
        <v>0</v>
      </c>
      <c r="I30" s="902"/>
      <c r="J30" s="902"/>
      <c r="K30" s="900"/>
      <c r="L30"/>
      <c r="M30"/>
      <c r="N30"/>
      <c r="O30"/>
      <c r="P30"/>
      <c r="Q30"/>
      <c r="R30"/>
      <c r="S30"/>
      <c r="T30"/>
      <c r="U30" s="1513"/>
    </row>
    <row r="31" spans="2:26">
      <c r="B31" s="898"/>
      <c r="C31" s="899"/>
      <c r="D31" s="901"/>
      <c r="E31" s="901"/>
      <c r="F31" s="901"/>
      <c r="G31" s="1354">
        <f t="shared" si="18"/>
        <v>0</v>
      </c>
      <c r="H31" s="902">
        <f t="shared" si="2"/>
        <v>0</v>
      </c>
      <c r="I31" s="902"/>
      <c r="J31" s="902"/>
      <c r="K31" s="900"/>
      <c r="L31"/>
      <c r="M31"/>
      <c r="N31"/>
      <c r="O31"/>
      <c r="P31"/>
      <c r="Q31"/>
      <c r="R31"/>
      <c r="S31"/>
      <c r="T31"/>
      <c r="U31" s="1513"/>
    </row>
    <row r="32" spans="2:26">
      <c r="B32" s="898"/>
      <c r="C32" s="899"/>
      <c r="D32" s="901"/>
      <c r="E32" s="901"/>
      <c r="F32" s="901"/>
      <c r="G32" s="1354">
        <f t="shared" si="18"/>
        <v>0</v>
      </c>
      <c r="H32" s="902">
        <f t="shared" si="2"/>
        <v>0</v>
      </c>
      <c r="I32" s="902"/>
      <c r="J32" s="902"/>
      <c r="K32" s="900"/>
      <c r="L32"/>
      <c r="M32"/>
      <c r="N32"/>
      <c r="O32"/>
      <c r="P32"/>
      <c r="Q32"/>
      <c r="R32"/>
      <c r="S32"/>
      <c r="T32"/>
      <c r="U32" s="1513"/>
    </row>
    <row r="33" spans="2:21">
      <c r="B33" s="1358" t="s">
        <v>848</v>
      </c>
      <c r="C33" s="1359"/>
      <c r="D33" s="1360"/>
      <c r="E33" s="1360"/>
      <c r="F33" s="1360"/>
      <c r="G33" s="1361">
        <f>SUM(G4:G32)</f>
        <v>391674.11225583334</v>
      </c>
      <c r="H33" s="1361">
        <f>SUM(H4:H32)</f>
        <v>24903.481077500001</v>
      </c>
      <c r="I33" s="1361"/>
      <c r="J33" s="1361">
        <f>SUM(J4:J32)</f>
        <v>337441.74497999996</v>
      </c>
      <c r="K33" s="1362"/>
      <c r="L33"/>
      <c r="M33"/>
      <c r="N33"/>
      <c r="O33"/>
      <c r="P33"/>
      <c r="Q33"/>
      <c r="R33"/>
      <c r="S33"/>
      <c r="T33"/>
      <c r="U33" s="1513"/>
    </row>
    <row r="34" spans="2:21">
      <c r="G34"/>
      <c r="H34"/>
      <c r="I34"/>
      <c r="J34"/>
      <c r="L34"/>
      <c r="M34"/>
      <c r="N34"/>
      <c r="O34"/>
      <c r="P34"/>
      <c r="Q34"/>
      <c r="R34"/>
      <c r="S34"/>
      <c r="T34"/>
      <c r="U34"/>
    </row>
    <row r="35" spans="2:21">
      <c r="G35"/>
      <c r="H35"/>
      <c r="I35"/>
      <c r="J35"/>
      <c r="L35"/>
      <c r="M35"/>
      <c r="N35"/>
      <c r="O35"/>
      <c r="P35"/>
      <c r="Q35"/>
      <c r="R35"/>
      <c r="S35"/>
      <c r="T35"/>
      <c r="U35"/>
    </row>
    <row r="36" spans="2:21">
      <c r="G36"/>
      <c r="H36"/>
      <c r="I36"/>
      <c r="J36"/>
      <c r="L36"/>
      <c r="M36"/>
      <c r="N36"/>
      <c r="O36"/>
      <c r="P36"/>
      <c r="Q36"/>
      <c r="R36"/>
      <c r="S36"/>
      <c r="T36"/>
      <c r="U36"/>
    </row>
    <row r="37" spans="2:21">
      <c r="G37"/>
      <c r="H37"/>
      <c r="I37"/>
      <c r="J37"/>
      <c r="L37"/>
      <c r="M37"/>
      <c r="N37"/>
      <c r="O37"/>
      <c r="P37"/>
      <c r="Q37"/>
      <c r="R37"/>
      <c r="S37"/>
      <c r="T37"/>
      <c r="U37"/>
    </row>
    <row r="38" spans="2:21">
      <c r="G38"/>
      <c r="H38"/>
      <c r="I38"/>
      <c r="J38"/>
      <c r="L38"/>
      <c r="M38"/>
      <c r="N38"/>
      <c r="O38"/>
      <c r="P38"/>
      <c r="Q38"/>
      <c r="R38"/>
      <c r="S38"/>
      <c r="T38"/>
      <c r="U38"/>
    </row>
    <row r="39" spans="2:21">
      <c r="G39"/>
      <c r="H39"/>
      <c r="I39"/>
      <c r="J39"/>
      <c r="L39"/>
      <c r="M39"/>
      <c r="N39"/>
      <c r="O39"/>
      <c r="P39"/>
      <c r="Q39"/>
      <c r="R39"/>
      <c r="S39"/>
      <c r="T39"/>
      <c r="U39"/>
    </row>
    <row r="40" spans="2:21">
      <c r="G40"/>
      <c r="H40"/>
      <c r="I40"/>
      <c r="J40"/>
      <c r="L40"/>
      <c r="M40"/>
      <c r="N40"/>
      <c r="O40"/>
      <c r="P40"/>
      <c r="Q40"/>
      <c r="R40"/>
      <c r="S40"/>
      <c r="T40"/>
      <c r="U40"/>
    </row>
    <row r="41" spans="2:21">
      <c r="G41"/>
      <c r="H41"/>
      <c r="I41"/>
      <c r="J41"/>
      <c r="L41"/>
      <c r="M41"/>
      <c r="N41"/>
      <c r="O41"/>
      <c r="P41"/>
      <c r="Q41"/>
      <c r="R41"/>
      <c r="S41"/>
      <c r="T41"/>
      <c r="U41"/>
    </row>
    <row r="42" spans="2:21">
      <c r="G42"/>
      <c r="H42"/>
      <c r="I42"/>
      <c r="J42"/>
      <c r="L42"/>
      <c r="M42"/>
      <c r="N42"/>
      <c r="O42"/>
      <c r="P42"/>
      <c r="Q42"/>
      <c r="R42"/>
      <c r="S42"/>
      <c r="T42"/>
      <c r="U42"/>
    </row>
    <row r="43" spans="2:21">
      <c r="G43"/>
      <c r="H43"/>
      <c r="I43"/>
      <c r="J43"/>
      <c r="L43"/>
      <c r="M43"/>
      <c r="N43"/>
      <c r="O43"/>
      <c r="P43"/>
      <c r="Q43"/>
      <c r="R43"/>
      <c r="S43"/>
      <c r="T43"/>
      <c r="U43"/>
    </row>
    <row r="44" spans="2:21">
      <c r="G44"/>
      <c r="H44"/>
      <c r="I44"/>
      <c r="J44"/>
      <c r="L44"/>
      <c r="M44"/>
      <c r="N44"/>
      <c r="O44"/>
      <c r="P44"/>
      <c r="Q44"/>
      <c r="R44"/>
      <c r="S44"/>
      <c r="T44"/>
      <c r="U44"/>
    </row>
    <row r="45" spans="2:21">
      <c r="G45"/>
      <c r="H45"/>
      <c r="I45"/>
      <c r="J45"/>
      <c r="L45"/>
      <c r="M45"/>
      <c r="N45"/>
      <c r="O45"/>
      <c r="P45"/>
      <c r="Q45"/>
      <c r="R45"/>
      <c r="S45"/>
      <c r="T45"/>
      <c r="U45"/>
    </row>
    <row r="46" spans="2:21">
      <c r="G46"/>
      <c r="H46"/>
      <c r="I46"/>
      <c r="J46"/>
      <c r="L46"/>
      <c r="M46"/>
      <c r="N46"/>
      <c r="O46"/>
      <c r="P46"/>
      <c r="Q46"/>
      <c r="R46"/>
      <c r="S46"/>
      <c r="T46"/>
      <c r="U46"/>
    </row>
    <row r="47" spans="2:21">
      <c r="G47"/>
      <c r="H47"/>
      <c r="I47"/>
      <c r="J47"/>
      <c r="L47"/>
      <c r="M47"/>
      <c r="N47"/>
      <c r="O47"/>
      <c r="P47"/>
      <c r="Q47"/>
      <c r="R47"/>
      <c r="S47"/>
      <c r="T47"/>
      <c r="U47"/>
    </row>
    <row r="48" spans="2:21">
      <c r="G48"/>
      <c r="H48"/>
      <c r="I48"/>
      <c r="J48"/>
      <c r="L48"/>
      <c r="M48"/>
      <c r="N48"/>
      <c r="O48"/>
      <c r="P48"/>
      <c r="Q48"/>
      <c r="R48"/>
      <c r="S48"/>
      <c r="T48"/>
      <c r="U48"/>
    </row>
    <row r="49" customFormat="1"/>
    <row r="50" customFormat="1"/>
    <row r="51" customFormat="1"/>
    <row r="52" customFormat="1"/>
    <row r="53" customFormat="1"/>
    <row r="54" customFormat="1"/>
    <row r="55" customFormat="1" ht="15" customHeigh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 ht="6.75" customHeigh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</sheetData>
  <phoneticPr fontId="1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E855-51B8-4228-B4F1-E4F23941C50C}">
  <sheetPr codeName="Hoja27"/>
  <dimension ref="A1:J28"/>
  <sheetViews>
    <sheetView workbookViewId="0">
      <selection activeCell="I16" sqref="I16"/>
    </sheetView>
  </sheetViews>
  <sheetFormatPr baseColWidth="10" defaultColWidth="10.83203125" defaultRowHeight="15"/>
  <cols>
    <col min="1" max="1" width="10.5" style="925" customWidth="1"/>
    <col min="2" max="2" width="11.1640625" style="925" customWidth="1"/>
    <col min="3" max="3" width="13" style="925" customWidth="1"/>
    <col min="4" max="4" width="69.5" style="925" customWidth="1"/>
    <col min="5" max="5" width="16.5" style="925" customWidth="1"/>
    <col min="6" max="6" width="13.5" style="925" customWidth="1"/>
    <col min="7" max="7" width="14.5" style="925" customWidth="1"/>
    <col min="8" max="8" width="13.5" style="925" customWidth="1"/>
    <col min="9" max="9" width="13" style="925" customWidth="1"/>
    <col min="10" max="16384" width="10.83203125" style="925"/>
  </cols>
  <sheetData>
    <row r="1" spans="1:9" ht="17.25" customHeight="1">
      <c r="A1" s="946" t="s">
        <v>146</v>
      </c>
      <c r="B1" s="947"/>
      <c r="C1" s="947"/>
      <c r="D1" s="947"/>
    </row>
    <row r="2" spans="1:9" ht="17.25" customHeight="1">
      <c r="A2" s="946" t="s">
        <v>147</v>
      </c>
      <c r="B2" s="947"/>
      <c r="C2" s="947"/>
      <c r="D2" s="947"/>
      <c r="G2" s="948"/>
      <c r="I2" s="949"/>
    </row>
    <row r="3" spans="1:9" ht="15" customHeight="1">
      <c r="F3" s="949"/>
      <c r="I3" s="949"/>
    </row>
    <row r="4" spans="1:9" ht="17.25" customHeight="1">
      <c r="D4" s="946" t="s">
        <v>471</v>
      </c>
    </row>
    <row r="5" spans="1:9">
      <c r="A5" s="950"/>
      <c r="B5" s="950"/>
      <c r="C5" s="950"/>
      <c r="D5" s="950"/>
      <c r="E5" s="951"/>
      <c r="F5" s="952"/>
      <c r="G5" s="953"/>
      <c r="H5" s="950"/>
      <c r="I5" s="953"/>
    </row>
    <row r="6" spans="1:9">
      <c r="A6" s="941" t="s">
        <v>151</v>
      </c>
      <c r="B6" s="942" t="s">
        <v>152</v>
      </c>
      <c r="C6" s="942" t="s">
        <v>22</v>
      </c>
      <c r="D6" s="942" t="s">
        <v>982</v>
      </c>
      <c r="E6" s="942" t="s">
        <v>154</v>
      </c>
      <c r="F6" s="942" t="s">
        <v>983</v>
      </c>
      <c r="G6" s="942" t="s">
        <v>806</v>
      </c>
      <c r="H6" s="942" t="s">
        <v>807</v>
      </c>
      <c r="I6" s="943" t="s">
        <v>159</v>
      </c>
    </row>
    <row r="7" spans="1:9">
      <c r="A7" s="926" t="s">
        <v>984</v>
      </c>
      <c r="B7" s="927">
        <v>1</v>
      </c>
      <c r="C7" s="928" t="s">
        <v>985</v>
      </c>
      <c r="D7" s="929" t="s">
        <v>986</v>
      </c>
      <c r="E7" s="930">
        <v>28545</v>
      </c>
      <c r="F7" s="930"/>
      <c r="G7" s="930">
        <v>0</v>
      </c>
      <c r="H7" s="930">
        <v>28545</v>
      </c>
      <c r="I7" s="931" t="s">
        <v>987</v>
      </c>
    </row>
    <row r="8" spans="1:9">
      <c r="A8" s="926" t="s">
        <v>988</v>
      </c>
      <c r="B8" s="927">
        <v>1</v>
      </c>
      <c r="C8" s="928" t="s">
        <v>989</v>
      </c>
      <c r="D8" s="929" t="s">
        <v>990</v>
      </c>
      <c r="E8" s="930">
        <v>66652.91</v>
      </c>
      <c r="F8" s="932"/>
      <c r="G8" s="930">
        <v>26</v>
      </c>
      <c r="H8" s="930">
        <v>66627</v>
      </c>
      <c r="I8" s="931" t="s">
        <v>991</v>
      </c>
    </row>
    <row r="9" spans="1:9" ht="16" thickBot="1">
      <c r="A9" s="954"/>
      <c r="B9" s="955"/>
      <c r="C9" s="956"/>
      <c r="D9" s="957"/>
      <c r="E9" s="958"/>
      <c r="F9" s="958"/>
      <c r="G9" s="958"/>
      <c r="H9" s="958"/>
      <c r="I9" s="959"/>
    </row>
    <row r="10" spans="1:9" ht="16" thickBot="1">
      <c r="A10" s="935"/>
      <c r="B10" s="936"/>
      <c r="C10" s="937"/>
      <c r="D10" s="938" t="s">
        <v>992</v>
      </c>
      <c r="E10" s="939">
        <f>SUM(E7:E8)</f>
        <v>95197.91</v>
      </c>
      <c r="F10" s="939">
        <f>SUM(F7:F8)</f>
        <v>0</v>
      </c>
      <c r="G10" s="939">
        <f>SUM(G7:G8)</f>
        <v>26</v>
      </c>
      <c r="H10" s="939">
        <f>SUM(H7:H8)</f>
        <v>95172</v>
      </c>
      <c r="I10" s="965"/>
    </row>
    <row r="11" spans="1:9">
      <c r="A11" s="960" t="s">
        <v>993</v>
      </c>
      <c r="B11" s="961">
        <v>1</v>
      </c>
      <c r="C11" s="962" t="s">
        <v>994</v>
      </c>
      <c r="D11" s="963" t="s">
        <v>995</v>
      </c>
      <c r="E11" s="964">
        <v>112741</v>
      </c>
      <c r="F11" s="964">
        <v>0</v>
      </c>
      <c r="G11" s="964">
        <v>0</v>
      </c>
      <c r="H11" s="964">
        <v>112741</v>
      </c>
      <c r="I11" s="943" t="s">
        <v>996</v>
      </c>
    </row>
    <row r="12" spans="1:9">
      <c r="A12" s="933" t="s">
        <v>997</v>
      </c>
      <c r="B12" s="927">
        <v>12025</v>
      </c>
      <c r="C12" s="928" t="s">
        <v>998</v>
      </c>
      <c r="D12" s="929" t="s">
        <v>999</v>
      </c>
      <c r="E12" s="930">
        <v>37712</v>
      </c>
      <c r="F12" s="930">
        <v>0</v>
      </c>
      <c r="G12" s="930">
        <v>0</v>
      </c>
      <c r="H12" s="930">
        <v>37712</v>
      </c>
      <c r="I12" s="931" t="s">
        <v>1000</v>
      </c>
    </row>
    <row r="13" spans="1:9">
      <c r="A13" s="933" t="s">
        <v>1001</v>
      </c>
      <c r="B13" s="927">
        <v>3</v>
      </c>
      <c r="C13" s="928" t="s">
        <v>994</v>
      </c>
      <c r="D13" s="929" t="s">
        <v>1002</v>
      </c>
      <c r="E13" s="930">
        <v>80209</v>
      </c>
      <c r="F13" s="930">
        <v>0</v>
      </c>
      <c r="G13" s="930">
        <v>0</v>
      </c>
      <c r="H13" s="930">
        <v>80209</v>
      </c>
      <c r="I13" s="931" t="s">
        <v>1003</v>
      </c>
    </row>
    <row r="14" spans="1:9">
      <c r="A14" s="933" t="s">
        <v>1004</v>
      </c>
      <c r="B14" s="927">
        <v>22025</v>
      </c>
      <c r="C14" s="928" t="s">
        <v>998</v>
      </c>
      <c r="D14" s="929" t="s">
        <v>1005</v>
      </c>
      <c r="E14" s="930">
        <v>96628</v>
      </c>
      <c r="F14" s="930">
        <v>0</v>
      </c>
      <c r="G14" s="930">
        <v>0</v>
      </c>
      <c r="H14" s="930">
        <v>96628</v>
      </c>
      <c r="I14" s="931" t="s">
        <v>1004</v>
      </c>
    </row>
    <row r="15" spans="1:9">
      <c r="A15" s="1237" t="s">
        <v>1053</v>
      </c>
      <c r="B15" s="1235">
        <v>4</v>
      </c>
      <c r="C15" s="928" t="s">
        <v>994</v>
      </c>
      <c r="D15" s="1236" t="s">
        <v>1054</v>
      </c>
      <c r="E15" s="930">
        <v>112981</v>
      </c>
      <c r="F15" s="930"/>
      <c r="G15" s="930"/>
      <c r="H15" s="930">
        <v>112980.69</v>
      </c>
      <c r="I15" s="931" t="s">
        <v>1006</v>
      </c>
    </row>
    <row r="16" spans="1:9" ht="16" thickBot="1">
      <c r="A16" s="933" t="s">
        <v>1007</v>
      </c>
      <c r="B16" s="927">
        <v>32025</v>
      </c>
      <c r="C16" s="928" t="s">
        <v>998</v>
      </c>
      <c r="D16" s="929" t="s">
        <v>1008</v>
      </c>
      <c r="E16" s="930">
        <v>84975</v>
      </c>
      <c r="F16" s="930">
        <v>0</v>
      </c>
      <c r="G16" s="930">
        <v>0</v>
      </c>
      <c r="H16" s="930">
        <v>84975</v>
      </c>
      <c r="I16" s="934">
        <v>45755</v>
      </c>
    </row>
    <row r="17" spans="1:10" ht="16" thickBot="1">
      <c r="A17" s="944"/>
      <c r="B17" s="944"/>
      <c r="C17" s="944"/>
      <c r="D17" s="945" t="s">
        <v>1009</v>
      </c>
      <c r="E17" s="939">
        <f>SUM(E10:E16)</f>
        <v>620443.91</v>
      </c>
      <c r="F17" s="939">
        <f>SUM(F10:F16)</f>
        <v>0</v>
      </c>
      <c r="G17" s="939">
        <f>SUM(G10:G16)</f>
        <v>26</v>
      </c>
      <c r="H17" s="939">
        <f>SUM(H10:H16)</f>
        <v>620417.68999999994</v>
      </c>
      <c r="I17" s="940"/>
    </row>
    <row r="18" spans="1:10">
      <c r="C18" s="438"/>
      <c r="D18"/>
      <c r="E18" s="30" t="s">
        <v>160</v>
      </c>
      <c r="F18" s="1228" t="s">
        <v>161</v>
      </c>
      <c r="G18" s="30" t="s">
        <v>162</v>
      </c>
      <c r="H18" s="1228" t="s">
        <v>163</v>
      </c>
      <c r="I18" s="925" t="s">
        <v>1051</v>
      </c>
      <c r="J18" s="925" t="s">
        <v>1050</v>
      </c>
    </row>
    <row r="19" spans="1:10">
      <c r="C19" t="s">
        <v>1052</v>
      </c>
      <c r="D19">
        <v>2024</v>
      </c>
      <c r="E19" s="438">
        <v>0</v>
      </c>
      <c r="F19" s="1225">
        <f>SUM(E8)-G8</f>
        <v>66626.91</v>
      </c>
      <c r="G19" s="1225">
        <f>SUM(E7)</f>
        <v>28545</v>
      </c>
      <c r="H19" s="1225">
        <v>0</v>
      </c>
      <c r="I19" s="1230">
        <f>SUM(E19:H19)</f>
        <v>95171.91</v>
      </c>
    </row>
    <row r="20" spans="1:10">
      <c r="C20"/>
      <c r="D20">
        <v>2025</v>
      </c>
      <c r="E20" s="438">
        <f>+E11+E12</f>
        <v>150453</v>
      </c>
      <c r="F20" s="1225">
        <f>SUM(E13+E14)</f>
        <v>176837</v>
      </c>
      <c r="G20" s="1225">
        <f>+E15</f>
        <v>112981</v>
      </c>
      <c r="H20" s="1225">
        <f>+H16</f>
        <v>84975</v>
      </c>
      <c r="I20" s="1230">
        <f>SUM(E20:H20)</f>
        <v>525246</v>
      </c>
      <c r="J20" s="949">
        <v>0</v>
      </c>
    </row>
    <row r="21" spans="1:10">
      <c r="C21"/>
      <c r="D21"/>
      <c r="E21" s="438"/>
      <c r="F21" s="1225"/>
      <c r="G21" s="790"/>
      <c r="H21" s="1225"/>
    </row>
    <row r="22" spans="1:10">
      <c r="C22" s="1232" t="s">
        <v>1052</v>
      </c>
      <c r="D22" s="907">
        <v>2025</v>
      </c>
      <c r="E22" s="1234">
        <f>+E11+E12+E13</f>
        <v>230662</v>
      </c>
      <c r="F22" s="1234">
        <f>+E14</f>
        <v>96628</v>
      </c>
      <c r="G22" s="1234">
        <f>+E15+E16</f>
        <v>197956</v>
      </c>
      <c r="H22" s="1234"/>
      <c r="I22" s="1233"/>
      <c r="J22" s="1233"/>
    </row>
    <row r="23" spans="1:10">
      <c r="C23"/>
      <c r="D23"/>
      <c r="E23" s="438"/>
      <c r="F23" s="1225"/>
      <c r="G23" s="790"/>
      <c r="H23" s="1225"/>
    </row>
    <row r="24" spans="1:10">
      <c r="C24" s="1232" t="s">
        <v>1052</v>
      </c>
      <c r="D24" s="907">
        <v>2025</v>
      </c>
      <c r="E24" s="1234">
        <f>+E11+E12+E13</f>
        <v>230662</v>
      </c>
      <c r="F24" s="1234">
        <f>+E14</f>
        <v>96628</v>
      </c>
      <c r="G24" s="1234">
        <f>+E15+E16</f>
        <v>197956</v>
      </c>
      <c r="H24" s="1234"/>
    </row>
    <row r="27" spans="1:10">
      <c r="E27" s="949">
        <f>SUM(E11+E12+E13)</f>
        <v>230662</v>
      </c>
      <c r="F27" s="949">
        <f>+E14</f>
        <v>96628</v>
      </c>
      <c r="G27" s="949">
        <f>SUM(E15+E16)</f>
        <v>197956</v>
      </c>
    </row>
    <row r="28" spans="1:10">
      <c r="E28" s="949">
        <f>SUM(E11+E12)</f>
        <v>150453</v>
      </c>
      <c r="F28" s="949">
        <f>+E13+E14</f>
        <v>176837</v>
      </c>
      <c r="G28" s="949">
        <f>+E15</f>
        <v>112981</v>
      </c>
      <c r="H28" s="949">
        <f>+E16</f>
        <v>84975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09EE-54E1-413E-A5B6-6B7C92141B7A}">
  <sheetPr codeName="Hoja28"/>
  <dimension ref="B4:I39"/>
  <sheetViews>
    <sheetView workbookViewId="0">
      <selection activeCell="J23" sqref="J23"/>
    </sheetView>
  </sheetViews>
  <sheetFormatPr baseColWidth="10" defaultRowHeight="15"/>
  <cols>
    <col min="2" max="2" width="15" customWidth="1"/>
    <col min="3" max="3" width="15.5" customWidth="1"/>
    <col min="4" max="4" width="13" customWidth="1"/>
    <col min="5" max="5" width="16.5" bestFit="1" customWidth="1"/>
  </cols>
  <sheetData>
    <row r="4" spans="2:5">
      <c r="D4" s="87"/>
      <c r="E4" s="1507"/>
    </row>
    <row r="5" spans="2:5">
      <c r="D5" s="87"/>
      <c r="E5" s="1507"/>
    </row>
    <row r="6" spans="2:5" ht="16" thickBot="1">
      <c r="B6" s="2014" t="s">
        <v>1783</v>
      </c>
      <c r="E6" s="22"/>
    </row>
    <row r="7" spans="2:5" ht="16" thickBot="1">
      <c r="B7" s="2015" t="s">
        <v>532</v>
      </c>
      <c r="C7" s="2016" t="s">
        <v>1402</v>
      </c>
      <c r="D7" s="2016" t="s">
        <v>537</v>
      </c>
      <c r="E7" s="22"/>
    </row>
    <row r="8" spans="2:5" ht="16" thickBot="1">
      <c r="B8" s="350" t="s">
        <v>533</v>
      </c>
      <c r="C8" s="2017">
        <v>173</v>
      </c>
      <c r="D8" s="2017">
        <v>430</v>
      </c>
      <c r="E8" s="22"/>
    </row>
    <row r="9" spans="2:5" ht="16" thickBot="1">
      <c r="B9" s="350" t="s">
        <v>229</v>
      </c>
      <c r="C9" s="2017">
        <v>123</v>
      </c>
      <c r="D9" s="2103"/>
      <c r="E9" s="22"/>
    </row>
    <row r="10" spans="2:5" ht="16" thickBot="1">
      <c r="B10" s="350" t="s">
        <v>490</v>
      </c>
      <c r="C10" s="2017">
        <v>135</v>
      </c>
      <c r="D10" s="2103"/>
      <c r="E10" s="22"/>
    </row>
    <row r="11" spans="2:5" ht="16" thickBot="1">
      <c r="B11" s="350" t="s">
        <v>534</v>
      </c>
      <c r="C11" s="2017">
        <v>180</v>
      </c>
      <c r="D11" s="2103"/>
      <c r="E11" s="22"/>
    </row>
    <row r="12" spans="2:5" ht="16" thickBot="1">
      <c r="B12" s="350" t="s">
        <v>535</v>
      </c>
      <c r="C12" s="2017">
        <v>278</v>
      </c>
      <c r="D12" s="2103"/>
    </row>
    <row r="13" spans="2:5" ht="16" thickBot="1">
      <c r="B13" s="788" t="s">
        <v>536</v>
      </c>
      <c r="C13" s="2017">
        <v>534</v>
      </c>
      <c r="D13" s="2103"/>
      <c r="E13" s="22"/>
    </row>
    <row r="14" spans="2:5" ht="16" thickBot="1">
      <c r="B14" s="2018" t="s">
        <v>230</v>
      </c>
      <c r="C14" s="2019">
        <f>SUM(C8:C13)</f>
        <v>1423</v>
      </c>
      <c r="D14" s="2019">
        <f>SUM(D8:D13)</f>
        <v>430</v>
      </c>
      <c r="E14" s="22"/>
    </row>
    <row r="15" spans="2:5">
      <c r="E15" s="22"/>
    </row>
    <row r="16" spans="2:5">
      <c r="E16" s="22"/>
    </row>
    <row r="17" spans="3:9">
      <c r="E17" s="22"/>
    </row>
    <row r="18" spans="3:9">
      <c r="E18" s="22"/>
    </row>
    <row r="19" spans="3:9">
      <c r="E19" s="22"/>
    </row>
    <row r="20" spans="3:9">
      <c r="C20" s="22"/>
      <c r="D20" s="22"/>
      <c r="E20" s="22"/>
      <c r="F20" s="22"/>
      <c r="G20" s="22"/>
      <c r="H20" s="22"/>
      <c r="I20" s="22"/>
    </row>
    <row r="21" spans="3:9">
      <c r="C21" s="22"/>
      <c r="D21" s="22"/>
      <c r="E21" s="22"/>
      <c r="F21" s="22"/>
      <c r="G21" s="22"/>
      <c r="H21" s="22"/>
      <c r="I21" s="22"/>
    </row>
    <row r="22" spans="3:9">
      <c r="C22" s="22"/>
      <c r="D22" s="22"/>
      <c r="E22" s="22"/>
      <c r="F22" s="22"/>
      <c r="G22" s="22"/>
      <c r="H22" s="22"/>
      <c r="I22" s="22"/>
    </row>
    <row r="23" spans="3:9">
      <c r="D23" s="22"/>
      <c r="E23" s="22"/>
      <c r="F23" s="22"/>
      <c r="G23" s="22"/>
      <c r="H23" s="22"/>
      <c r="I23" s="22"/>
    </row>
    <row r="24" spans="3:9">
      <c r="C24" s="22"/>
      <c r="D24" s="22"/>
      <c r="E24" s="22"/>
      <c r="F24" s="22"/>
      <c r="G24" s="22"/>
      <c r="H24" s="22"/>
      <c r="I24" s="22"/>
    </row>
    <row r="25" spans="3:9">
      <c r="C25" s="22"/>
      <c r="D25" s="22"/>
      <c r="E25" s="22"/>
      <c r="F25" s="22"/>
      <c r="G25" s="22"/>
      <c r="H25" s="22"/>
      <c r="I25" s="22"/>
    </row>
    <row r="26" spans="3:9">
      <c r="D26" s="22"/>
      <c r="E26" s="22"/>
      <c r="F26" s="22"/>
      <c r="G26" s="22"/>
      <c r="H26" s="22"/>
      <c r="I26" s="22"/>
    </row>
    <row r="27" spans="3:9">
      <c r="C27" s="22"/>
      <c r="D27" s="22"/>
      <c r="E27" s="22"/>
      <c r="F27" s="22"/>
      <c r="G27" s="22"/>
      <c r="H27" s="22"/>
      <c r="I27" s="22"/>
    </row>
    <row r="28" spans="3:9">
      <c r="C28" s="22"/>
      <c r="D28" s="22"/>
      <c r="E28" s="22"/>
      <c r="F28" s="22"/>
      <c r="G28" s="22"/>
      <c r="H28" s="22"/>
      <c r="I28" s="22"/>
    </row>
    <row r="29" spans="3:9">
      <c r="D29" s="22"/>
      <c r="E29" s="22"/>
      <c r="F29" s="22"/>
      <c r="G29" s="22"/>
      <c r="H29" s="22"/>
      <c r="I29" s="22"/>
    </row>
    <row r="30" spans="3:9">
      <c r="C30" s="22"/>
      <c r="D30" s="22"/>
      <c r="E30" s="22"/>
      <c r="F30" s="22"/>
      <c r="G30" s="22"/>
      <c r="H30" s="22"/>
      <c r="I30" s="22"/>
    </row>
    <row r="31" spans="3:9">
      <c r="C31" s="22"/>
      <c r="D31" s="22"/>
      <c r="E31" s="22"/>
      <c r="F31" s="22"/>
      <c r="G31" s="22"/>
      <c r="H31" s="22"/>
      <c r="I31" s="22"/>
    </row>
    <row r="32" spans="3:9">
      <c r="C32" s="22"/>
      <c r="D32" s="22"/>
      <c r="E32" s="22"/>
      <c r="F32" s="22"/>
      <c r="G32" s="22"/>
      <c r="H32" s="22"/>
      <c r="I32" s="22"/>
    </row>
    <row r="33" spans="3:9">
      <c r="C33" s="22"/>
      <c r="D33" s="22"/>
      <c r="E33" s="22"/>
      <c r="F33" s="22"/>
      <c r="G33" s="22"/>
      <c r="H33" s="22"/>
      <c r="I33" s="22"/>
    </row>
    <row r="34" spans="3:9">
      <c r="C34" s="22"/>
      <c r="D34" s="22"/>
      <c r="E34" s="22"/>
      <c r="F34" s="22"/>
      <c r="G34" s="22"/>
      <c r="H34" s="22"/>
      <c r="I34" s="22"/>
    </row>
    <row r="35" spans="3:9">
      <c r="C35" s="22"/>
      <c r="D35" s="22"/>
      <c r="E35" s="22"/>
      <c r="F35" s="22"/>
      <c r="G35" s="22"/>
      <c r="H35" s="22"/>
      <c r="I35" s="22"/>
    </row>
    <row r="36" spans="3:9">
      <c r="C36" s="22"/>
      <c r="D36" s="22"/>
      <c r="E36" s="22"/>
      <c r="F36" s="22"/>
      <c r="G36" s="22"/>
      <c r="H36" s="22"/>
      <c r="I36" s="22"/>
    </row>
    <row r="37" spans="3:9">
      <c r="C37" s="22"/>
      <c r="D37" s="22"/>
      <c r="E37" s="22"/>
      <c r="F37" s="22"/>
      <c r="G37" s="22"/>
      <c r="H37" s="22"/>
      <c r="I37" s="22"/>
    </row>
    <row r="38" spans="3:9">
      <c r="C38" s="22"/>
      <c r="D38" s="22"/>
      <c r="E38" s="22"/>
      <c r="F38" s="22"/>
      <c r="G38" s="22"/>
      <c r="H38" s="22"/>
      <c r="I38" s="22"/>
    </row>
    <row r="39" spans="3:9">
      <c r="C39" s="22"/>
      <c r="D39" s="22"/>
      <c r="E39" s="22"/>
      <c r="F39" s="22"/>
      <c r="G39" s="22"/>
      <c r="H39" s="22"/>
      <c r="I39" s="2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5E74-B5A3-4241-ACAD-6D3FC3F1FF87}">
  <sheetPr codeName="Hoja29"/>
  <dimension ref="A1:D149"/>
  <sheetViews>
    <sheetView zoomScale="98" zoomScaleNormal="98" workbookViewId="0">
      <selection activeCell="C118" sqref="C118"/>
    </sheetView>
  </sheetViews>
  <sheetFormatPr baseColWidth="10" defaultColWidth="13.5" defaultRowHeight="17"/>
  <cols>
    <col min="1" max="1" width="4.5" style="90" customWidth="1"/>
    <col min="2" max="2" width="58.1640625" style="356" customWidth="1"/>
    <col min="3" max="3" width="21.1640625" style="356" customWidth="1"/>
    <col min="4" max="4" width="23" style="90" bestFit="1" customWidth="1"/>
    <col min="5" max="16384" width="13.5" style="90"/>
  </cols>
  <sheetData>
    <row r="1" spans="1:4" ht="16" customHeight="1">
      <c r="A1" s="90" t="s">
        <v>1425</v>
      </c>
      <c r="B1" s="352" t="s">
        <v>0</v>
      </c>
      <c r="C1" s="353"/>
    </row>
    <row r="2" spans="1:4" ht="16" customHeight="1">
      <c r="B2" s="354"/>
      <c r="C2" s="353"/>
    </row>
    <row r="3" spans="1:4" ht="16" customHeight="1" thickBot="1">
      <c r="B3" s="355">
        <v>45901</v>
      </c>
    </row>
    <row r="4" spans="1:4" ht="16" customHeight="1" thickBot="1">
      <c r="B4" s="1988" t="s">
        <v>1615</v>
      </c>
      <c r="C4" s="1989">
        <v>45901</v>
      </c>
    </row>
    <row r="5" spans="1:4" ht="16" customHeight="1" thickBot="1">
      <c r="B5" s="2119" t="s">
        <v>38</v>
      </c>
      <c r="C5" s="2120" t="s">
        <v>23</v>
      </c>
    </row>
    <row r="6" spans="1:4" ht="16" customHeight="1" thickBot="1">
      <c r="B6" s="2129" t="s">
        <v>1758</v>
      </c>
      <c r="C6" s="2154">
        <v>174481609</v>
      </c>
      <c r="D6" s="2153"/>
    </row>
    <row r="7" spans="1:4" ht="16" hidden="1" customHeight="1">
      <c r="B7" s="2121" t="s">
        <v>1745</v>
      </c>
      <c r="C7" s="2122">
        <v>1030336</v>
      </c>
    </row>
    <row r="8" spans="1:4" ht="16" hidden="1" customHeight="1">
      <c r="B8" s="2117" t="s">
        <v>1174</v>
      </c>
      <c r="C8" s="2118">
        <v>6465406</v>
      </c>
    </row>
    <row r="9" spans="1:4" ht="16" hidden="1" customHeight="1">
      <c r="B9" s="2117" t="s">
        <v>1727</v>
      </c>
      <c r="C9" s="2118">
        <v>2034387</v>
      </c>
    </row>
    <row r="10" spans="1:4" ht="16" hidden="1" customHeight="1">
      <c r="B10" s="2117" t="s">
        <v>1733</v>
      </c>
      <c r="C10" s="2118">
        <v>1506016</v>
      </c>
    </row>
    <row r="11" spans="1:4" ht="16" hidden="1" customHeight="1">
      <c r="B11" s="2117" t="s">
        <v>1735</v>
      </c>
      <c r="C11" s="2118">
        <v>3721900</v>
      </c>
    </row>
    <row r="12" spans="1:4" ht="16" hidden="1" customHeight="1">
      <c r="B12" s="2117" t="s">
        <v>1750</v>
      </c>
      <c r="C12" s="2118">
        <v>2463812</v>
      </c>
      <c r="D12" s="1995"/>
    </row>
    <row r="13" spans="1:4" ht="16" hidden="1" customHeight="1">
      <c r="B13" s="2117" t="s">
        <v>1176</v>
      </c>
      <c r="C13" s="2118">
        <v>1400185</v>
      </c>
    </row>
    <row r="14" spans="1:4" ht="16" hidden="1" customHeight="1">
      <c r="B14" s="2117" t="s">
        <v>1178</v>
      </c>
      <c r="C14" s="2118">
        <v>6610932</v>
      </c>
    </row>
    <row r="15" spans="1:4" ht="16" hidden="1" customHeight="1">
      <c r="B15" s="2117" t="s">
        <v>1179</v>
      </c>
      <c r="C15" s="2118">
        <v>12957648</v>
      </c>
    </row>
    <row r="16" spans="1:4" ht="16" hidden="1" customHeight="1">
      <c r="B16" s="2117" t="s">
        <v>1747</v>
      </c>
      <c r="C16" s="2118">
        <v>1430401</v>
      </c>
    </row>
    <row r="17" spans="1:3" ht="16" hidden="1" customHeight="1">
      <c r="B17" s="2117" t="s">
        <v>1180</v>
      </c>
      <c r="C17" s="2118">
        <v>8013357</v>
      </c>
    </row>
    <row r="18" spans="1:3" ht="16" hidden="1" customHeight="1">
      <c r="A18" s="1389"/>
      <c r="B18" s="2117" t="s">
        <v>1182</v>
      </c>
      <c r="C18" s="2118">
        <v>1823868</v>
      </c>
    </row>
    <row r="19" spans="1:3" ht="16" hidden="1" customHeight="1">
      <c r="A19" s="1389"/>
      <c r="B19" s="2117" t="s">
        <v>1185</v>
      </c>
      <c r="C19" s="2118">
        <v>1101736</v>
      </c>
    </row>
    <row r="20" spans="1:3" ht="16" hidden="1" customHeight="1">
      <c r="A20" s="1389"/>
      <c r="B20" s="2117" t="s">
        <v>1183</v>
      </c>
      <c r="C20" s="2118">
        <v>1702507</v>
      </c>
    </row>
    <row r="21" spans="1:3" ht="16" hidden="1" customHeight="1">
      <c r="A21" s="1389"/>
      <c r="B21" s="2117" t="s">
        <v>1742</v>
      </c>
      <c r="C21" s="2118">
        <v>2556816</v>
      </c>
    </row>
    <row r="22" spans="1:3" ht="16" hidden="1" customHeight="1">
      <c r="A22" s="1389"/>
      <c r="B22" s="2117" t="s">
        <v>1741</v>
      </c>
      <c r="C22" s="2118">
        <v>2708038</v>
      </c>
    </row>
    <row r="23" spans="1:3" ht="16" hidden="1" customHeight="1">
      <c r="B23" s="2117" t="s">
        <v>1732</v>
      </c>
      <c r="C23" s="2118">
        <v>2109776</v>
      </c>
    </row>
    <row r="24" spans="1:3" ht="18" hidden="1" customHeight="1">
      <c r="B24" s="2117" t="s">
        <v>1190</v>
      </c>
      <c r="C24" s="2118">
        <v>2521041</v>
      </c>
    </row>
    <row r="25" spans="1:3" ht="16" hidden="1" customHeight="1">
      <c r="B25" s="2117" t="s">
        <v>1191</v>
      </c>
      <c r="C25" s="2118">
        <v>6010933</v>
      </c>
    </row>
    <row r="26" spans="1:3" ht="16" hidden="1" customHeight="1">
      <c r="B26" s="2117" t="s">
        <v>1192</v>
      </c>
      <c r="C26" s="2118">
        <v>5943708</v>
      </c>
    </row>
    <row r="27" spans="1:3" ht="16" hidden="1" customHeight="1">
      <c r="B27" s="2117" t="s">
        <v>1744</v>
      </c>
      <c r="C27" s="2118">
        <v>2277162</v>
      </c>
    </row>
    <row r="28" spans="1:3" ht="16" hidden="1" customHeight="1">
      <c r="B28" s="2117" t="s">
        <v>1729</v>
      </c>
      <c r="C28" s="2118">
        <v>2676190</v>
      </c>
    </row>
    <row r="29" spans="1:3" ht="16" hidden="1" customHeight="1">
      <c r="B29" s="2117" t="s">
        <v>1743</v>
      </c>
      <c r="C29" s="2118">
        <v>2505330</v>
      </c>
    </row>
    <row r="30" spans="1:3" ht="16" hidden="1" customHeight="1">
      <c r="B30" s="2117" t="s">
        <v>1195</v>
      </c>
      <c r="C30" s="2118">
        <v>3277834</v>
      </c>
    </row>
    <row r="31" spans="1:3" ht="16" hidden="1" customHeight="1">
      <c r="B31" s="2117" t="s">
        <v>1194</v>
      </c>
      <c r="C31" s="2118">
        <v>5741136</v>
      </c>
    </row>
    <row r="32" spans="1:3" ht="16" hidden="1" customHeight="1">
      <c r="B32" s="2117" t="s">
        <v>1196</v>
      </c>
      <c r="C32" s="2118">
        <v>5511904</v>
      </c>
    </row>
    <row r="33" spans="1:4" ht="16" hidden="1" customHeight="1">
      <c r="B33" s="2117" t="s">
        <v>1728</v>
      </c>
      <c r="C33" s="2118">
        <v>5504099</v>
      </c>
    </row>
    <row r="34" spans="1:4" ht="16" hidden="1" customHeight="1">
      <c r="B34" s="2117" t="s">
        <v>1748</v>
      </c>
      <c r="C34" s="2118">
        <v>2500595</v>
      </c>
    </row>
    <row r="35" spans="1:4" ht="16" hidden="1" customHeight="1">
      <c r="B35" s="2117" t="s">
        <v>1199</v>
      </c>
      <c r="C35" s="2118">
        <v>3661947</v>
      </c>
    </row>
    <row r="36" spans="1:4" ht="16.5" hidden="1" customHeight="1">
      <c r="B36" s="2117" t="s">
        <v>1751</v>
      </c>
      <c r="C36" s="2118">
        <v>4516111</v>
      </c>
    </row>
    <row r="37" spans="1:4" ht="16" hidden="1" customHeight="1">
      <c r="B37" s="2117" t="s">
        <v>1201</v>
      </c>
      <c r="C37" s="2118">
        <v>803118</v>
      </c>
    </row>
    <row r="38" spans="1:4" ht="16" hidden="1" customHeight="1">
      <c r="B38" s="2117" t="s">
        <v>1740</v>
      </c>
      <c r="C38" s="2118">
        <v>915589</v>
      </c>
    </row>
    <row r="39" spans="1:4" ht="16" hidden="1" customHeight="1">
      <c r="B39" s="2117" t="s">
        <v>1202</v>
      </c>
      <c r="C39" s="2118">
        <v>2618237</v>
      </c>
    </row>
    <row r="40" spans="1:4" ht="16" hidden="1" customHeight="1">
      <c r="B40" s="2117" t="s">
        <v>1749</v>
      </c>
      <c r="C40" s="2118">
        <v>1619441</v>
      </c>
    </row>
    <row r="41" spans="1:4" ht="16" hidden="1" customHeight="1">
      <c r="B41" s="2117" t="s">
        <v>1204</v>
      </c>
      <c r="C41" s="2118">
        <v>1398954</v>
      </c>
    </row>
    <row r="42" spans="1:4" ht="16" hidden="1" customHeight="1">
      <c r="B42" s="2117" t="s">
        <v>1739</v>
      </c>
      <c r="C42" s="2118">
        <v>1705326</v>
      </c>
    </row>
    <row r="43" spans="1:4" ht="16" hidden="1" customHeight="1">
      <c r="B43" s="2117" t="s">
        <v>1737</v>
      </c>
      <c r="C43" s="2118">
        <v>2897946</v>
      </c>
    </row>
    <row r="44" spans="1:4" ht="16" hidden="1" customHeight="1">
      <c r="A44" s="90" t="s">
        <v>547</v>
      </c>
      <c r="B44" s="2117" t="s">
        <v>1746</v>
      </c>
      <c r="C44" s="2118">
        <v>1269251</v>
      </c>
      <c r="D44" s="215"/>
    </row>
    <row r="45" spans="1:4" ht="16" hidden="1" customHeight="1">
      <c r="B45" s="2117" t="s">
        <v>1207</v>
      </c>
      <c r="C45" s="2118">
        <v>1499249</v>
      </c>
      <c r="D45" s="1535"/>
    </row>
    <row r="46" spans="1:4" ht="16" hidden="1" customHeight="1">
      <c r="B46" s="2117" t="s">
        <v>1726</v>
      </c>
      <c r="C46" s="2118">
        <v>1605928</v>
      </c>
      <c r="D46" s="2042"/>
    </row>
    <row r="47" spans="1:4" ht="16" hidden="1" customHeight="1">
      <c r="B47" s="2117" t="s">
        <v>1209</v>
      </c>
      <c r="C47" s="2118">
        <v>7683274</v>
      </c>
      <c r="D47" s="1535"/>
    </row>
    <row r="48" spans="1:4" ht="16" hidden="1" customHeight="1">
      <c r="B48" s="2117" t="s">
        <v>1210</v>
      </c>
      <c r="C48" s="2118">
        <v>1338241</v>
      </c>
      <c r="D48" s="1535"/>
    </row>
    <row r="49" spans="2:4" ht="16" hidden="1" customHeight="1">
      <c r="B49" s="2117" t="s">
        <v>1212</v>
      </c>
      <c r="C49" s="2118">
        <v>2956548</v>
      </c>
      <c r="D49" s="1536"/>
    </row>
    <row r="50" spans="2:4" ht="16" hidden="1" customHeight="1">
      <c r="B50" s="2117" t="s">
        <v>1734</v>
      </c>
      <c r="C50" s="2118">
        <v>2229637</v>
      </c>
      <c r="D50" s="1536"/>
    </row>
    <row r="51" spans="2:4" ht="16" hidden="1" customHeight="1">
      <c r="B51" s="2117" t="s">
        <v>1214</v>
      </c>
      <c r="C51" s="2118">
        <v>3503686</v>
      </c>
      <c r="D51" s="1536"/>
    </row>
    <row r="52" spans="2:4" ht="16" hidden="1" customHeight="1">
      <c r="B52" s="2117" t="s">
        <v>1736</v>
      </c>
      <c r="C52" s="2118">
        <v>4142837</v>
      </c>
      <c r="D52" s="1536"/>
    </row>
    <row r="53" spans="2:4" ht="16" hidden="1" customHeight="1">
      <c r="B53" s="2117" t="s">
        <v>1216</v>
      </c>
      <c r="C53" s="2118">
        <v>2978072</v>
      </c>
      <c r="D53" s="216"/>
    </row>
    <row r="54" spans="2:4" ht="16" hidden="1" customHeight="1">
      <c r="B54" s="2117" t="s">
        <v>1217</v>
      </c>
      <c r="C54" s="2118">
        <v>0</v>
      </c>
      <c r="D54" s="1536"/>
    </row>
    <row r="55" spans="2:4" ht="16" hidden="1" customHeight="1">
      <c r="B55" s="2117" t="s">
        <v>1219</v>
      </c>
      <c r="C55" s="2118">
        <v>2463831</v>
      </c>
      <c r="D55" s="1536"/>
    </row>
    <row r="56" spans="2:4" ht="16" hidden="1" customHeight="1">
      <c r="B56" s="2117" t="s">
        <v>1218</v>
      </c>
      <c r="C56" s="2118">
        <v>5045040</v>
      </c>
      <c r="D56" s="1536"/>
    </row>
    <row r="57" spans="2:4" ht="16" hidden="1" customHeight="1">
      <c r="B57" s="2117" t="s">
        <v>1220</v>
      </c>
      <c r="C57" s="2118">
        <v>6523178</v>
      </c>
      <c r="D57" s="1536"/>
    </row>
    <row r="58" spans="2:4" ht="16" hidden="1" customHeight="1">
      <c r="B58" s="2117" t="s">
        <v>1738</v>
      </c>
      <c r="C58" s="2118">
        <v>1652012</v>
      </c>
      <c r="D58" s="1536"/>
    </row>
    <row r="59" spans="2:4" ht="16" hidden="1" customHeight="1">
      <c r="B59" s="2117" t="s">
        <v>1731</v>
      </c>
      <c r="C59" s="2118">
        <v>1402231</v>
      </c>
      <c r="D59" s="1536"/>
    </row>
    <row r="60" spans="2:4" ht="18.75" hidden="1" customHeight="1">
      <c r="B60" s="2117" t="s">
        <v>1222</v>
      </c>
      <c r="C60" s="2118">
        <v>1200548</v>
      </c>
      <c r="D60" s="216"/>
    </row>
    <row r="61" spans="2:4" ht="16" hidden="1" customHeight="1">
      <c r="B61" s="2117" t="s">
        <v>1730</v>
      </c>
      <c r="C61" s="2118">
        <v>1796257</v>
      </c>
    </row>
    <row r="62" spans="2:4" ht="16" customHeight="1" thickBot="1">
      <c r="D62" s="215"/>
    </row>
    <row r="63" spans="2:4" ht="16" customHeight="1" thickBot="1">
      <c r="B63" s="1988" t="s">
        <v>538</v>
      </c>
      <c r="C63" s="1989">
        <v>45901</v>
      </c>
      <c r="D63" s="1535"/>
    </row>
    <row r="64" spans="2:4" ht="16" customHeight="1" thickBot="1">
      <c r="B64" s="1990" t="s">
        <v>38</v>
      </c>
      <c r="C64" s="1392" t="s">
        <v>23</v>
      </c>
      <c r="D64" s="1535"/>
    </row>
    <row r="65" spans="2:4" ht="16" customHeight="1">
      <c r="B65" s="2105" t="s">
        <v>1225</v>
      </c>
      <c r="C65" s="2106">
        <v>4000000</v>
      </c>
      <c r="D65" s="215"/>
    </row>
    <row r="66" spans="2:4" ht="16" customHeight="1">
      <c r="B66" s="2123" t="s">
        <v>1617</v>
      </c>
      <c r="C66" s="2124">
        <v>2599538</v>
      </c>
    </row>
    <row r="67" spans="2:4" ht="16" customHeight="1">
      <c r="B67" s="2123" t="s">
        <v>1753</v>
      </c>
      <c r="C67" s="2124">
        <v>6974111</v>
      </c>
    </row>
    <row r="68" spans="2:4" ht="16" customHeight="1">
      <c r="B68" s="2123" t="s">
        <v>1404</v>
      </c>
      <c r="C68" s="2124">
        <v>1500000</v>
      </c>
    </row>
    <row r="69" spans="2:4" ht="17.25" customHeight="1">
      <c r="B69" s="2123" t="s">
        <v>1700</v>
      </c>
      <c r="C69" s="2124">
        <v>427500</v>
      </c>
    </row>
    <row r="70" spans="2:4" ht="16" customHeight="1" thickBot="1">
      <c r="B70" s="2123" t="s">
        <v>1752</v>
      </c>
      <c r="C70" s="2124">
        <v>64125</v>
      </c>
    </row>
    <row r="71" spans="2:4" ht="16" customHeight="1" thickBot="1">
      <c r="B71" s="1991" t="s">
        <v>372</v>
      </c>
      <c r="C71" s="2125">
        <f>SUM(C65:C70)</f>
        <v>15565274</v>
      </c>
    </row>
    <row r="72" spans="2:4" ht="16" customHeight="1">
      <c r="B72" s="359"/>
      <c r="C72" s="360"/>
    </row>
    <row r="73" spans="2:4" ht="18" thickBot="1">
      <c r="B73" s="1997"/>
      <c r="C73" s="2130"/>
    </row>
    <row r="74" spans="2:4" ht="18" thickBot="1">
      <c r="B74" s="1991" t="s">
        <v>410</v>
      </c>
      <c r="C74" s="1989">
        <v>45901</v>
      </c>
      <c r="D74" s="2155"/>
    </row>
    <row r="75" spans="2:4" ht="18" thickBot="1">
      <c r="B75" s="2108" t="s">
        <v>1775</v>
      </c>
      <c r="C75" s="2109">
        <v>1700000</v>
      </c>
      <c r="D75" s="2155"/>
    </row>
    <row r="76" spans="2:4" ht="18" thickBot="1">
      <c r="B76" s="2110" t="s">
        <v>543</v>
      </c>
      <c r="C76" s="2125">
        <f>SUM(C75:C75)</f>
        <v>1700000</v>
      </c>
      <c r="D76" s="2155"/>
    </row>
    <row r="77" spans="2:4" ht="18" thickBot="1">
      <c r="B77" s="361"/>
      <c r="C77" s="353"/>
      <c r="D77" s="2155"/>
    </row>
    <row r="78" spans="2:4" ht="18" thickBot="1">
      <c r="B78" s="1988" t="s">
        <v>126</v>
      </c>
      <c r="C78" s="1989">
        <v>45901</v>
      </c>
      <c r="D78" s="2155"/>
    </row>
    <row r="79" spans="2:4">
      <c r="B79" s="2131" t="s">
        <v>1705</v>
      </c>
      <c r="C79" s="2128">
        <v>500000</v>
      </c>
      <c r="D79" s="2155"/>
    </row>
    <row r="80" spans="2:4">
      <c r="B80" s="2131" t="s">
        <v>1620</v>
      </c>
      <c r="C80" s="2128">
        <v>300000</v>
      </c>
    </row>
    <row r="81" spans="2:4">
      <c r="B81" s="2131" t="s">
        <v>1701</v>
      </c>
      <c r="C81" s="2128">
        <v>135911</v>
      </c>
    </row>
    <row r="82" spans="2:4">
      <c r="B82" s="2131" t="s">
        <v>1703</v>
      </c>
      <c r="C82" s="2128">
        <f>53911+128864</f>
        <v>182775</v>
      </c>
    </row>
    <row r="83" spans="2:4">
      <c r="B83" s="2107" t="s">
        <v>1754</v>
      </c>
      <c r="C83" s="2126">
        <v>690264</v>
      </c>
    </row>
    <row r="84" spans="2:4" ht="18" thickBot="1">
      <c r="B84" s="2107" t="s">
        <v>1715</v>
      </c>
      <c r="C84" s="2126">
        <v>1047263</v>
      </c>
    </row>
    <row r="85" spans="2:4" ht="18" thickBot="1">
      <c r="B85" s="1988" t="s">
        <v>546</v>
      </c>
      <c r="C85" s="2127">
        <f>SUM(C79:C84)</f>
        <v>2856213</v>
      </c>
    </row>
    <row r="86" spans="2:4" ht="18" thickBot="1">
      <c r="B86" s="90"/>
      <c r="C86" s="361"/>
      <c r="D86" s="2155"/>
    </row>
    <row r="87" spans="2:4" ht="18" thickBot="1">
      <c r="B87" s="1988" t="s">
        <v>1233</v>
      </c>
      <c r="C87" s="1989">
        <v>45901</v>
      </c>
    </row>
    <row r="88" spans="2:4">
      <c r="B88" s="2111" t="s">
        <v>1713</v>
      </c>
      <c r="C88" s="2132">
        <v>1704661</v>
      </c>
    </row>
    <row r="89" spans="2:4">
      <c r="B89" s="2131" t="s">
        <v>1714</v>
      </c>
      <c r="C89" s="2128">
        <v>1131789</v>
      </c>
    </row>
    <row r="90" spans="2:4">
      <c r="B90" s="2131" t="s">
        <v>1704</v>
      </c>
      <c r="C90" s="2128">
        <v>279651</v>
      </c>
    </row>
    <row r="91" spans="2:4">
      <c r="B91" s="2131" t="s">
        <v>1712</v>
      </c>
      <c r="C91" s="2128">
        <v>184800</v>
      </c>
    </row>
    <row r="92" spans="2:4">
      <c r="B92" s="2131" t="s">
        <v>1706</v>
      </c>
      <c r="C92" s="2128">
        <v>216982</v>
      </c>
    </row>
    <row r="93" spans="2:4">
      <c r="B93" s="2131" t="s">
        <v>1707</v>
      </c>
      <c r="C93" s="2128">
        <v>127497</v>
      </c>
    </row>
    <row r="94" spans="2:4">
      <c r="B94" s="2131" t="s">
        <v>1716</v>
      </c>
      <c r="C94" s="2128">
        <v>118457</v>
      </c>
    </row>
    <row r="95" spans="2:4">
      <c r="B95" s="2131" t="s">
        <v>1759</v>
      </c>
      <c r="C95" s="2128">
        <v>590916</v>
      </c>
    </row>
    <row r="96" spans="2:4">
      <c r="B96" s="2131" t="s">
        <v>1760</v>
      </c>
      <c r="C96" s="2128">
        <v>787889</v>
      </c>
    </row>
    <row r="97" spans="2:3">
      <c r="B97" s="2131" t="s">
        <v>1717</v>
      </c>
      <c r="C97" s="2128">
        <v>3356280</v>
      </c>
    </row>
    <row r="98" spans="2:3">
      <c r="B98" s="2131" t="s">
        <v>1711</v>
      </c>
      <c r="C98" s="2128">
        <v>275310</v>
      </c>
    </row>
    <row r="99" spans="2:3">
      <c r="B99" s="2131" t="s">
        <v>1633</v>
      </c>
      <c r="C99" s="2128">
        <v>256460</v>
      </c>
    </row>
    <row r="100" spans="2:3">
      <c r="B100" s="2131" t="s">
        <v>1708</v>
      </c>
      <c r="C100" s="2128">
        <v>247308</v>
      </c>
    </row>
    <row r="101" spans="2:3">
      <c r="B101" s="2131" t="s">
        <v>1710</v>
      </c>
      <c r="C101" s="2133">
        <v>1733474</v>
      </c>
    </row>
    <row r="102" spans="2:3">
      <c r="B102" s="2107" t="s">
        <v>1770</v>
      </c>
      <c r="C102" s="2128">
        <v>849660</v>
      </c>
    </row>
    <row r="103" spans="2:3">
      <c r="B103" s="2108" t="s">
        <v>1709</v>
      </c>
      <c r="C103" s="2109">
        <f>3231977+95401</f>
        <v>3327378</v>
      </c>
    </row>
    <row r="104" spans="2:3">
      <c r="B104" s="2131" t="s">
        <v>1718</v>
      </c>
      <c r="C104" s="2128">
        <v>27000000</v>
      </c>
    </row>
    <row r="105" spans="2:3" ht="18" thickBot="1">
      <c r="B105" s="2107" t="s">
        <v>1755</v>
      </c>
      <c r="C105" s="2128">
        <v>1791603</v>
      </c>
    </row>
    <row r="106" spans="2:3" ht="18" thickBot="1">
      <c r="B106" s="2003" t="s">
        <v>370</v>
      </c>
      <c r="C106" s="2004">
        <f>SUM(C88:C105)</f>
        <v>43980115</v>
      </c>
    </row>
    <row r="107" spans="2:3" ht="18" thickBot="1">
      <c r="B107" s="361"/>
      <c r="C107" s="353" t="s">
        <v>337</v>
      </c>
    </row>
    <row r="108" spans="2:3" ht="18" thickBot="1">
      <c r="B108" s="1988" t="s">
        <v>1772</v>
      </c>
      <c r="C108" s="1989">
        <v>45901</v>
      </c>
    </row>
    <row r="109" spans="2:3">
      <c r="B109" s="2131" t="s">
        <v>1756</v>
      </c>
      <c r="C109" s="2128">
        <v>258417</v>
      </c>
    </row>
    <row r="110" spans="2:3">
      <c r="B110" s="2131" t="s">
        <v>1702</v>
      </c>
      <c r="C110" s="2128">
        <v>39479</v>
      </c>
    </row>
    <row r="111" spans="2:3">
      <c r="B111" s="2131" t="s">
        <v>1721</v>
      </c>
      <c r="C111" s="2128">
        <v>163791</v>
      </c>
    </row>
    <row r="112" spans="2:3">
      <c r="B112" s="2131" t="s">
        <v>1722</v>
      </c>
      <c r="C112" s="2128">
        <v>598669</v>
      </c>
    </row>
    <row r="113" spans="2:4">
      <c r="B113" s="2131" t="s">
        <v>1720</v>
      </c>
      <c r="C113" s="2128">
        <v>302473</v>
      </c>
    </row>
    <row r="114" spans="2:4">
      <c r="B114" s="2131" t="s">
        <v>1771</v>
      </c>
      <c r="C114" s="2128">
        <v>54154</v>
      </c>
    </row>
    <row r="115" spans="2:4" ht="18" thickBot="1">
      <c r="B115" s="2131" t="s">
        <v>1774</v>
      </c>
      <c r="C115" s="2128">
        <v>59500</v>
      </c>
    </row>
    <row r="116" spans="2:4" ht="18" thickBot="1">
      <c r="B116" s="2003" t="s">
        <v>1773</v>
      </c>
      <c r="C116" s="2004">
        <f>SUM(C109:C115)</f>
        <v>1476483</v>
      </c>
      <c r="D116" s="375">
        <f>SUM(+C76+C85+C106+C116)</f>
        <v>50012811</v>
      </c>
    </row>
    <row r="117" spans="2:4" ht="18" thickBot="1">
      <c r="B117" s="361"/>
      <c r="C117" s="353"/>
    </row>
    <row r="118" spans="2:4" ht="18" thickBot="1">
      <c r="B118" s="2005" t="s">
        <v>1699</v>
      </c>
      <c r="C118" s="2005">
        <f>SUM(C6+C71+C76+C85+C106+C116)</f>
        <v>240059694</v>
      </c>
    </row>
    <row r="119" spans="2:4" ht="18" thickBot="1">
      <c r="B119" s="368"/>
      <c r="C119" s="1406"/>
    </row>
    <row r="120" spans="2:4" ht="18" thickBot="1">
      <c r="B120" s="369" t="s">
        <v>329</v>
      </c>
      <c r="C120" s="2104">
        <v>277115437</v>
      </c>
    </row>
    <row r="121" spans="2:4" ht="18" thickBot="1">
      <c r="B121" s="369" t="s">
        <v>1719</v>
      </c>
      <c r="C121" s="2104">
        <v>149902117</v>
      </c>
    </row>
    <row r="122" spans="2:4" ht="18" thickBot="1">
      <c r="B122" s="2008" t="s">
        <v>230</v>
      </c>
      <c r="C122" s="2104">
        <f>SUM(C120:C121)</f>
        <v>427017554</v>
      </c>
    </row>
    <row r="123" spans="2:4" ht="18" thickBot="1">
      <c r="B123" s="368"/>
      <c r="C123" s="368"/>
    </row>
    <row r="124" spans="2:4" ht="22.5" customHeight="1" thickBot="1">
      <c r="B124" s="2009" t="s">
        <v>1761</v>
      </c>
      <c r="C124" s="2007">
        <f>SUM(C122-C118)</f>
        <v>186957860</v>
      </c>
    </row>
    <row r="125" spans="2:4">
      <c r="C125" s="362"/>
    </row>
    <row r="126" spans="2:4">
      <c r="C126" s="362"/>
    </row>
    <row r="127" spans="2:4">
      <c r="B127" s="1801"/>
      <c r="C127" s="1802"/>
    </row>
    <row r="128" spans="2:4">
      <c r="C128" s="362"/>
    </row>
    <row r="129" spans="2:3">
      <c r="B129" s="352" t="s">
        <v>1757</v>
      </c>
      <c r="C129" s="362"/>
    </row>
    <row r="130" spans="2:3">
      <c r="B130" s="1996" t="s">
        <v>1414</v>
      </c>
      <c r="C130" s="2000">
        <v>41000</v>
      </c>
    </row>
    <row r="131" spans="2:3">
      <c r="B131" s="1996" t="s">
        <v>1415</v>
      </c>
      <c r="C131" s="2000">
        <v>7100000</v>
      </c>
    </row>
    <row r="132" spans="2:3">
      <c r="B132" s="1996" t="s">
        <v>1416</v>
      </c>
      <c r="C132" s="2000">
        <v>18800000</v>
      </c>
    </row>
    <row r="133" spans="2:3">
      <c r="B133" s="1996" t="s">
        <v>1417</v>
      </c>
      <c r="C133" s="2000">
        <v>35000000</v>
      </c>
    </row>
    <row r="134" spans="2:3">
      <c r="B134" s="2011" t="s">
        <v>1421</v>
      </c>
      <c r="C134" s="2012">
        <f>SUM(C130:C133)</f>
        <v>60941000</v>
      </c>
    </row>
    <row r="135" spans="2:3">
      <c r="B135" s="1996" t="s">
        <v>30</v>
      </c>
      <c r="C135" s="2000">
        <v>20000000</v>
      </c>
    </row>
    <row r="136" spans="2:3">
      <c r="B136" s="1996" t="s">
        <v>1640</v>
      </c>
      <c r="C136" s="2000">
        <v>20474937</v>
      </c>
    </row>
    <row r="137" spans="2:3">
      <c r="B137" s="1996" t="s">
        <v>1641</v>
      </c>
      <c r="C137" s="2000">
        <v>5000000</v>
      </c>
    </row>
    <row r="138" spans="2:3">
      <c r="B138" s="2011" t="s">
        <v>1422</v>
      </c>
      <c r="C138" s="2012">
        <f>SUM(C135:C137)</f>
        <v>45474937</v>
      </c>
    </row>
    <row r="140" spans="2:3">
      <c r="B140" s="2013" t="s">
        <v>212</v>
      </c>
      <c r="C140" s="2012">
        <f>SUM(C138,C134)</f>
        <v>106415937</v>
      </c>
    </row>
    <row r="146" spans="3:3">
      <c r="C146" s="2112">
        <v>157625.78</v>
      </c>
    </row>
    <row r="148" spans="3:3">
      <c r="C148" s="356">
        <v>951</v>
      </c>
    </row>
    <row r="149" spans="3:3">
      <c r="C149" s="2113">
        <f>+C146*C148</f>
        <v>149902116.78</v>
      </c>
    </row>
  </sheetData>
  <phoneticPr fontId="12" type="noConversion"/>
  <pageMargins left="0.7" right="0.7" top="0.75" bottom="0.75" header="0.3" footer="0.3"/>
  <pageSetup scale="92" orientation="portrait" horizontalDpi="4294967295" verticalDpi="4294967295" r:id="rId1"/>
  <rowBreaks count="2" manualBreakCount="2">
    <brk id="86" max="16383" man="1"/>
    <brk id="125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8BB1-F353-47DE-9B13-00DCF3D70285}">
  <sheetPr codeName="Hoja30"/>
  <dimension ref="A1:C27"/>
  <sheetViews>
    <sheetView zoomScale="90" zoomScaleNormal="90" workbookViewId="0">
      <selection activeCell="I35" sqref="I35"/>
    </sheetView>
  </sheetViews>
  <sheetFormatPr baseColWidth="10" defaultColWidth="11.5" defaultRowHeight="13"/>
  <cols>
    <col min="1" max="1" width="3.5" style="1845" bestFit="1" customWidth="1"/>
    <col min="2" max="2" width="72.5" style="1845" bestFit="1" customWidth="1"/>
    <col min="3" max="16384" width="11.5" style="1845"/>
  </cols>
  <sheetData>
    <row r="1" spans="1:3" ht="14" thickBot="1">
      <c r="A1" s="2338" t="s">
        <v>1825</v>
      </c>
      <c r="B1" s="2339" t="s">
        <v>1823</v>
      </c>
      <c r="C1" s="2340" t="s">
        <v>1824</v>
      </c>
    </row>
    <row r="2" spans="1:3">
      <c r="A2" s="2341">
        <v>1</v>
      </c>
      <c r="B2" s="2342" t="s">
        <v>24</v>
      </c>
      <c r="C2" s="2343" t="s">
        <v>1545</v>
      </c>
    </row>
    <row r="3" spans="1:3">
      <c r="A3" s="2344">
        <v>2</v>
      </c>
      <c r="B3" s="2345" t="s">
        <v>1432</v>
      </c>
      <c r="C3" s="2346" t="s">
        <v>1545</v>
      </c>
    </row>
    <row r="4" spans="1:3">
      <c r="A4" s="2344">
        <v>3</v>
      </c>
      <c r="B4" s="2345" t="s">
        <v>374</v>
      </c>
      <c r="C4" s="2346" t="s">
        <v>1545</v>
      </c>
    </row>
    <row r="5" spans="1:3">
      <c r="A5" s="2344">
        <v>4</v>
      </c>
      <c r="B5" s="2345" t="s">
        <v>375</v>
      </c>
      <c r="C5" s="2346" t="s">
        <v>1545</v>
      </c>
    </row>
    <row r="6" spans="1:3">
      <c r="A6" s="2344">
        <v>5</v>
      </c>
      <c r="B6" s="2345" t="s">
        <v>509</v>
      </c>
      <c r="C6" s="2346" t="s">
        <v>1545</v>
      </c>
    </row>
    <row r="7" spans="1:3">
      <c r="A7" s="2344">
        <v>6</v>
      </c>
      <c r="B7" s="2345" t="s">
        <v>1433</v>
      </c>
      <c r="C7" s="2346" t="s">
        <v>1546</v>
      </c>
    </row>
    <row r="8" spans="1:3">
      <c r="A8" s="2344">
        <v>7</v>
      </c>
      <c r="B8" s="2345" t="s">
        <v>1434</v>
      </c>
      <c r="C8" s="2346" t="s">
        <v>1546</v>
      </c>
    </row>
    <row r="9" spans="1:3">
      <c r="A9" s="2344">
        <v>8</v>
      </c>
      <c r="B9" s="2345" t="s">
        <v>977</v>
      </c>
      <c r="C9" s="2346" t="s">
        <v>1545</v>
      </c>
    </row>
    <row r="10" spans="1:3">
      <c r="A10" s="2344">
        <v>9</v>
      </c>
      <c r="B10" s="2345" t="s">
        <v>978</v>
      </c>
      <c r="C10" s="2346" t="s">
        <v>1545</v>
      </c>
    </row>
    <row r="11" spans="1:3">
      <c r="A11" s="2344">
        <v>10</v>
      </c>
      <c r="B11" s="2345" t="s">
        <v>979</v>
      </c>
      <c r="C11" s="2346" t="s">
        <v>1545</v>
      </c>
    </row>
    <row r="12" spans="1:3">
      <c r="A12" s="2344">
        <v>11</v>
      </c>
      <c r="B12" s="2345" t="s">
        <v>1509</v>
      </c>
      <c r="C12" s="2346" t="s">
        <v>1545</v>
      </c>
    </row>
    <row r="13" spans="1:3">
      <c r="A13" s="2344">
        <v>12</v>
      </c>
      <c r="B13" s="2345" t="s">
        <v>310</v>
      </c>
      <c r="C13" s="2346" t="s">
        <v>1545</v>
      </c>
    </row>
    <row r="14" spans="1:3">
      <c r="A14" s="2344">
        <v>13</v>
      </c>
      <c r="B14" s="2345" t="s">
        <v>1294</v>
      </c>
      <c r="C14" s="2346" t="s">
        <v>1545</v>
      </c>
    </row>
    <row r="15" spans="1:3">
      <c r="A15" s="2344">
        <v>14</v>
      </c>
      <c r="B15" s="2345" t="s">
        <v>520</v>
      </c>
      <c r="C15" s="2346" t="s">
        <v>1545</v>
      </c>
    </row>
    <row r="16" spans="1:3">
      <c r="A16" s="2344">
        <v>15</v>
      </c>
      <c r="B16" s="2345" t="s">
        <v>589</v>
      </c>
      <c r="C16" s="2346" t="s">
        <v>1545</v>
      </c>
    </row>
    <row r="17" spans="1:3">
      <c r="A17" s="2344">
        <v>16</v>
      </c>
      <c r="B17" s="2345" t="s">
        <v>976</v>
      </c>
      <c r="C17" s="2346" t="s">
        <v>1545</v>
      </c>
    </row>
    <row r="18" spans="1:3">
      <c r="A18" s="2344">
        <v>17</v>
      </c>
      <c r="B18" s="2345" t="s">
        <v>399</v>
      </c>
      <c r="C18" s="2346" t="s">
        <v>1826</v>
      </c>
    </row>
    <row r="19" spans="1:3">
      <c r="A19" s="2344">
        <v>18</v>
      </c>
      <c r="B19" s="2345" t="s">
        <v>1510</v>
      </c>
      <c r="C19" s="2346" t="s">
        <v>1545</v>
      </c>
    </row>
    <row r="20" spans="1:3">
      <c r="A20" s="2344">
        <v>19</v>
      </c>
      <c r="B20" s="2345" t="s">
        <v>524</v>
      </c>
      <c r="C20" s="2346" t="s">
        <v>1545</v>
      </c>
    </row>
    <row r="21" spans="1:3">
      <c r="A21" s="2344">
        <v>20</v>
      </c>
      <c r="B21" s="2345" t="s">
        <v>418</v>
      </c>
      <c r="C21" s="2346" t="s">
        <v>1545</v>
      </c>
    </row>
    <row r="22" spans="1:3">
      <c r="A22" s="2344">
        <v>21</v>
      </c>
      <c r="B22" s="2345" t="s">
        <v>436</v>
      </c>
      <c r="C22" s="2346" t="s">
        <v>1545</v>
      </c>
    </row>
    <row r="23" spans="1:3">
      <c r="A23" s="2344">
        <v>22</v>
      </c>
      <c r="B23" s="2345" t="s">
        <v>1293</v>
      </c>
      <c r="C23" s="2346" t="s">
        <v>1546</v>
      </c>
    </row>
    <row r="24" spans="1:3">
      <c r="A24" s="2344">
        <v>23</v>
      </c>
      <c r="B24" s="2345" t="s">
        <v>1655</v>
      </c>
      <c r="C24" s="2346" t="s">
        <v>1545</v>
      </c>
    </row>
    <row r="25" spans="1:3">
      <c r="A25" s="2344">
        <v>24</v>
      </c>
      <c r="B25" s="2345" t="s">
        <v>593</v>
      </c>
      <c r="C25" s="2346" t="s">
        <v>1545</v>
      </c>
    </row>
    <row r="26" spans="1:3">
      <c r="A26" s="2344">
        <v>25</v>
      </c>
      <c r="B26" s="2345" t="s">
        <v>855</v>
      </c>
      <c r="C26" s="2346" t="s">
        <v>1545</v>
      </c>
    </row>
    <row r="27" spans="1:3" ht="14" thickBot="1">
      <c r="A27" s="2347">
        <v>26</v>
      </c>
      <c r="B27" s="2348" t="s">
        <v>1684</v>
      </c>
      <c r="C27" s="2349" t="s">
        <v>1545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7829-9437-4C55-9627-AB8F2889B777}">
  <sheetPr codeName="Hoja31"/>
  <dimension ref="A1:I86"/>
  <sheetViews>
    <sheetView workbookViewId="0">
      <selection sqref="A1:XFD1048576"/>
    </sheetView>
  </sheetViews>
  <sheetFormatPr baseColWidth="10" defaultColWidth="13.5" defaultRowHeight="17"/>
  <cols>
    <col min="1" max="1" width="4.5" style="90" customWidth="1"/>
    <col min="2" max="2" width="58.5" style="356" customWidth="1"/>
    <col min="3" max="3" width="22" style="356" customWidth="1"/>
    <col min="4" max="4" width="21.5" style="90" bestFit="1" customWidth="1"/>
    <col min="5" max="5" width="23" style="90" bestFit="1" customWidth="1"/>
    <col min="6" max="6" width="22.5" style="90" customWidth="1"/>
    <col min="7" max="16384" width="13.5" style="90"/>
  </cols>
  <sheetData>
    <row r="1" spans="1:5" ht="16" customHeight="1">
      <c r="A1" s="90" t="s">
        <v>1425</v>
      </c>
      <c r="B1" s="352" t="s">
        <v>0</v>
      </c>
      <c r="C1" s="353"/>
    </row>
    <row r="2" spans="1:5" ht="16" customHeight="1">
      <c r="B2" s="354"/>
      <c r="C2" s="353"/>
    </row>
    <row r="3" spans="1:5" ht="16" customHeight="1" thickBot="1">
      <c r="B3" s="355">
        <v>45870</v>
      </c>
    </row>
    <row r="4" spans="1:5" ht="16" customHeight="1" thickBot="1">
      <c r="B4" s="1988" t="s">
        <v>1615</v>
      </c>
      <c r="C4" s="1989">
        <v>45870</v>
      </c>
    </row>
    <row r="5" spans="1:5" ht="16" customHeight="1" thickBot="1">
      <c r="B5" s="1990" t="s">
        <v>38</v>
      </c>
      <c r="C5" s="1392" t="s">
        <v>23</v>
      </c>
    </row>
    <row r="6" spans="1:5" ht="16" customHeight="1" thickBot="1">
      <c r="B6" s="2075" t="s">
        <v>1659</v>
      </c>
      <c r="C6" s="2076">
        <v>173233103</v>
      </c>
    </row>
    <row r="7" spans="1:5" ht="16" customHeight="1" thickBot="1">
      <c r="B7" s="1991" t="s">
        <v>1616</v>
      </c>
      <c r="C7" s="1992">
        <f>SUM(C6)</f>
        <v>173233103</v>
      </c>
    </row>
    <row r="8" spans="1:5" ht="16" customHeight="1" thickBot="1"/>
    <row r="9" spans="1:5" ht="16" customHeight="1" thickBot="1">
      <c r="B9" s="1988" t="s">
        <v>538</v>
      </c>
      <c r="C9" s="1989">
        <v>45870</v>
      </c>
    </row>
    <row r="10" spans="1:5" ht="16" customHeight="1" thickBot="1">
      <c r="B10" s="1990" t="s">
        <v>38</v>
      </c>
      <c r="C10" s="1392" t="s">
        <v>23</v>
      </c>
      <c r="D10" s="2048" t="s">
        <v>1664</v>
      </c>
    </row>
    <row r="11" spans="1:5" ht="16" customHeight="1">
      <c r="B11" s="1993" t="s">
        <v>1225</v>
      </c>
      <c r="C11" s="1994">
        <v>4000000</v>
      </c>
      <c r="D11" s="2043"/>
    </row>
    <row r="12" spans="1:5" ht="16" customHeight="1">
      <c r="B12" s="1993" t="s">
        <v>1617</v>
      </c>
      <c r="C12" s="1994">
        <f>3764789-8390</f>
        <v>3756399</v>
      </c>
      <c r="D12" s="2043"/>
      <c r="E12" s="1995"/>
    </row>
    <row r="13" spans="1:5" ht="16" customHeight="1">
      <c r="B13" s="1993" t="s">
        <v>1302</v>
      </c>
      <c r="C13" s="1994">
        <v>406125</v>
      </c>
      <c r="D13" s="2043"/>
    </row>
    <row r="14" spans="1:5" ht="16" customHeight="1" thickBot="1">
      <c r="B14" s="2079" t="s">
        <v>1404</v>
      </c>
      <c r="C14" s="1994">
        <v>1500000</v>
      </c>
      <c r="D14" s="2043"/>
    </row>
    <row r="15" spans="1:5" ht="16" customHeight="1" thickBot="1">
      <c r="B15" s="1991" t="s">
        <v>372</v>
      </c>
      <c r="C15" s="1992">
        <f>SUM(C11:C14)</f>
        <v>9662524</v>
      </c>
    </row>
    <row r="16" spans="1:5" ht="16" customHeight="1">
      <c r="B16" s="359"/>
      <c r="C16" s="360"/>
    </row>
    <row r="17" spans="1:9" ht="16" customHeight="1" thickBot="1">
      <c r="A17" s="1389"/>
      <c r="B17" s="1394"/>
      <c r="C17" s="1394"/>
    </row>
    <row r="18" spans="1:9" ht="16" customHeight="1" thickBot="1">
      <c r="A18" s="1389"/>
      <c r="B18" s="1988" t="s">
        <v>355</v>
      </c>
      <c r="C18" s="2044">
        <v>45748</v>
      </c>
      <c r="D18" s="2048" t="s">
        <v>1664</v>
      </c>
    </row>
    <row r="19" spans="1:9" ht="16" customHeight="1">
      <c r="A19" s="1389"/>
      <c r="B19" s="1993" t="s">
        <v>1660</v>
      </c>
      <c r="C19" s="2045">
        <v>4300000</v>
      </c>
      <c r="D19" s="2043" t="s">
        <v>1678</v>
      </c>
    </row>
    <row r="20" spans="1:9" ht="16" customHeight="1">
      <c r="A20" s="1389"/>
      <c r="B20" s="1993" t="s">
        <v>1661</v>
      </c>
      <c r="C20" s="2045">
        <v>10300000</v>
      </c>
      <c r="D20" s="2043" t="s">
        <v>1678</v>
      </c>
    </row>
    <row r="21" spans="1:9" ht="16" customHeight="1">
      <c r="A21" s="1389"/>
      <c r="B21" s="1993" t="s">
        <v>1662</v>
      </c>
      <c r="C21" s="2045">
        <v>11498256</v>
      </c>
      <c r="D21" s="2043" t="s">
        <v>1678</v>
      </c>
    </row>
    <row r="22" spans="1:9" ht="16" customHeight="1">
      <c r="A22" s="1389"/>
      <c r="B22" s="1993" t="s">
        <v>1663</v>
      </c>
      <c r="C22" s="2045">
        <v>1625000</v>
      </c>
      <c r="D22" s="2043" t="s">
        <v>1679</v>
      </c>
    </row>
    <row r="23" spans="1:9" ht="16" customHeight="1">
      <c r="A23" s="1389"/>
      <c r="B23" s="1996" t="s">
        <v>1635</v>
      </c>
      <c r="C23" s="2046">
        <v>3500000</v>
      </c>
      <c r="D23" s="2043" t="s">
        <v>1680</v>
      </c>
    </row>
    <row r="24" spans="1:9" ht="16" customHeight="1" thickBot="1">
      <c r="A24" s="1389"/>
      <c r="B24" s="1993" t="s">
        <v>1618</v>
      </c>
      <c r="C24" s="2045">
        <v>3239911</v>
      </c>
      <c r="D24" s="2043"/>
    </row>
    <row r="25" spans="1:9" ht="16" customHeight="1" thickBot="1">
      <c r="A25" s="1389"/>
      <c r="B25" s="908" t="s">
        <v>371</v>
      </c>
      <c r="C25" s="1992">
        <f>SUM(C19:C23)</f>
        <v>31223256</v>
      </c>
    </row>
    <row r="26" spans="1:9" ht="16" customHeight="1" thickBot="1">
      <c r="A26" s="1996"/>
      <c r="B26" s="1997"/>
      <c r="C26" s="1996"/>
    </row>
    <row r="27" spans="1:9" ht="16" customHeight="1" thickBot="1">
      <c r="B27" s="1991" t="s">
        <v>410</v>
      </c>
      <c r="C27" s="2044">
        <v>45870</v>
      </c>
      <c r="D27" s="2048" t="s">
        <v>1664</v>
      </c>
    </row>
    <row r="28" spans="1:9" ht="16" customHeight="1">
      <c r="B28" s="1993" t="s">
        <v>1405</v>
      </c>
      <c r="C28" s="2045">
        <v>1600000</v>
      </c>
      <c r="D28" s="2043"/>
    </row>
    <row r="29" spans="1:9" ht="16" customHeight="1" thickBot="1">
      <c r="B29" s="1998" t="s">
        <v>543</v>
      </c>
      <c r="C29" s="1999">
        <f>SUM(C28:C28)</f>
        <v>1600000</v>
      </c>
    </row>
    <row r="30" spans="1:9" ht="16" customHeight="1">
      <c r="B30" s="361"/>
      <c r="C30" s="353"/>
    </row>
    <row r="31" spans="1:9" ht="16" customHeight="1" thickBot="1">
      <c r="B31" s="361"/>
      <c r="C31" s="353"/>
      <c r="I31" s="90" t="s">
        <v>337</v>
      </c>
    </row>
    <row r="32" spans="1:9" ht="16" customHeight="1" thickBot="1">
      <c r="B32" s="1988" t="s">
        <v>126</v>
      </c>
      <c r="C32" s="2044">
        <v>45870</v>
      </c>
      <c r="D32" s="2048" t="s">
        <v>1664</v>
      </c>
    </row>
    <row r="33" spans="1:5" ht="16" customHeight="1">
      <c r="B33" s="1996" t="s">
        <v>1619</v>
      </c>
      <c r="C33" s="2046">
        <f>359794+216007</f>
        <v>575801</v>
      </c>
      <c r="D33" s="2043"/>
    </row>
    <row r="34" spans="1:5" ht="16" customHeight="1">
      <c r="B34" s="1996" t="s">
        <v>1620</v>
      </c>
      <c r="C34" s="2046">
        <v>270000</v>
      </c>
      <c r="D34" s="2043"/>
    </row>
    <row r="35" spans="1:5" ht="16" customHeight="1">
      <c r="B35" s="1996" t="s">
        <v>1621</v>
      </c>
      <c r="C35" s="2046">
        <v>113961</v>
      </c>
      <c r="D35" s="2043"/>
    </row>
    <row r="36" spans="1:5" ht="16" customHeight="1">
      <c r="B36" s="1996" t="s">
        <v>1681</v>
      </c>
      <c r="C36" s="2046">
        <v>306332</v>
      </c>
      <c r="D36" s="2043"/>
    </row>
    <row r="37" spans="1:5" ht="16" customHeight="1">
      <c r="B37" s="2001" t="s">
        <v>1303</v>
      </c>
      <c r="C37" s="2047">
        <v>337697</v>
      </c>
      <c r="D37" s="2043"/>
    </row>
    <row r="38" spans="1:5" ht="16" customHeight="1" thickBot="1">
      <c r="B38" s="2001"/>
      <c r="C38" s="2047">
        <v>1047263</v>
      </c>
      <c r="D38" s="2043"/>
    </row>
    <row r="39" spans="1:5" ht="16" customHeight="1" thickBot="1">
      <c r="B39" s="1988" t="s">
        <v>546</v>
      </c>
      <c r="C39" s="2002">
        <f>SUM(C33:C37)</f>
        <v>1603791</v>
      </c>
    </row>
    <row r="40" spans="1:5" ht="16" customHeight="1" thickBot="1">
      <c r="B40" s="90"/>
      <c r="C40" s="361"/>
    </row>
    <row r="41" spans="1:5" ht="16" customHeight="1" thickBot="1">
      <c r="B41" s="1988" t="s">
        <v>1233</v>
      </c>
      <c r="C41" s="2044">
        <v>45870</v>
      </c>
      <c r="D41" s="2048" t="s">
        <v>1664</v>
      </c>
    </row>
    <row r="42" spans="1:5" ht="16" customHeight="1">
      <c r="B42" s="1996" t="s">
        <v>541</v>
      </c>
      <c r="C42" s="2077">
        <v>1646890</v>
      </c>
      <c r="D42" s="2043"/>
    </row>
    <row r="43" spans="1:5" ht="16" customHeight="1">
      <c r="B43" s="1996" t="s">
        <v>542</v>
      </c>
      <c r="C43" s="2077">
        <v>974006</v>
      </c>
      <c r="D43" s="2043"/>
    </row>
    <row r="44" spans="1:5" ht="16" customHeight="1">
      <c r="B44" s="1996" t="s">
        <v>1623</v>
      </c>
      <c r="C44" s="2077">
        <v>279651</v>
      </c>
      <c r="D44" s="2043"/>
    </row>
    <row r="45" spans="1:5" ht="16" customHeight="1">
      <c r="B45" s="1996" t="s">
        <v>1301</v>
      </c>
      <c r="C45" s="2077">
        <v>184800</v>
      </c>
      <c r="D45" s="2043"/>
    </row>
    <row r="46" spans="1:5" ht="16" customHeight="1">
      <c r="B46" s="1996" t="s">
        <v>1624</v>
      </c>
      <c r="C46" s="2077">
        <v>230533</v>
      </c>
      <c r="D46" s="2043"/>
    </row>
    <row r="47" spans="1:5" ht="16" customHeight="1">
      <c r="A47" s="90" t="s">
        <v>547</v>
      </c>
      <c r="B47" s="1996" t="s">
        <v>1625</v>
      </c>
      <c r="C47" s="2077">
        <v>304437</v>
      </c>
      <c r="D47" s="2043"/>
      <c r="E47" s="215"/>
    </row>
    <row r="48" spans="1:5" ht="16" customHeight="1">
      <c r="B48" s="1996" t="s">
        <v>1626</v>
      </c>
      <c r="C48" s="2077">
        <v>118081</v>
      </c>
      <c r="D48" s="2043"/>
      <c r="E48" s="1535"/>
    </row>
    <row r="49" spans="2:7" ht="16" customHeight="1">
      <c r="B49" s="1996" t="s">
        <v>1627</v>
      </c>
      <c r="C49" s="2077">
        <v>587609</v>
      </c>
      <c r="D49" s="2043"/>
      <c r="E49" s="2042"/>
    </row>
    <row r="50" spans="2:7" ht="16" customHeight="1">
      <c r="B50" s="1996" t="s">
        <v>1628</v>
      </c>
      <c r="C50" s="2077">
        <v>783479</v>
      </c>
      <c r="D50" s="2043"/>
      <c r="E50" s="1535"/>
    </row>
    <row r="51" spans="2:7" ht="16" customHeight="1">
      <c r="B51" s="1996" t="s">
        <v>1629</v>
      </c>
      <c r="C51" s="2077">
        <v>3345627</v>
      </c>
      <c r="D51" s="2043"/>
      <c r="E51" s="1535"/>
    </row>
    <row r="52" spans="2:7" ht="16" customHeight="1">
      <c r="B52" s="1996" t="s">
        <v>1630</v>
      </c>
      <c r="C52" s="2077">
        <v>275310</v>
      </c>
      <c r="D52" s="2043"/>
      <c r="E52" s="1536"/>
    </row>
    <row r="53" spans="2:7" ht="16" customHeight="1">
      <c r="B53" s="1996" t="s">
        <v>1631</v>
      </c>
      <c r="C53" s="2077">
        <v>1247763</v>
      </c>
      <c r="D53" s="2043"/>
      <c r="E53" s="1536"/>
    </row>
    <row r="54" spans="2:7" ht="16" customHeight="1">
      <c r="B54" s="1996" t="s">
        <v>1632</v>
      </c>
      <c r="C54" s="2077">
        <v>251863</v>
      </c>
      <c r="D54" s="2043"/>
      <c r="E54" s="1536"/>
    </row>
    <row r="55" spans="2:7" ht="16" customHeight="1">
      <c r="B55" s="1996" t="s">
        <v>1633</v>
      </c>
      <c r="C55" s="2077">
        <v>256460</v>
      </c>
      <c r="D55" s="2043"/>
      <c r="E55" s="1536"/>
    </row>
    <row r="56" spans="2:7" ht="16" customHeight="1">
      <c r="B56" s="1996" t="s">
        <v>1634</v>
      </c>
      <c r="C56" s="2077">
        <v>140420</v>
      </c>
      <c r="D56" s="2043"/>
      <c r="E56" s="216"/>
    </row>
    <row r="57" spans="2:7" ht="16" customHeight="1">
      <c r="B57" s="1996" t="s">
        <v>1636</v>
      </c>
      <c r="C57" s="2078">
        <v>238320</v>
      </c>
      <c r="D57" s="2043"/>
      <c r="E57" s="216"/>
      <c r="F57" s="216"/>
    </row>
    <row r="58" spans="2:7" ht="16" customHeight="1">
      <c r="B58" s="1996" t="s">
        <v>1637</v>
      </c>
      <c r="C58" s="2077">
        <v>27000000</v>
      </c>
      <c r="D58" s="2043"/>
      <c r="E58" s="1536"/>
    </row>
    <row r="59" spans="2:7" ht="16" customHeight="1" thickBot="1">
      <c r="B59" s="1996" t="s">
        <v>1622</v>
      </c>
      <c r="C59" s="2077">
        <v>1791603</v>
      </c>
      <c r="D59" s="2043"/>
      <c r="E59" s="1536"/>
    </row>
    <row r="60" spans="2:7" ht="16" customHeight="1" thickBot="1">
      <c r="B60" s="2003" t="s">
        <v>370</v>
      </c>
      <c r="C60" s="2004">
        <f>SUM(C42:C59)</f>
        <v>39656852</v>
      </c>
      <c r="D60" s="375"/>
      <c r="E60" s="216"/>
      <c r="F60" s="216"/>
    </row>
    <row r="61" spans="2:7" ht="16" customHeight="1" thickBot="1">
      <c r="B61" s="361"/>
      <c r="C61" s="353" t="s">
        <v>337</v>
      </c>
      <c r="D61" s="375"/>
      <c r="G61" s="216"/>
    </row>
    <row r="62" spans="2:7" ht="16" customHeight="1" thickBot="1">
      <c r="B62" s="2005" t="s">
        <v>1638</v>
      </c>
      <c r="C62" s="2006">
        <f>SUM(+C7+C15+C25+C29+C39+C60)</f>
        <v>256979526</v>
      </c>
      <c r="D62" s="1402"/>
    </row>
    <row r="63" spans="2:7" ht="16" customHeight="1" thickBot="1">
      <c r="B63" s="368"/>
      <c r="C63" s="1406"/>
      <c r="E63" s="215"/>
    </row>
    <row r="64" spans="2:7" ht="16" customHeight="1" thickBot="1">
      <c r="B64" s="369" t="s">
        <v>329</v>
      </c>
      <c r="C64" s="2007">
        <v>342291931</v>
      </c>
      <c r="D64" s="215"/>
      <c r="E64" s="1535"/>
    </row>
    <row r="65" spans="2:5" ht="16" customHeight="1" thickBot="1">
      <c r="B65" s="369" t="s">
        <v>1658</v>
      </c>
      <c r="C65" s="2007">
        <v>163205623</v>
      </c>
      <c r="D65" s="215"/>
      <c r="E65" s="1535"/>
    </row>
    <row r="66" spans="2:5" ht="16" customHeight="1" thickBot="1">
      <c r="B66" s="2008" t="s">
        <v>230</v>
      </c>
      <c r="C66" s="2007">
        <f>SUM(C64:C65)</f>
        <v>505497554</v>
      </c>
      <c r="D66" s="215"/>
      <c r="E66" s="215"/>
    </row>
    <row r="67" spans="2:5" ht="16" customHeight="1" thickBot="1">
      <c r="B67" s="368"/>
      <c r="C67" s="368"/>
    </row>
    <row r="68" spans="2:5" ht="17.25" customHeight="1" thickBot="1">
      <c r="B68" s="2009" t="s">
        <v>1238</v>
      </c>
      <c r="C68" s="2007">
        <f>SUM(C66-C62)</f>
        <v>248518028</v>
      </c>
      <c r="D68" s="215"/>
    </row>
    <row r="69" spans="2:5" ht="16" customHeight="1">
      <c r="C69" s="362"/>
      <c r="D69" s="215"/>
    </row>
    <row r="70" spans="2:5" ht="16" hidden="1" customHeight="1">
      <c r="C70" s="362"/>
      <c r="D70" s="215"/>
    </row>
    <row r="71" spans="2:5" ht="16" hidden="1" customHeight="1">
      <c r="B71" s="1801"/>
      <c r="C71" s="1802"/>
      <c r="D71" s="215"/>
    </row>
    <row r="72" spans="2:5" ht="16" hidden="1" customHeight="1">
      <c r="C72" s="362"/>
      <c r="D72" s="2010"/>
    </row>
    <row r="73" spans="2:5" ht="16" hidden="1" customHeight="1">
      <c r="B73" s="352" t="s">
        <v>1639</v>
      </c>
      <c r="C73" s="362"/>
      <c r="D73" s="215"/>
    </row>
    <row r="74" spans="2:5" ht="16" hidden="1" customHeight="1">
      <c r="B74" s="1996" t="s">
        <v>1414</v>
      </c>
      <c r="C74" s="2000">
        <v>41000</v>
      </c>
      <c r="D74" s="215"/>
      <c r="E74" s="1541"/>
    </row>
    <row r="75" spans="2:5" ht="16" hidden="1" customHeight="1">
      <c r="B75" s="1996" t="s">
        <v>1415</v>
      </c>
      <c r="C75" s="2000">
        <v>7100000</v>
      </c>
      <c r="D75" s="215"/>
    </row>
    <row r="76" spans="2:5" hidden="1">
      <c r="B76" s="1996" t="s">
        <v>1416</v>
      </c>
      <c r="C76" s="2000">
        <v>18800000</v>
      </c>
    </row>
    <row r="77" spans="2:5" hidden="1">
      <c r="B77" s="1996" t="s">
        <v>1417</v>
      </c>
      <c r="C77" s="2000">
        <v>35000000</v>
      </c>
    </row>
    <row r="78" spans="2:5" hidden="1">
      <c r="B78" s="2011" t="s">
        <v>1421</v>
      </c>
      <c r="C78" s="2012">
        <f>SUM(C74:C77)</f>
        <v>60941000</v>
      </c>
    </row>
    <row r="79" spans="2:5" hidden="1">
      <c r="B79" s="1996" t="s">
        <v>30</v>
      </c>
      <c r="C79" s="2000">
        <v>20000000</v>
      </c>
    </row>
    <row r="80" spans="2:5" hidden="1">
      <c r="B80" s="1996" t="s">
        <v>1640</v>
      </c>
      <c r="C80" s="2000">
        <v>20474937</v>
      </c>
    </row>
    <row r="81" spans="2:3" hidden="1">
      <c r="B81" s="1996" t="s">
        <v>1641</v>
      </c>
      <c r="C81" s="2000">
        <v>5000000</v>
      </c>
    </row>
    <row r="82" spans="2:3" hidden="1">
      <c r="B82" s="2011" t="s">
        <v>1422</v>
      </c>
      <c r="C82" s="2012">
        <f>SUM(C79:C81)</f>
        <v>45474937</v>
      </c>
    </row>
    <row r="83" spans="2:3" hidden="1"/>
    <row r="84" spans="2:3" hidden="1">
      <c r="B84" s="2013" t="s">
        <v>212</v>
      </c>
      <c r="C84" s="2012">
        <f>SUM(C82,C78)</f>
        <v>106415937</v>
      </c>
    </row>
    <row r="85" spans="2:3" hidden="1"/>
    <row r="86" spans="2:3" hidden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0D40-91D1-46DE-8348-EE55D90D56E0}">
  <sheetPr codeName="Hoja32">
    <tabColor rgb="FFFFFF00"/>
  </sheetPr>
  <dimension ref="A1:I67"/>
  <sheetViews>
    <sheetView zoomScaleNormal="100" workbookViewId="0">
      <selection activeCell="A26" sqref="A1:XFD1048576"/>
    </sheetView>
  </sheetViews>
  <sheetFormatPr baseColWidth="10" defaultColWidth="13.5" defaultRowHeight="17"/>
  <cols>
    <col min="1" max="1" width="4.5" style="90" customWidth="1"/>
    <col min="2" max="2" width="58.5" style="356" customWidth="1"/>
    <col min="3" max="3" width="22" style="356" customWidth="1"/>
    <col min="4" max="4" width="21.5" style="90" bestFit="1" customWidth="1"/>
    <col min="5" max="5" width="17.1640625" style="90" bestFit="1" customWidth="1"/>
    <col min="6" max="16384" width="13.5" style="90"/>
  </cols>
  <sheetData>
    <row r="1" spans="1:3" ht="16" customHeight="1">
      <c r="B1" s="352" t="s">
        <v>0</v>
      </c>
      <c r="C1" s="353"/>
    </row>
    <row r="2" spans="1:3" ht="16" customHeight="1">
      <c r="B2" s="354"/>
      <c r="C2" s="353"/>
    </row>
    <row r="3" spans="1:3" ht="16" customHeight="1">
      <c r="B3" s="355">
        <v>45778</v>
      </c>
    </row>
    <row r="4" spans="1:3" ht="16" customHeight="1" thickBot="1"/>
    <row r="5" spans="1:3" ht="16" customHeight="1" thickBot="1">
      <c r="B5" s="363" t="s">
        <v>538</v>
      </c>
      <c r="C5" s="364">
        <v>45778</v>
      </c>
    </row>
    <row r="6" spans="1:3" ht="16" customHeight="1" thickBot="1">
      <c r="B6" s="1391" t="s">
        <v>38</v>
      </c>
      <c r="C6" s="1392" t="s">
        <v>23</v>
      </c>
    </row>
    <row r="7" spans="1:3" ht="16" customHeight="1">
      <c r="B7" s="907" t="s">
        <v>1225</v>
      </c>
      <c r="C7" s="1387">
        <v>4000000</v>
      </c>
    </row>
    <row r="8" spans="1:3" ht="16" customHeight="1">
      <c r="B8" s="907" t="s">
        <v>1227</v>
      </c>
      <c r="C8" s="1387">
        <v>4673327</v>
      </c>
    </row>
    <row r="9" spans="1:3" ht="16" customHeight="1">
      <c r="B9" s="907" t="s">
        <v>1302</v>
      </c>
      <c r="C9" s="1387">
        <v>470250</v>
      </c>
    </row>
    <row r="10" spans="1:3" ht="16" customHeight="1" thickBot="1">
      <c r="B10" s="1539" t="s">
        <v>1317</v>
      </c>
      <c r="C10" s="1540">
        <v>7020069</v>
      </c>
    </row>
    <row r="11" spans="1:3" ht="16" customHeight="1" thickBot="1">
      <c r="B11" s="1538" t="s">
        <v>372</v>
      </c>
      <c r="C11" s="1393">
        <f>SUM(C7:C10)</f>
        <v>16163646</v>
      </c>
    </row>
    <row r="12" spans="1:3" ht="16" customHeight="1">
      <c r="B12" s="359"/>
      <c r="C12" s="360"/>
    </row>
    <row r="13" spans="1:3" ht="16" hidden="1" customHeight="1">
      <c r="A13" s="1389"/>
      <c r="B13" s="1394"/>
      <c r="C13" s="1394"/>
    </row>
    <row r="14" spans="1:3" ht="16" hidden="1" customHeight="1">
      <c r="A14" s="1389"/>
      <c r="B14" s="363" t="s">
        <v>355</v>
      </c>
      <c r="C14" s="364">
        <v>45748</v>
      </c>
    </row>
    <row r="15" spans="1:3" ht="16" hidden="1" customHeight="1">
      <c r="A15" s="1389"/>
      <c r="B15" s="909"/>
      <c r="C15" s="911"/>
    </row>
    <row r="16" spans="1:3" ht="16" hidden="1" customHeight="1">
      <c r="A16" s="1389"/>
      <c r="B16" s="908" t="s">
        <v>371</v>
      </c>
      <c r="C16" s="1395">
        <f>SUM(C15:C15)</f>
        <v>0</v>
      </c>
    </row>
    <row r="17" spans="1:9" ht="16" customHeight="1" thickBot="1">
      <c r="A17" s="1389"/>
      <c r="B17" s="1394"/>
      <c r="C17" s="1394"/>
    </row>
    <row r="18" spans="1:9" ht="16" customHeight="1" thickBot="1">
      <c r="B18" s="366" t="s">
        <v>410</v>
      </c>
      <c r="C18" s="364">
        <v>45778</v>
      </c>
    </row>
    <row r="19" spans="1:9" ht="16" customHeight="1">
      <c r="B19" s="907" t="s">
        <v>1323</v>
      </c>
      <c r="C19" s="1387">
        <v>1505296</v>
      </c>
    </row>
    <row r="20" spans="1:9" ht="16" customHeight="1" thickBot="1">
      <c r="B20" s="907" t="s">
        <v>1324</v>
      </c>
      <c r="C20" s="1387">
        <v>1505296</v>
      </c>
    </row>
    <row r="21" spans="1:9" ht="16" customHeight="1" thickBot="1">
      <c r="B21" s="351" t="s">
        <v>543</v>
      </c>
      <c r="C21" s="1395">
        <f>SUM(C20:C20)</f>
        <v>1505296</v>
      </c>
    </row>
    <row r="22" spans="1:9" ht="16" customHeight="1">
      <c r="B22" s="361"/>
      <c r="C22" s="353"/>
    </row>
    <row r="23" spans="1:9" ht="16" customHeight="1" thickBot="1">
      <c r="B23" s="361"/>
      <c r="C23" s="353"/>
      <c r="I23" s="90" t="s">
        <v>337</v>
      </c>
    </row>
    <row r="24" spans="1:9" ht="16" customHeight="1" thickBot="1">
      <c r="B24" s="363" t="s">
        <v>126</v>
      </c>
      <c r="C24" s="364">
        <v>45778</v>
      </c>
    </row>
    <row r="25" spans="1:9" ht="16" customHeight="1">
      <c r="B25" s="909" t="s">
        <v>1231</v>
      </c>
      <c r="C25" s="910">
        <v>283000</v>
      </c>
    </row>
    <row r="26" spans="1:9" ht="16" customHeight="1">
      <c r="B26" s="909" t="s">
        <v>1232</v>
      </c>
      <c r="C26" s="910">
        <v>192000</v>
      </c>
    </row>
    <row r="27" spans="1:9" ht="16" customHeight="1">
      <c r="B27" s="1542" t="s">
        <v>1322</v>
      </c>
      <c r="C27" s="1543">
        <v>250556</v>
      </c>
    </row>
    <row r="28" spans="1:9" ht="16" customHeight="1">
      <c r="B28" s="909" t="s">
        <v>1307</v>
      </c>
      <c r="C28" s="910">
        <v>113961</v>
      </c>
    </row>
    <row r="29" spans="1:9" ht="16" customHeight="1">
      <c r="B29" s="909" t="s">
        <v>969</v>
      </c>
      <c r="C29" s="910">
        <v>175910</v>
      </c>
    </row>
    <row r="30" spans="1:9" ht="16" customHeight="1">
      <c r="B30" s="372" t="s">
        <v>1303</v>
      </c>
      <c r="C30" s="1537">
        <v>50878</v>
      </c>
    </row>
    <row r="31" spans="1:9" ht="16" customHeight="1">
      <c r="B31" s="909" t="s">
        <v>1304</v>
      </c>
      <c r="C31" s="910">
        <v>135169</v>
      </c>
    </row>
    <row r="32" spans="1:9" ht="16" customHeight="1" thickBot="1">
      <c r="B32" s="909" t="s">
        <v>1306</v>
      </c>
      <c r="C32" s="1396">
        <v>1047263</v>
      </c>
    </row>
    <row r="33" spans="1:5" ht="16" customHeight="1" thickBot="1">
      <c r="B33" s="363" t="s">
        <v>546</v>
      </c>
      <c r="C33" s="374">
        <f>SUM(C25:C32)</f>
        <v>2248737</v>
      </c>
    </row>
    <row r="34" spans="1:5" ht="16" customHeight="1" thickBot="1">
      <c r="B34" s="90"/>
      <c r="C34" s="361"/>
    </row>
    <row r="35" spans="1:5" ht="16" customHeight="1" thickBot="1">
      <c r="B35" s="363" t="s">
        <v>1233</v>
      </c>
      <c r="C35" s="364">
        <v>45778</v>
      </c>
    </row>
    <row r="36" spans="1:5" ht="16" customHeight="1">
      <c r="B36" s="909" t="s">
        <v>541</v>
      </c>
      <c r="C36" s="910"/>
    </row>
    <row r="37" spans="1:5" ht="16" customHeight="1">
      <c r="B37" s="909" t="s">
        <v>542</v>
      </c>
      <c r="C37" s="910"/>
    </row>
    <row r="38" spans="1:5" ht="16" customHeight="1">
      <c r="B38" s="909" t="s">
        <v>1308</v>
      </c>
      <c r="C38" s="910">
        <v>279651</v>
      </c>
    </row>
    <row r="39" spans="1:5" ht="16" customHeight="1">
      <c r="B39" s="909" t="s">
        <v>1301</v>
      </c>
      <c r="C39" s="910">
        <v>184800</v>
      </c>
    </row>
    <row r="40" spans="1:5" ht="16" customHeight="1">
      <c r="B40" s="909" t="s">
        <v>1309</v>
      </c>
      <c r="C40" s="910">
        <v>204233</v>
      </c>
    </row>
    <row r="41" spans="1:5" ht="16" customHeight="1">
      <c r="A41" s="90" t="s">
        <v>547</v>
      </c>
      <c r="B41" s="909" t="s">
        <v>1310</v>
      </c>
      <c r="C41" s="910">
        <v>223797</v>
      </c>
      <c r="E41" s="215"/>
    </row>
    <row r="42" spans="1:5" ht="16" customHeight="1">
      <c r="B42" s="909" t="s">
        <v>1320</v>
      </c>
      <c r="C42" s="910">
        <f>66640+66640</f>
        <v>133280</v>
      </c>
      <c r="E42" s="215"/>
    </row>
    <row r="43" spans="1:5" ht="16" customHeight="1">
      <c r="B43" s="909" t="s">
        <v>1311</v>
      </c>
      <c r="C43" s="910">
        <v>117553</v>
      </c>
      <c r="E43" s="215"/>
    </row>
    <row r="44" spans="1:5" ht="16" customHeight="1">
      <c r="B44" s="909" t="s">
        <v>1312</v>
      </c>
      <c r="C44" s="910">
        <v>586618</v>
      </c>
      <c r="E44" s="215"/>
    </row>
    <row r="45" spans="1:5" ht="16" customHeight="1">
      <c r="B45" s="909" t="s">
        <v>1313</v>
      </c>
      <c r="C45" s="910">
        <v>781638</v>
      </c>
      <c r="E45" s="1535"/>
    </row>
    <row r="46" spans="1:5" ht="16" customHeight="1">
      <c r="B46" s="909" t="s">
        <v>1314</v>
      </c>
      <c r="C46" s="910">
        <v>8186</v>
      </c>
      <c r="E46" s="1535"/>
    </row>
    <row r="47" spans="1:5" ht="16" customHeight="1">
      <c r="B47" s="909" t="s">
        <v>1315</v>
      </c>
      <c r="C47" s="910">
        <v>3330674</v>
      </c>
      <c r="E47" s="1535"/>
    </row>
    <row r="48" spans="1:5" ht="16" customHeight="1">
      <c r="B48" s="909" t="s">
        <v>1316</v>
      </c>
      <c r="C48" s="910">
        <v>275310</v>
      </c>
      <c r="E48" s="1536"/>
    </row>
    <row r="49" spans="2:5" ht="16" customHeight="1" thickBot="1">
      <c r="B49" s="909" t="s">
        <v>1305</v>
      </c>
      <c r="C49" s="1396">
        <v>1791603</v>
      </c>
      <c r="E49" s="1536"/>
    </row>
    <row r="50" spans="2:5" ht="16" customHeight="1" thickBot="1">
      <c r="B50" s="367" t="s">
        <v>370</v>
      </c>
      <c r="C50" s="1397">
        <f>SUM(C36:C49)</f>
        <v>7917343</v>
      </c>
      <c r="E50" s="216"/>
    </row>
    <row r="51" spans="2:5" ht="16" customHeight="1" thickBot="1">
      <c r="B51" s="361"/>
      <c r="C51" s="353"/>
      <c r="D51" s="375"/>
    </row>
    <row r="52" spans="2:5" ht="16" customHeight="1" thickBot="1">
      <c r="B52" s="363" t="s">
        <v>544</v>
      </c>
      <c r="C52" s="364">
        <v>45778</v>
      </c>
    </row>
    <row r="53" spans="2:5" ht="16" customHeight="1" thickBot="1">
      <c r="B53" s="909" t="s">
        <v>1318</v>
      </c>
      <c r="C53" s="910">
        <v>8660138</v>
      </c>
    </row>
    <row r="54" spans="2:5" ht="16" customHeight="1" thickBot="1">
      <c r="B54" s="367" t="s">
        <v>545</v>
      </c>
      <c r="C54" s="1398">
        <f>SUM(C53:C53)</f>
        <v>8660138</v>
      </c>
    </row>
    <row r="55" spans="2:5" ht="16" customHeight="1">
      <c r="B55" s="1400"/>
      <c r="C55" s="1401"/>
      <c r="D55" s="1402"/>
    </row>
    <row r="56" spans="2:5" ht="16" customHeight="1" thickBot="1">
      <c r="B56" s="361"/>
      <c r="C56" s="353"/>
      <c r="D56" s="78"/>
    </row>
    <row r="57" spans="2:5" ht="16" customHeight="1" thickBot="1">
      <c r="B57" s="1403" t="s">
        <v>1300</v>
      </c>
      <c r="C57" s="1404">
        <f>SUM(+C11+C16+C21+C33+C50+C54)</f>
        <v>36495160</v>
      </c>
      <c r="D57" s="1402"/>
    </row>
    <row r="58" spans="2:5" ht="16" customHeight="1" thickBot="1">
      <c r="B58" s="368"/>
      <c r="C58" s="1406"/>
      <c r="E58" s="215"/>
    </row>
    <row r="59" spans="2:5" ht="16" customHeight="1" thickBot="1">
      <c r="B59" s="369" t="s">
        <v>329</v>
      </c>
      <c r="C59" s="1407">
        <v>53862131</v>
      </c>
      <c r="D59" s="215"/>
      <c r="E59" s="1535"/>
    </row>
    <row r="60" spans="2:5" ht="16" customHeight="1" thickBot="1">
      <c r="B60" s="369" t="s">
        <v>1321</v>
      </c>
      <c r="C60" s="1407">
        <v>61315406</v>
      </c>
      <c r="D60" s="215"/>
      <c r="E60" s="1535"/>
    </row>
    <row r="61" spans="2:5" ht="16" customHeight="1" thickBot="1">
      <c r="B61" s="370" t="s">
        <v>230</v>
      </c>
      <c r="C61" s="1407">
        <f>SUM(C59:C60)</f>
        <v>115177537</v>
      </c>
      <c r="D61" s="215"/>
      <c r="E61" s="215"/>
    </row>
    <row r="62" spans="2:5" ht="16" customHeight="1" thickBot="1">
      <c r="B62" s="368"/>
      <c r="C62" s="368"/>
    </row>
    <row r="63" spans="2:5" ht="17.25" customHeight="1" thickBot="1">
      <c r="B63" s="371" t="s">
        <v>1238</v>
      </c>
      <c r="C63" s="1407">
        <f>SUM(C61-C57)</f>
        <v>78682377</v>
      </c>
      <c r="D63" s="215"/>
    </row>
    <row r="64" spans="2:5" ht="16" customHeight="1">
      <c r="C64" s="362"/>
      <c r="D64" s="215"/>
    </row>
    <row r="65" spans="3:5" ht="16" customHeight="1">
      <c r="C65" s="362"/>
      <c r="D65" s="215"/>
    </row>
    <row r="66" spans="3:5" ht="16" customHeight="1">
      <c r="D66" s="215"/>
      <c r="E66" s="1541"/>
    </row>
    <row r="67" spans="3:5" ht="16" customHeight="1">
      <c r="D67" s="215"/>
    </row>
  </sheetData>
  <phoneticPr fontId="12" type="noConversion"/>
  <pageMargins left="0.7" right="0.7" top="0.75" bottom="0.75" header="0.3" footer="0.3"/>
  <pageSetup scale="73" orientation="portrait" horizontalDpi="4294967295" verticalDpi="4294967295" r:id="rId1"/>
  <colBreaks count="1" manualBreakCount="1">
    <brk id="3" max="63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9567-56BC-430C-B5ED-02ED621E5BB2}">
  <sheetPr codeName="Hoja33"/>
  <dimension ref="A1:E129"/>
  <sheetViews>
    <sheetView view="pageBreakPreview" topLeftCell="A84" zoomScale="60" zoomScaleNormal="100" workbookViewId="0">
      <selection activeCell="B47" sqref="B47"/>
    </sheetView>
  </sheetViews>
  <sheetFormatPr baseColWidth="10" defaultColWidth="13.5" defaultRowHeight="16" customHeight="1"/>
  <cols>
    <col min="1" max="1" width="4.5" style="90" customWidth="1"/>
    <col min="2" max="2" width="77.83203125" style="356" customWidth="1"/>
    <col min="3" max="3" width="22" style="356" customWidth="1"/>
    <col min="4" max="4" width="21.5" style="90" bestFit="1" customWidth="1"/>
    <col min="5" max="16384" width="13.5" style="90"/>
  </cols>
  <sheetData>
    <row r="1" spans="1:5" ht="16" customHeight="1">
      <c r="B1" s="352" t="s">
        <v>0</v>
      </c>
      <c r="C1" s="353"/>
    </row>
    <row r="2" spans="1:5" ht="16" customHeight="1">
      <c r="B2" s="354"/>
      <c r="C2" s="353"/>
    </row>
    <row r="3" spans="1:5" ht="16" customHeight="1">
      <c r="B3" s="355">
        <v>45748</v>
      </c>
    </row>
    <row r="4" spans="1:5" ht="16" customHeight="1" thickBot="1"/>
    <row r="5" spans="1:5" ht="16" customHeight="1" thickBot="1">
      <c r="B5" s="363" t="s">
        <v>37</v>
      </c>
      <c r="C5" s="364">
        <v>45748</v>
      </c>
    </row>
    <row r="6" spans="1:5" ht="16" customHeight="1" thickBot="1">
      <c r="B6" s="357" t="s">
        <v>38</v>
      </c>
      <c r="C6" s="358" t="s">
        <v>23</v>
      </c>
    </row>
    <row r="7" spans="1:5" ht="16" customHeight="1">
      <c r="A7" s="13">
        <v>1</v>
      </c>
      <c r="B7" s="907" t="s">
        <v>1174</v>
      </c>
      <c r="C7" s="1387">
        <v>6628165</v>
      </c>
      <c r="D7" s="87"/>
      <c r="E7"/>
    </row>
    <row r="8" spans="1:5" ht="16" customHeight="1">
      <c r="A8" s="13">
        <v>2</v>
      </c>
      <c r="B8" s="907" t="s">
        <v>1175</v>
      </c>
      <c r="C8" s="1387">
        <v>2032368</v>
      </c>
      <c r="D8" s="87"/>
      <c r="E8"/>
    </row>
    <row r="9" spans="1:5" ht="16" customHeight="1">
      <c r="A9" s="13">
        <v>3</v>
      </c>
      <c r="B9" s="907" t="s">
        <v>1176</v>
      </c>
      <c r="C9" s="1387">
        <v>1303808</v>
      </c>
      <c r="D9" s="87"/>
      <c r="E9"/>
    </row>
    <row r="10" spans="1:5" ht="16" customHeight="1">
      <c r="A10" s="13">
        <v>4</v>
      </c>
      <c r="B10" s="907" t="s">
        <v>1177</v>
      </c>
      <c r="C10" s="1387">
        <v>1230922</v>
      </c>
      <c r="D10" s="87"/>
      <c r="E10"/>
    </row>
    <row r="11" spans="1:5" ht="16" customHeight="1">
      <c r="A11" s="13">
        <v>5</v>
      </c>
      <c r="B11" s="907" t="s">
        <v>1178</v>
      </c>
      <c r="C11" s="1387">
        <v>5993653</v>
      </c>
      <c r="D11" s="87"/>
      <c r="E11"/>
    </row>
    <row r="12" spans="1:5" ht="16" customHeight="1">
      <c r="A12" s="13">
        <v>6</v>
      </c>
      <c r="B12" s="907" t="s">
        <v>1179</v>
      </c>
      <c r="C12" s="1387">
        <v>12963040</v>
      </c>
      <c r="D12" s="87"/>
      <c r="E12"/>
    </row>
    <row r="13" spans="1:5" ht="16" customHeight="1">
      <c r="A13" s="13">
        <v>7</v>
      </c>
      <c r="B13" s="907" t="s">
        <v>1180</v>
      </c>
      <c r="C13" s="1387">
        <v>7149763</v>
      </c>
      <c r="D13" s="87"/>
      <c r="E13"/>
    </row>
    <row r="14" spans="1:5" ht="16" customHeight="1">
      <c r="A14" s="13">
        <v>8</v>
      </c>
      <c r="B14" s="907" t="s">
        <v>1181</v>
      </c>
      <c r="C14" s="1387">
        <v>4952785</v>
      </c>
      <c r="D14" s="87"/>
      <c r="E14"/>
    </row>
    <row r="15" spans="1:5" ht="16" customHeight="1">
      <c r="A15" s="13">
        <v>9</v>
      </c>
      <c r="B15" s="907" t="s">
        <v>1182</v>
      </c>
      <c r="C15" s="1387">
        <v>840876</v>
      </c>
      <c r="D15" s="87"/>
    </row>
    <row r="16" spans="1:5" ht="16" customHeight="1">
      <c r="A16" s="13">
        <v>10</v>
      </c>
      <c r="B16" s="907" t="s">
        <v>1183</v>
      </c>
      <c r="C16" s="1387">
        <v>1302338</v>
      </c>
      <c r="D16" s="87"/>
      <c r="E16"/>
    </row>
    <row r="17" spans="1:5" ht="16" customHeight="1">
      <c r="A17" s="13">
        <v>11</v>
      </c>
      <c r="B17" s="907" t="s">
        <v>1184</v>
      </c>
      <c r="C17" s="1387">
        <v>1098461</v>
      </c>
      <c r="D17" s="87"/>
      <c r="E17"/>
    </row>
    <row r="18" spans="1:5" ht="16" customHeight="1">
      <c r="A18" s="13">
        <v>12</v>
      </c>
      <c r="B18" s="907" t="s">
        <v>1185</v>
      </c>
      <c r="C18" s="1387">
        <v>1096094</v>
      </c>
      <c r="D18" s="87"/>
      <c r="E18"/>
    </row>
    <row r="19" spans="1:5" ht="16" customHeight="1">
      <c r="A19" s="13">
        <v>13</v>
      </c>
      <c r="B19" s="907" t="s">
        <v>1186</v>
      </c>
      <c r="C19" s="1387">
        <v>1762617</v>
      </c>
      <c r="D19" s="87"/>
      <c r="E19"/>
    </row>
    <row r="20" spans="1:5" ht="16" customHeight="1">
      <c r="A20" s="13">
        <v>14</v>
      </c>
      <c r="B20" s="907" t="s">
        <v>1187</v>
      </c>
      <c r="C20" s="1387">
        <v>1404185</v>
      </c>
      <c r="D20" s="87"/>
      <c r="E20"/>
    </row>
    <row r="21" spans="1:5" ht="16" customHeight="1">
      <c r="A21" s="13">
        <v>15</v>
      </c>
      <c r="B21" s="907" t="s">
        <v>1188</v>
      </c>
      <c r="C21" s="1387">
        <v>1617529</v>
      </c>
      <c r="D21" s="87"/>
      <c r="E21"/>
    </row>
    <row r="22" spans="1:5" ht="16" customHeight="1">
      <c r="A22" s="13">
        <v>16</v>
      </c>
      <c r="B22" s="907" t="s">
        <v>1189</v>
      </c>
      <c r="C22" s="1387">
        <v>1746516</v>
      </c>
      <c r="D22" s="87"/>
      <c r="E22"/>
    </row>
    <row r="23" spans="1:5" ht="16" customHeight="1">
      <c r="A23" s="13">
        <v>17</v>
      </c>
      <c r="B23" s="907" t="s">
        <v>1190</v>
      </c>
      <c r="C23" s="1387">
        <v>2513958</v>
      </c>
      <c r="D23" s="87"/>
      <c r="E23"/>
    </row>
    <row r="24" spans="1:5" ht="16" customHeight="1">
      <c r="A24" s="13">
        <v>18</v>
      </c>
      <c r="B24" s="907" t="s">
        <v>1191</v>
      </c>
      <c r="C24" s="1387">
        <v>5993653</v>
      </c>
      <c r="D24" s="87"/>
      <c r="E24"/>
    </row>
    <row r="25" spans="1:5" ht="16" customHeight="1">
      <c r="A25" s="13">
        <v>19</v>
      </c>
      <c r="B25" s="907" t="s">
        <v>1192</v>
      </c>
      <c r="C25" s="1387">
        <v>4410582</v>
      </c>
      <c r="D25" s="87"/>
      <c r="E25"/>
    </row>
    <row r="26" spans="1:5" ht="16" customHeight="1">
      <c r="A26" s="13">
        <v>20</v>
      </c>
      <c r="B26" s="907" t="s">
        <v>1193</v>
      </c>
      <c r="C26" s="1387">
        <v>2687504</v>
      </c>
      <c r="D26" s="87"/>
      <c r="E26"/>
    </row>
    <row r="27" spans="1:5" ht="16" customHeight="1">
      <c r="A27" s="13">
        <v>21</v>
      </c>
      <c r="B27" s="907" t="s">
        <v>1194</v>
      </c>
      <c r="C27" s="1387">
        <v>5959401</v>
      </c>
      <c r="D27" s="87"/>
      <c r="E27"/>
    </row>
    <row r="28" spans="1:5" ht="16" customHeight="1">
      <c r="A28" s="13">
        <v>22</v>
      </c>
      <c r="B28" s="907" t="s">
        <v>1195</v>
      </c>
      <c r="C28" s="1387">
        <v>3282198</v>
      </c>
      <c r="D28" s="87"/>
      <c r="E28"/>
    </row>
    <row r="29" spans="1:5" ht="16" customHeight="1">
      <c r="A29" s="13">
        <v>23</v>
      </c>
      <c r="B29" s="907" t="s">
        <v>1196</v>
      </c>
      <c r="C29" s="1387">
        <v>3866953</v>
      </c>
      <c r="D29" s="87"/>
      <c r="E29"/>
    </row>
    <row r="30" spans="1:5" ht="16" customHeight="1">
      <c r="A30" s="13">
        <v>24</v>
      </c>
      <c r="B30" s="907" t="s">
        <v>1197</v>
      </c>
      <c r="C30" s="1387">
        <v>4358946</v>
      </c>
      <c r="D30" s="87"/>
      <c r="E30"/>
    </row>
    <row r="31" spans="1:5" ht="16" customHeight="1">
      <c r="A31" s="13">
        <v>25</v>
      </c>
      <c r="B31" s="907" t="s">
        <v>1198</v>
      </c>
      <c r="C31" s="1387">
        <v>1800000</v>
      </c>
      <c r="D31" s="87"/>
      <c r="E31"/>
    </row>
    <row r="32" spans="1:5" ht="16" customHeight="1">
      <c r="A32" s="13">
        <v>26</v>
      </c>
      <c r="B32" s="907" t="s">
        <v>1199</v>
      </c>
      <c r="C32" s="1387">
        <v>3739119</v>
      </c>
      <c r="D32" s="87"/>
      <c r="E32"/>
    </row>
    <row r="33" spans="1:5" ht="16" customHeight="1">
      <c r="A33" s="13">
        <v>27</v>
      </c>
      <c r="B33" s="907" t="s">
        <v>1200</v>
      </c>
      <c r="C33" s="1387">
        <v>4505933</v>
      </c>
      <c r="D33" s="87"/>
      <c r="E33"/>
    </row>
    <row r="34" spans="1:5" ht="16" customHeight="1">
      <c r="A34" s="13">
        <v>28</v>
      </c>
      <c r="B34" s="907" t="s">
        <v>1201</v>
      </c>
      <c r="C34" s="1387">
        <v>797736</v>
      </c>
      <c r="D34" s="87"/>
      <c r="E34"/>
    </row>
    <row r="35" spans="1:5" ht="16" customHeight="1">
      <c r="A35" s="13">
        <v>29</v>
      </c>
      <c r="B35" s="907" t="s">
        <v>1202</v>
      </c>
      <c r="C35" s="1387">
        <v>2604739</v>
      </c>
      <c r="D35" s="87"/>
      <c r="E35"/>
    </row>
    <row r="36" spans="1:5" ht="16" customHeight="1">
      <c r="A36" s="13">
        <v>30</v>
      </c>
      <c r="B36" s="907" t="s">
        <v>1203</v>
      </c>
      <c r="C36" s="1387">
        <v>1613207</v>
      </c>
      <c r="D36" s="87"/>
      <c r="E36"/>
    </row>
    <row r="37" spans="1:5" ht="16" customHeight="1">
      <c r="A37" s="13">
        <v>31</v>
      </c>
      <c r="B37" s="907" t="s">
        <v>1204</v>
      </c>
      <c r="C37" s="1387">
        <v>665684</v>
      </c>
      <c r="D37" s="87"/>
      <c r="E37"/>
    </row>
    <row r="38" spans="1:5" ht="16" customHeight="1">
      <c r="A38" s="13">
        <v>32</v>
      </c>
      <c r="B38" s="907" t="s">
        <v>1205</v>
      </c>
      <c r="C38" s="1387">
        <v>1706265</v>
      </c>
      <c r="D38" s="87"/>
      <c r="E38"/>
    </row>
    <row r="39" spans="1:5" ht="16" customHeight="1">
      <c r="A39" s="13">
        <v>33</v>
      </c>
      <c r="B39" s="907" t="s">
        <v>1206</v>
      </c>
      <c r="C39" s="1387">
        <v>1281502</v>
      </c>
      <c r="D39" s="87"/>
      <c r="E39"/>
    </row>
    <row r="40" spans="1:5" ht="16" customHeight="1">
      <c r="A40" s="13">
        <v>34</v>
      </c>
      <c r="B40" s="907" t="s">
        <v>1207</v>
      </c>
      <c r="C40" s="1387">
        <v>1503881</v>
      </c>
      <c r="D40" s="87"/>
      <c r="E40"/>
    </row>
    <row r="41" spans="1:5" ht="16" customHeight="1">
      <c r="A41" s="13">
        <v>35</v>
      </c>
      <c r="B41" s="907" t="s">
        <v>1208</v>
      </c>
      <c r="C41" s="1387">
        <v>1289824</v>
      </c>
      <c r="D41" s="87"/>
      <c r="E41"/>
    </row>
    <row r="42" spans="1:5" ht="16" customHeight="1">
      <c r="A42" s="13">
        <v>36</v>
      </c>
      <c r="B42" s="907" t="s">
        <v>1209</v>
      </c>
      <c r="C42" s="1387">
        <v>7662741</v>
      </c>
      <c r="D42" s="87"/>
      <c r="E42"/>
    </row>
    <row r="43" spans="1:5" ht="16" customHeight="1">
      <c r="A43" s="13">
        <v>37</v>
      </c>
      <c r="B43" s="907" t="s">
        <v>1210</v>
      </c>
      <c r="C43" s="1387">
        <v>1000000</v>
      </c>
      <c r="D43" s="87"/>
      <c r="E43"/>
    </row>
    <row r="44" spans="1:5" ht="16" customHeight="1">
      <c r="A44" s="13">
        <v>38</v>
      </c>
      <c r="B44" s="907" t="s">
        <v>1211</v>
      </c>
      <c r="C44" s="1387">
        <v>1300042</v>
      </c>
      <c r="D44" s="87"/>
      <c r="E44"/>
    </row>
    <row r="45" spans="1:5" ht="16" customHeight="1">
      <c r="A45" s="13">
        <v>39</v>
      </c>
      <c r="B45" s="907" t="s">
        <v>1212</v>
      </c>
      <c r="C45" s="1387">
        <v>2961313</v>
      </c>
      <c r="D45" s="87"/>
      <c r="E45"/>
    </row>
    <row r="46" spans="1:5" ht="16" customHeight="1">
      <c r="A46" s="13">
        <v>40</v>
      </c>
      <c r="B46" s="907" t="s">
        <v>1213</v>
      </c>
      <c r="C46" s="1387">
        <v>1617507</v>
      </c>
      <c r="D46" s="87"/>
      <c r="E46"/>
    </row>
    <row r="47" spans="1:5" ht="16" customHeight="1">
      <c r="A47" s="13">
        <v>41</v>
      </c>
      <c r="B47" s="907" t="s">
        <v>1214</v>
      </c>
      <c r="C47" s="1387">
        <v>3498808</v>
      </c>
      <c r="D47" s="87"/>
      <c r="E47"/>
    </row>
    <row r="48" spans="1:5" ht="16" customHeight="1">
      <c r="A48" s="13">
        <v>42</v>
      </c>
      <c r="B48" s="907" t="s">
        <v>1215</v>
      </c>
      <c r="C48" s="1387">
        <v>4144977</v>
      </c>
      <c r="D48" s="87"/>
      <c r="E48"/>
    </row>
    <row r="49" spans="1:5" ht="16" customHeight="1">
      <c r="A49" s="13">
        <v>43</v>
      </c>
      <c r="B49" s="907" t="s">
        <v>1216</v>
      </c>
      <c r="C49" s="1387">
        <v>2975553</v>
      </c>
      <c r="D49" s="87"/>
      <c r="E49"/>
    </row>
    <row r="50" spans="1:5" ht="16" customHeight="1">
      <c r="A50" s="13">
        <v>44</v>
      </c>
      <c r="B50" s="907" t="s">
        <v>1217</v>
      </c>
      <c r="C50" s="1387">
        <v>10035061</v>
      </c>
      <c r="D50" s="87"/>
      <c r="E50"/>
    </row>
    <row r="51" spans="1:5" ht="16" customHeight="1">
      <c r="A51" s="13">
        <v>45</v>
      </c>
      <c r="B51" s="907" t="s">
        <v>1218</v>
      </c>
      <c r="C51" s="1387">
        <v>5034124</v>
      </c>
      <c r="D51" s="87"/>
      <c r="E51"/>
    </row>
    <row r="52" spans="1:5" ht="15.75" customHeight="1">
      <c r="A52" s="13">
        <v>46</v>
      </c>
      <c r="B52" s="907" t="s">
        <v>1219</v>
      </c>
      <c r="C52" s="1387">
        <v>2476115</v>
      </c>
      <c r="D52" s="87"/>
      <c r="E52"/>
    </row>
    <row r="53" spans="1:5" ht="16" customHeight="1">
      <c r="A53" s="13">
        <v>47</v>
      </c>
      <c r="B53" s="907" t="s">
        <v>1220</v>
      </c>
      <c r="C53" s="1387">
        <v>6512667</v>
      </c>
      <c r="D53" s="87"/>
      <c r="E53"/>
    </row>
    <row r="54" spans="1:5" ht="16" customHeight="1">
      <c r="A54" s="13">
        <v>48</v>
      </c>
      <c r="B54" s="907" t="s">
        <v>1221</v>
      </c>
      <c r="C54" s="1387">
        <v>1645784</v>
      </c>
      <c r="D54" s="87"/>
      <c r="E54"/>
    </row>
    <row r="55" spans="1:5" ht="16" customHeight="1">
      <c r="A55" s="13">
        <v>49</v>
      </c>
      <c r="B55" s="907" t="s">
        <v>1222</v>
      </c>
      <c r="C55" s="1387">
        <v>432315</v>
      </c>
      <c r="D55" s="87"/>
      <c r="E55"/>
    </row>
    <row r="56" spans="1:5" ht="16" customHeight="1" thickBot="1">
      <c r="A56" s="13">
        <v>50</v>
      </c>
      <c r="B56" s="907" t="s">
        <v>1223</v>
      </c>
      <c r="C56" s="1387">
        <v>1791470</v>
      </c>
      <c r="D56" s="87"/>
      <c r="E56"/>
    </row>
    <row r="57" spans="1:5" ht="16" customHeight="1" thickBot="1">
      <c r="B57" s="365" t="s">
        <v>373</v>
      </c>
      <c r="C57" s="1388">
        <f>SUM(C7:C56)</f>
        <v>160792682</v>
      </c>
    </row>
    <row r="58" spans="1:5" ht="16" customHeight="1" thickBot="1">
      <c r="A58" s="1389"/>
      <c r="B58" s="1390"/>
      <c r="C58" s="1390" t="s">
        <v>354</v>
      </c>
    </row>
    <row r="59" spans="1:5" ht="16" customHeight="1" thickBot="1">
      <c r="B59" s="363" t="s">
        <v>538</v>
      </c>
      <c r="C59" s="364">
        <v>45748</v>
      </c>
    </row>
    <row r="60" spans="1:5" ht="16" customHeight="1" thickBot="1">
      <c r="B60" s="1391" t="s">
        <v>38</v>
      </c>
      <c r="C60" s="1392" t="s">
        <v>23</v>
      </c>
    </row>
    <row r="61" spans="1:5" ht="16" customHeight="1">
      <c r="B61" s="907" t="s">
        <v>1224</v>
      </c>
      <c r="C61" s="1387">
        <v>1784078</v>
      </c>
    </row>
    <row r="62" spans="1:5" ht="16" customHeight="1">
      <c r="B62" s="907" t="s">
        <v>1225</v>
      </c>
      <c r="C62" s="1387">
        <v>4000000</v>
      </c>
    </row>
    <row r="63" spans="1:5" ht="16" customHeight="1">
      <c r="B63" s="907" t="s">
        <v>1226</v>
      </c>
      <c r="C63" s="1387">
        <v>4275000</v>
      </c>
    </row>
    <row r="64" spans="1:5" ht="16" customHeight="1">
      <c r="B64" s="907" t="s">
        <v>1227</v>
      </c>
      <c r="C64" s="1387">
        <v>4673327</v>
      </c>
    </row>
    <row r="65" spans="1:3" ht="16" customHeight="1">
      <c r="B65" s="907" t="s">
        <v>1228</v>
      </c>
      <c r="C65" s="1387">
        <v>2500000</v>
      </c>
    </row>
    <row r="66" spans="1:3" ht="16" customHeight="1">
      <c r="B66" s="907" t="s">
        <v>1229</v>
      </c>
      <c r="C66" s="1387">
        <v>1600000</v>
      </c>
    </row>
    <row r="67" spans="1:3" ht="16" customHeight="1">
      <c r="B67" s="907" t="s">
        <v>1230</v>
      </c>
      <c r="C67" s="1387">
        <v>448875</v>
      </c>
    </row>
    <row r="68" spans="1:3" ht="16" customHeight="1" thickBot="1">
      <c r="B68" s="907" t="s">
        <v>1256</v>
      </c>
      <c r="C68" s="1387">
        <v>7800001</v>
      </c>
    </row>
    <row r="69" spans="1:3" ht="16" customHeight="1" thickBot="1">
      <c r="B69" s="366" t="s">
        <v>372</v>
      </c>
      <c r="C69" s="1393">
        <f>SUM(C61:C68)</f>
        <v>27081281</v>
      </c>
    </row>
    <row r="70" spans="1:3" ht="16" customHeight="1">
      <c r="B70" s="359"/>
      <c r="C70" s="360"/>
    </row>
    <row r="71" spans="1:3" ht="16" hidden="1" customHeight="1" thickBot="1">
      <c r="A71" s="1389"/>
      <c r="B71" s="1394"/>
      <c r="C71" s="1394"/>
    </row>
    <row r="72" spans="1:3" ht="16" hidden="1" customHeight="1" thickBot="1">
      <c r="A72" s="1389"/>
      <c r="B72" s="363" t="s">
        <v>355</v>
      </c>
      <c r="C72" s="364">
        <v>45748</v>
      </c>
    </row>
    <row r="73" spans="1:3" ht="16" hidden="1" customHeight="1" thickBot="1">
      <c r="A73" s="1389"/>
      <c r="B73" s="909"/>
      <c r="C73" s="911"/>
    </row>
    <row r="74" spans="1:3" ht="16" hidden="1" customHeight="1" thickBot="1">
      <c r="A74" s="1389"/>
      <c r="B74" s="908" t="s">
        <v>371</v>
      </c>
      <c r="C74" s="1395">
        <f>SUM(C73:C73)</f>
        <v>0</v>
      </c>
    </row>
    <row r="75" spans="1:3" ht="16" customHeight="1" thickBot="1">
      <c r="A75" s="1389"/>
      <c r="B75" s="1394"/>
      <c r="C75" s="1394"/>
    </row>
    <row r="76" spans="1:3" ht="16" customHeight="1" thickBot="1">
      <c r="B76" s="366" t="s">
        <v>410</v>
      </c>
      <c r="C76" s="364">
        <v>45748</v>
      </c>
    </row>
    <row r="77" spans="1:3" ht="16" customHeight="1" thickBot="1">
      <c r="B77" s="909" t="s">
        <v>1130</v>
      </c>
      <c r="C77" s="1396">
        <v>2500000</v>
      </c>
    </row>
    <row r="78" spans="1:3" ht="16" customHeight="1" thickBot="1">
      <c r="B78" s="351" t="s">
        <v>543</v>
      </c>
      <c r="C78" s="1395">
        <f>SUM(C77:C77)</f>
        <v>2500000</v>
      </c>
    </row>
    <row r="79" spans="1:3" ht="16" customHeight="1">
      <c r="B79" s="361"/>
      <c r="C79" s="353"/>
    </row>
    <row r="80" spans="1:3" ht="16" customHeight="1" thickBot="1">
      <c r="B80" s="361"/>
      <c r="C80" s="353"/>
    </row>
    <row r="81" spans="2:3" ht="16" customHeight="1" thickBot="1">
      <c r="B81" s="363" t="s">
        <v>126</v>
      </c>
      <c r="C81" s="364">
        <v>45748</v>
      </c>
    </row>
    <row r="82" spans="2:3" ht="16" customHeight="1">
      <c r="B82" s="909" t="s">
        <v>1231</v>
      </c>
      <c r="C82" s="1396">
        <v>450000</v>
      </c>
    </row>
    <row r="83" spans="2:3" ht="16" customHeight="1">
      <c r="B83" s="909" t="s">
        <v>1232</v>
      </c>
      <c r="C83" s="1396">
        <v>244000</v>
      </c>
    </row>
    <row r="84" spans="2:3" ht="16" customHeight="1">
      <c r="B84" s="909" t="s">
        <v>968</v>
      </c>
      <c r="C84" s="1396">
        <v>108971</v>
      </c>
    </row>
    <row r="85" spans="2:3" ht="16" customHeight="1">
      <c r="B85" s="909" t="s">
        <v>969</v>
      </c>
      <c r="C85" s="1396">
        <f>53241-13972</f>
        <v>39269</v>
      </c>
    </row>
    <row r="86" spans="2:3" ht="16" customHeight="1">
      <c r="B86" s="372" t="s">
        <v>1143</v>
      </c>
      <c r="C86" s="373">
        <v>195011</v>
      </c>
    </row>
    <row r="87" spans="2:3" ht="16" customHeight="1">
      <c r="B87" s="372" t="s">
        <v>1144</v>
      </c>
      <c r="C87" s="373">
        <v>324659</v>
      </c>
    </row>
    <row r="88" spans="2:3" ht="16" customHeight="1">
      <c r="B88" s="909" t="s">
        <v>971</v>
      </c>
      <c r="C88" s="1396">
        <v>133000</v>
      </c>
    </row>
    <row r="89" spans="2:3" ht="16" customHeight="1">
      <c r="B89" s="909" t="s">
        <v>1133</v>
      </c>
      <c r="C89" s="1396">
        <v>117490</v>
      </c>
    </row>
    <row r="90" spans="2:3" ht="16" customHeight="1">
      <c r="B90" s="909" t="s">
        <v>1239</v>
      </c>
      <c r="C90" s="1396"/>
    </row>
    <row r="91" spans="2:3" ht="16" customHeight="1" thickBot="1">
      <c r="B91" s="909" t="s">
        <v>1240</v>
      </c>
      <c r="C91" s="1396"/>
    </row>
    <row r="92" spans="2:3" ht="16" customHeight="1" thickBot="1">
      <c r="B92" s="363" t="s">
        <v>546</v>
      </c>
      <c r="C92" s="374">
        <f>SUM(C82:C89)</f>
        <v>1612400</v>
      </c>
    </row>
    <row r="93" spans="2:3" ht="16" customHeight="1" thickBot="1">
      <c r="B93" s="90"/>
      <c r="C93" s="361"/>
    </row>
    <row r="94" spans="2:3" ht="16" customHeight="1" thickBot="1">
      <c r="B94" s="363" t="s">
        <v>1233</v>
      </c>
      <c r="C94" s="364">
        <v>45748</v>
      </c>
    </row>
    <row r="95" spans="2:3" ht="16" customHeight="1">
      <c r="B95" s="909" t="s">
        <v>541</v>
      </c>
      <c r="C95" s="910">
        <v>1748377</v>
      </c>
    </row>
    <row r="96" spans="2:3" ht="16" customHeight="1">
      <c r="B96" s="909" t="s">
        <v>542</v>
      </c>
      <c r="C96" s="910">
        <v>1105168</v>
      </c>
    </row>
    <row r="97" spans="1:5" ht="16" customHeight="1">
      <c r="B97" s="909" t="s">
        <v>1134</v>
      </c>
      <c r="C97" s="910">
        <v>279650</v>
      </c>
    </row>
    <row r="98" spans="1:5" ht="16" customHeight="1">
      <c r="B98" s="909" t="s">
        <v>970</v>
      </c>
      <c r="C98" s="910">
        <v>184800</v>
      </c>
    </row>
    <row r="99" spans="1:5" ht="16" customHeight="1">
      <c r="B99" s="909" t="s">
        <v>1135</v>
      </c>
      <c r="C99" s="910">
        <v>122926</v>
      </c>
    </row>
    <row r="100" spans="1:5" ht="16" customHeight="1">
      <c r="A100" s="90" t="s">
        <v>547</v>
      </c>
      <c r="B100" s="909" t="s">
        <v>1136</v>
      </c>
      <c r="C100" s="910">
        <v>182858</v>
      </c>
    </row>
    <row r="101" spans="1:5" ht="16" customHeight="1">
      <c r="B101" s="909" t="s">
        <v>1137</v>
      </c>
      <c r="C101" s="910">
        <v>140420</v>
      </c>
    </row>
    <row r="102" spans="1:5" ht="16" customHeight="1">
      <c r="B102" s="909" t="s">
        <v>1138</v>
      </c>
      <c r="C102" s="910">
        <v>485957</v>
      </c>
    </row>
    <row r="103" spans="1:5" ht="16" customHeight="1">
      <c r="B103" s="909" t="s">
        <v>1139</v>
      </c>
      <c r="C103" s="910">
        <v>117207</v>
      </c>
    </row>
    <row r="104" spans="1:5" ht="16" customHeight="1">
      <c r="B104" s="909" t="s">
        <v>1140</v>
      </c>
      <c r="C104" s="910">
        <v>583561</v>
      </c>
    </row>
    <row r="105" spans="1:5" ht="16" customHeight="1">
      <c r="B105" s="909" t="s">
        <v>1141</v>
      </c>
      <c r="C105" s="910">
        <v>777982</v>
      </c>
    </row>
    <row r="106" spans="1:5" ht="16" customHeight="1">
      <c r="B106" s="909" t="s">
        <v>1142</v>
      </c>
      <c r="C106" s="910">
        <v>3320857</v>
      </c>
    </row>
    <row r="107" spans="1:5" ht="15.75" customHeight="1">
      <c r="B107" s="909" t="s">
        <v>1234</v>
      </c>
      <c r="C107" s="910">
        <f>1367499+2170954</f>
        <v>3538453</v>
      </c>
      <c r="D107" s="216"/>
    </row>
    <row r="108" spans="1:5" ht="16" customHeight="1">
      <c r="B108" s="909" t="s">
        <v>1145</v>
      </c>
      <c r="C108" s="910">
        <v>275310</v>
      </c>
    </row>
    <row r="109" spans="1:5" ht="16" customHeight="1">
      <c r="B109" s="909" t="s">
        <v>1235</v>
      </c>
      <c r="C109" s="910">
        <v>3558464</v>
      </c>
    </row>
    <row r="110" spans="1:5" ht="16" customHeight="1" thickBot="1">
      <c r="B110" s="909" t="s">
        <v>1236</v>
      </c>
      <c r="C110" s="910">
        <v>1451352</v>
      </c>
    </row>
    <row r="111" spans="1:5" ht="16" customHeight="1" thickBot="1">
      <c r="B111" s="367" t="s">
        <v>370</v>
      </c>
      <c r="C111" s="1397">
        <f>SUM(C95:C110)</f>
        <v>17873342</v>
      </c>
      <c r="E111" s="216"/>
    </row>
    <row r="112" spans="1:5" ht="16" customHeight="1" thickBot="1">
      <c r="B112" s="361"/>
      <c r="C112" s="353"/>
      <c r="D112" s="375"/>
    </row>
    <row r="113" spans="2:5" ht="16" customHeight="1" thickBot="1">
      <c r="B113" s="363" t="s">
        <v>544</v>
      </c>
      <c r="C113" s="364">
        <v>45748</v>
      </c>
    </row>
    <row r="114" spans="2:5" ht="16" customHeight="1">
      <c r="B114" s="1385" t="s">
        <v>1131</v>
      </c>
      <c r="C114" s="1386">
        <v>71243429</v>
      </c>
    </row>
    <row r="115" spans="2:5" ht="16" customHeight="1" thickBot="1">
      <c r="B115" s="1385" t="s">
        <v>1132</v>
      </c>
      <c r="C115" s="1386">
        <v>60135680</v>
      </c>
    </row>
    <row r="116" spans="2:5" ht="16" customHeight="1" thickBot="1">
      <c r="B116" s="367" t="s">
        <v>545</v>
      </c>
      <c r="C116" s="1398">
        <f>SUM(C114:C115)</f>
        <v>131379109</v>
      </c>
      <c r="D116" s="1399" t="s">
        <v>490</v>
      </c>
    </row>
    <row r="117" spans="2:5" ht="16" customHeight="1">
      <c r="B117" s="1400"/>
      <c r="C117" s="1401"/>
      <c r="D117" s="1402"/>
    </row>
    <row r="118" spans="2:5" ht="16" customHeight="1" thickBot="1">
      <c r="B118" s="361"/>
      <c r="C118" s="353"/>
      <c r="D118" s="78" t="s">
        <v>1237</v>
      </c>
    </row>
    <row r="119" spans="2:5" ht="16" customHeight="1" thickBot="1">
      <c r="B119" s="1403" t="s">
        <v>1146</v>
      </c>
      <c r="C119" s="1404">
        <f>SUM(C57+C69+C74+C78+C92+C111+C116)</f>
        <v>341238814</v>
      </c>
      <c r="D119" s="1405">
        <f>SUM(C119-C116)</f>
        <v>209859705</v>
      </c>
    </row>
    <row r="120" spans="2:5" ht="16" customHeight="1" thickBot="1">
      <c r="B120" s="368"/>
      <c r="C120" s="1406"/>
      <c r="E120" s="215"/>
    </row>
    <row r="121" spans="2:5" ht="16" customHeight="1" thickBot="1">
      <c r="B121" s="369" t="s">
        <v>329</v>
      </c>
      <c r="C121" s="1407">
        <v>321460979</v>
      </c>
      <c r="D121" s="215"/>
      <c r="E121" s="215"/>
    </row>
    <row r="122" spans="2:5" ht="16" customHeight="1" thickBot="1">
      <c r="B122" s="369" t="s">
        <v>1129</v>
      </c>
      <c r="C122" s="1407">
        <v>120175175</v>
      </c>
      <c r="D122" s="215"/>
      <c r="E122" s="215"/>
    </row>
    <row r="123" spans="2:5" ht="16" customHeight="1" thickBot="1">
      <c r="B123" s="370" t="s">
        <v>230</v>
      </c>
      <c r="C123" s="1407">
        <f>SUM(C121:C122)</f>
        <v>441636154</v>
      </c>
      <c r="D123" s="215"/>
      <c r="E123" s="215"/>
    </row>
    <row r="124" spans="2:5" ht="16" customHeight="1" thickBot="1">
      <c r="B124" s="368"/>
      <c r="C124" s="368"/>
    </row>
    <row r="125" spans="2:5" ht="17.25" customHeight="1" thickBot="1">
      <c r="B125" s="371" t="s">
        <v>1238</v>
      </c>
      <c r="C125" s="1407">
        <f>SUM(C123-C119)</f>
        <v>100397340</v>
      </c>
      <c r="D125" s="215"/>
    </row>
    <row r="126" spans="2:5" ht="16" customHeight="1">
      <c r="C126" s="362"/>
      <c r="D126" s="215"/>
    </row>
    <row r="127" spans="2:5" ht="16" customHeight="1">
      <c r="C127" s="362"/>
      <c r="D127" s="215"/>
    </row>
    <row r="128" spans="2:5" ht="16" customHeight="1">
      <c r="D128" s="215"/>
    </row>
    <row r="129" spans="4:4" ht="16" customHeight="1">
      <c r="D129" s="215"/>
    </row>
  </sheetData>
  <phoneticPr fontId="12" type="noConversion"/>
  <pageMargins left="0.7" right="0.7" top="0.75" bottom="0.75" header="0.3" footer="0.3"/>
  <pageSetup scale="65" orientation="portrait" horizontalDpi="4294967295" verticalDpi="4294967295" r:id="rId1"/>
  <rowBreaks count="1" manualBreakCount="1">
    <brk id="57" max="2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135B-0F86-4331-B071-BDE842E87D24}">
  <sheetPr codeName="Hoja34">
    <tabColor rgb="FFFFFF00"/>
  </sheetPr>
  <dimension ref="A1:I81"/>
  <sheetViews>
    <sheetView topLeftCell="A76" workbookViewId="0">
      <selection activeCell="B28" sqref="B28"/>
    </sheetView>
  </sheetViews>
  <sheetFormatPr baseColWidth="10" defaultColWidth="13.5" defaultRowHeight="17"/>
  <cols>
    <col min="1" max="1" width="4.5" style="90" customWidth="1"/>
    <col min="2" max="2" width="58.5" style="356" customWidth="1"/>
    <col min="3" max="3" width="22" style="356" customWidth="1"/>
    <col min="4" max="4" width="21.5" style="90" bestFit="1" customWidth="1"/>
    <col min="5" max="5" width="17.1640625" style="90" bestFit="1" customWidth="1"/>
    <col min="6" max="16384" width="13.5" style="90"/>
  </cols>
  <sheetData>
    <row r="1" spans="1:3" ht="16" customHeight="1">
      <c r="A1" s="90" t="s">
        <v>1425</v>
      </c>
      <c r="B1" s="352" t="s">
        <v>0</v>
      </c>
      <c r="C1" s="353"/>
    </row>
    <row r="2" spans="1:3" ht="16" customHeight="1">
      <c r="B2" s="354"/>
      <c r="C2" s="353"/>
    </row>
    <row r="3" spans="1:3" ht="16" customHeight="1">
      <c r="B3" s="355">
        <v>45809</v>
      </c>
    </row>
    <row r="4" spans="1:3" ht="16" customHeight="1" thickBot="1"/>
    <row r="5" spans="1:3" ht="16" customHeight="1" thickBot="1">
      <c r="B5" s="363" t="s">
        <v>538</v>
      </c>
      <c r="C5" s="364">
        <v>45809</v>
      </c>
    </row>
    <row r="6" spans="1:3" ht="16" customHeight="1" thickBot="1">
      <c r="B6" s="1391" t="s">
        <v>38</v>
      </c>
      <c r="C6" s="1392" t="s">
        <v>23</v>
      </c>
    </row>
    <row r="7" spans="1:3" ht="16" customHeight="1">
      <c r="B7" s="907" t="s">
        <v>1225</v>
      </c>
      <c r="C7" s="1387">
        <v>4000000</v>
      </c>
    </row>
    <row r="8" spans="1:3" ht="16" customHeight="1">
      <c r="B8" s="907" t="s">
        <v>1227</v>
      </c>
      <c r="C8" s="1387">
        <v>4699330</v>
      </c>
    </row>
    <row r="9" spans="1:3" ht="16" customHeight="1">
      <c r="B9" s="907" t="s">
        <v>1302</v>
      </c>
      <c r="C9" s="1387">
        <v>427500</v>
      </c>
    </row>
    <row r="10" spans="1:3" ht="16" customHeight="1">
      <c r="B10" s="1539" t="s">
        <v>1404</v>
      </c>
      <c r="C10" s="1540">
        <v>1500000</v>
      </c>
    </row>
    <row r="11" spans="1:3" ht="16" customHeight="1">
      <c r="B11" s="1792" t="s">
        <v>1420</v>
      </c>
      <c r="C11" s="1540">
        <v>3420000</v>
      </c>
    </row>
    <row r="12" spans="1:3" ht="16" customHeight="1" thickBot="1">
      <c r="B12" s="1792" t="s">
        <v>1431</v>
      </c>
      <c r="C12" s="1540">
        <v>1103</v>
      </c>
    </row>
    <row r="13" spans="1:3" ht="16" customHeight="1" thickBot="1">
      <c r="B13" s="1538" t="s">
        <v>372</v>
      </c>
      <c r="C13" s="1393">
        <f>SUM(C7:C12)</f>
        <v>14047933</v>
      </c>
    </row>
    <row r="14" spans="1:3" ht="16" customHeight="1">
      <c r="B14" s="359"/>
      <c r="C14" s="360"/>
    </row>
    <row r="15" spans="1:3" ht="16" hidden="1" customHeight="1">
      <c r="A15" s="1389"/>
      <c r="B15" s="1394"/>
      <c r="C15" s="1394"/>
    </row>
    <row r="16" spans="1:3" ht="16" hidden="1" customHeight="1">
      <c r="A16" s="1389"/>
      <c r="B16" s="363" t="s">
        <v>355</v>
      </c>
      <c r="C16" s="364">
        <v>45748</v>
      </c>
    </row>
    <row r="17" spans="1:9" ht="16" hidden="1" customHeight="1">
      <c r="A17" s="1389"/>
      <c r="B17" s="909"/>
      <c r="C17" s="911"/>
    </row>
    <row r="18" spans="1:9" ht="16" hidden="1" customHeight="1">
      <c r="A18" s="1389"/>
      <c r="B18" s="908" t="s">
        <v>371</v>
      </c>
      <c r="C18" s="1395">
        <f>SUM(C17:C17)</f>
        <v>0</v>
      </c>
    </row>
    <row r="19" spans="1:9" ht="16" customHeight="1" thickBot="1">
      <c r="A19" s="1389"/>
      <c r="B19" s="1394"/>
      <c r="C19" s="1394"/>
    </row>
    <row r="20" spans="1:9" ht="16" customHeight="1" thickBot="1">
      <c r="B20" s="366" t="s">
        <v>410</v>
      </c>
      <c r="C20" s="364">
        <v>45809</v>
      </c>
    </row>
    <row r="21" spans="1:9" ht="16" customHeight="1">
      <c r="B21" s="907" t="s">
        <v>1405</v>
      </c>
      <c r="C21" s="1387">
        <v>1505296</v>
      </c>
    </row>
    <row r="22" spans="1:9" ht="16" customHeight="1" thickBot="1">
      <c r="B22" s="907" t="s">
        <v>1406</v>
      </c>
      <c r="C22" s="1387">
        <v>2500000</v>
      </c>
    </row>
    <row r="23" spans="1:9" ht="16" customHeight="1" thickBot="1">
      <c r="B23" s="351" t="s">
        <v>543</v>
      </c>
      <c r="C23" s="1395">
        <f>SUM(C21:C22)</f>
        <v>4005296</v>
      </c>
    </row>
    <row r="24" spans="1:9" ht="16" customHeight="1">
      <c r="B24" s="361"/>
      <c r="C24" s="353"/>
    </row>
    <row r="25" spans="1:9" ht="16" customHeight="1" thickBot="1">
      <c r="B25" s="361"/>
      <c r="C25" s="353"/>
      <c r="I25" s="90" t="s">
        <v>337</v>
      </c>
    </row>
    <row r="26" spans="1:9" ht="16" customHeight="1" thickBot="1">
      <c r="B26" s="363" t="s">
        <v>126</v>
      </c>
      <c r="C26" s="364">
        <v>45809</v>
      </c>
    </row>
    <row r="27" spans="1:9" ht="16" customHeight="1">
      <c r="B27" s="909" t="s">
        <v>1231</v>
      </c>
      <c r="C27" s="910">
        <v>283000</v>
      </c>
    </row>
    <row r="28" spans="1:9" ht="16" customHeight="1">
      <c r="B28" s="909" t="s">
        <v>1232</v>
      </c>
      <c r="C28" s="910">
        <v>192000</v>
      </c>
    </row>
    <row r="29" spans="1:9" ht="16" customHeight="1">
      <c r="B29" s="1542" t="s">
        <v>1322</v>
      </c>
      <c r="C29" s="1543">
        <v>200000</v>
      </c>
    </row>
    <row r="30" spans="1:9" ht="16" customHeight="1">
      <c r="B30" s="909" t="s">
        <v>1307</v>
      </c>
      <c r="C30" s="910">
        <v>114000</v>
      </c>
    </row>
    <row r="31" spans="1:9" ht="16" customHeight="1">
      <c r="B31" s="909" t="s">
        <v>969</v>
      </c>
      <c r="C31" s="910">
        <v>176000</v>
      </c>
    </row>
    <row r="32" spans="1:9" ht="16" customHeight="1">
      <c r="B32" s="372" t="s">
        <v>1303</v>
      </c>
      <c r="C32" s="1537">
        <v>704000</v>
      </c>
    </row>
    <row r="33" spans="1:5" ht="16" customHeight="1" thickBot="1">
      <c r="B33" s="909" t="s">
        <v>1306</v>
      </c>
      <c r="C33" s="1396">
        <v>1047263</v>
      </c>
    </row>
    <row r="34" spans="1:5" ht="16" customHeight="1" thickBot="1">
      <c r="B34" s="363" t="s">
        <v>546</v>
      </c>
      <c r="C34" s="374">
        <f>SUM(C27:C33)</f>
        <v>2716263</v>
      </c>
    </row>
    <row r="35" spans="1:5" ht="16" customHeight="1" thickBot="1">
      <c r="B35" s="90"/>
      <c r="C35" s="361"/>
    </row>
    <row r="36" spans="1:5" ht="16" customHeight="1" thickBot="1">
      <c r="B36" s="363" t="s">
        <v>1233</v>
      </c>
      <c r="C36" s="364">
        <v>45809</v>
      </c>
    </row>
    <row r="37" spans="1:5" ht="16" customHeight="1">
      <c r="B37" s="909" t="s">
        <v>541</v>
      </c>
      <c r="C37" s="1805">
        <v>1646890</v>
      </c>
    </row>
    <row r="38" spans="1:5" ht="16" customHeight="1">
      <c r="B38" s="909" t="s">
        <v>542</v>
      </c>
      <c r="C38" s="1805">
        <v>974006</v>
      </c>
    </row>
    <row r="39" spans="1:5" ht="16" customHeight="1">
      <c r="B39" s="909" t="s">
        <v>1407</v>
      </c>
      <c r="C39" s="1805">
        <v>279651</v>
      </c>
    </row>
    <row r="40" spans="1:5" ht="16" customHeight="1">
      <c r="B40" s="909" t="s">
        <v>1301</v>
      </c>
      <c r="C40" s="1805">
        <v>184800</v>
      </c>
    </row>
    <row r="41" spans="1:5" ht="16" customHeight="1">
      <c r="B41" s="909" t="s">
        <v>1408</v>
      </c>
      <c r="C41" s="1805">
        <v>211964</v>
      </c>
    </row>
    <row r="42" spans="1:5" ht="16" customHeight="1">
      <c r="A42" s="90" t="s">
        <v>547</v>
      </c>
      <c r="B42" s="909" t="s">
        <v>1409</v>
      </c>
      <c r="C42" s="1805">
        <v>263680</v>
      </c>
      <c r="E42" s="215"/>
    </row>
    <row r="43" spans="1:5" ht="16" customHeight="1">
      <c r="B43" s="909" t="s">
        <v>1410</v>
      </c>
      <c r="C43" s="910">
        <v>117801</v>
      </c>
      <c r="E43" s="215"/>
    </row>
    <row r="44" spans="1:5" ht="16" customHeight="1">
      <c r="B44" s="909" t="s">
        <v>1312</v>
      </c>
      <c r="C44" s="1805">
        <v>587917</v>
      </c>
      <c r="E44" s="215"/>
    </row>
    <row r="45" spans="1:5" ht="16" customHeight="1">
      <c r="B45" s="909" t="s">
        <v>1313</v>
      </c>
      <c r="C45" s="1805">
        <v>783839</v>
      </c>
      <c r="E45" s="1535"/>
    </row>
    <row r="46" spans="1:5" ht="16" customHeight="1">
      <c r="B46" s="909" t="s">
        <v>1411</v>
      </c>
      <c r="C46" s="1805">
        <v>3337701</v>
      </c>
      <c r="E46" s="1535"/>
    </row>
    <row r="47" spans="1:5" ht="16" customHeight="1">
      <c r="B47" s="909" t="s">
        <v>1412</v>
      </c>
      <c r="C47" s="1805">
        <v>275310</v>
      </c>
      <c r="E47" s="1536"/>
    </row>
    <row r="48" spans="1:5" ht="16" customHeight="1">
      <c r="B48" s="909" t="s">
        <v>1426</v>
      </c>
      <c r="C48" s="1804">
        <v>1247110</v>
      </c>
      <c r="E48" s="1536"/>
    </row>
    <row r="49" spans="2:5" ht="16" customHeight="1">
      <c r="B49" s="909" t="s">
        <v>1427</v>
      </c>
      <c r="C49" s="1804">
        <v>386750</v>
      </c>
      <c r="E49" s="1536"/>
    </row>
    <row r="50" spans="2:5" ht="16" customHeight="1">
      <c r="B50" s="909" t="s">
        <v>1428</v>
      </c>
      <c r="C50" s="1804">
        <v>1786216</v>
      </c>
      <c r="E50" s="1536"/>
    </row>
    <row r="51" spans="2:5" ht="16" customHeight="1">
      <c r="B51" s="909" t="s">
        <v>1429</v>
      </c>
      <c r="C51" s="1804">
        <v>190400</v>
      </c>
      <c r="E51" s="1536"/>
    </row>
    <row r="52" spans="2:5" ht="16" customHeight="1" thickBot="1">
      <c r="B52" s="909" t="s">
        <v>1430</v>
      </c>
      <c r="C52" s="1804">
        <v>391768</v>
      </c>
      <c r="E52" s="1536"/>
    </row>
    <row r="53" spans="2:5" ht="16" customHeight="1" thickBot="1">
      <c r="B53" s="367" t="s">
        <v>370</v>
      </c>
      <c r="C53" s="1803">
        <f>SUM(C37:C52)</f>
        <v>12665803</v>
      </c>
      <c r="D53" s="375"/>
      <c r="E53" s="216"/>
    </row>
    <row r="54" spans="2:5" ht="16" customHeight="1" thickBot="1">
      <c r="B54" s="361"/>
      <c r="C54" s="353"/>
      <c r="D54" s="375"/>
    </row>
    <row r="55" spans="2:5" ht="16" customHeight="1" thickBot="1">
      <c r="B55" s="363" t="s">
        <v>544</v>
      </c>
      <c r="C55" s="364">
        <v>45809</v>
      </c>
      <c r="D55" s="375"/>
    </row>
    <row r="56" spans="2:5" ht="16" customHeight="1" thickBot="1">
      <c r="B56" s="909"/>
      <c r="C56" s="910"/>
    </row>
    <row r="57" spans="2:5" ht="16" customHeight="1" thickBot="1">
      <c r="B57" s="367" t="s">
        <v>545</v>
      </c>
      <c r="C57" s="1398">
        <f>SUM(C56:C56)</f>
        <v>0</v>
      </c>
    </row>
    <row r="58" spans="2:5" ht="16" customHeight="1">
      <c r="B58" s="1400"/>
      <c r="C58" s="1401"/>
      <c r="D58" s="1402"/>
    </row>
    <row r="59" spans="2:5" ht="16" customHeight="1" thickBot="1">
      <c r="B59" s="361"/>
      <c r="C59" s="353"/>
      <c r="D59" s="78"/>
    </row>
    <row r="60" spans="2:5" ht="16" customHeight="1" thickBot="1">
      <c r="B60" s="1403" t="s">
        <v>1403</v>
      </c>
      <c r="C60" s="1404">
        <f>SUM(+C13+C18+C23+C34+C53+C57)</f>
        <v>33435295</v>
      </c>
      <c r="D60" s="1402"/>
    </row>
    <row r="61" spans="2:5" ht="16" customHeight="1" thickBot="1">
      <c r="B61" s="368"/>
      <c r="C61" s="1406"/>
      <c r="E61" s="215"/>
    </row>
    <row r="62" spans="2:5" ht="16" customHeight="1" thickBot="1">
      <c r="B62" s="369" t="s">
        <v>329</v>
      </c>
      <c r="C62" s="1407">
        <v>7598171</v>
      </c>
      <c r="D62" s="215"/>
      <c r="E62" s="1535"/>
    </row>
    <row r="63" spans="2:5" ht="16" customHeight="1" thickBot="1">
      <c r="B63" s="369" t="s">
        <v>1413</v>
      </c>
      <c r="C63" s="1407"/>
      <c r="D63" s="215"/>
      <c r="E63" s="1535"/>
    </row>
    <row r="64" spans="2:5" ht="16" customHeight="1" thickBot="1">
      <c r="B64" s="370" t="s">
        <v>230</v>
      </c>
      <c r="C64" s="1407">
        <f>SUM(C62:C63)</f>
        <v>7598171</v>
      </c>
      <c r="D64" s="215"/>
      <c r="E64" s="215"/>
    </row>
    <row r="65" spans="2:5" ht="16" customHeight="1" thickBot="1">
      <c r="B65" s="368"/>
      <c r="C65" s="368"/>
    </row>
    <row r="66" spans="2:5" ht="17.25" customHeight="1" thickBot="1">
      <c r="B66" s="1799" t="s">
        <v>1238</v>
      </c>
      <c r="C66" s="1407">
        <f>SUM(C64-C60)</f>
        <v>-25837124</v>
      </c>
      <c r="D66" s="215"/>
    </row>
    <row r="67" spans="2:5" ht="17.25" customHeight="1" thickBot="1">
      <c r="B67" s="1800" t="s">
        <v>1423</v>
      </c>
      <c r="C67" s="1798">
        <v>40000000</v>
      </c>
      <c r="D67" s="215"/>
    </row>
    <row r="68" spans="2:5" ht="16" customHeight="1">
      <c r="C68" s="362"/>
      <c r="D68" s="215"/>
    </row>
    <row r="69" spans="2:5" ht="16" customHeight="1">
      <c r="B69" s="1801"/>
      <c r="C69" s="1802"/>
      <c r="D69" s="215"/>
    </row>
    <row r="70" spans="2:5" ht="16" customHeight="1">
      <c r="B70" s="352" t="s">
        <v>1424</v>
      </c>
      <c r="C70" s="362"/>
      <c r="D70" s="215"/>
    </row>
    <row r="71" spans="2:5" ht="16" customHeight="1">
      <c r="B71" s="909" t="s">
        <v>1414</v>
      </c>
      <c r="C71" s="910">
        <v>41000</v>
      </c>
      <c r="D71" s="215"/>
      <c r="E71" s="1541"/>
    </row>
    <row r="72" spans="2:5" ht="16" customHeight="1">
      <c r="B72" s="909" t="s">
        <v>1415</v>
      </c>
      <c r="C72" s="910">
        <v>7092000</v>
      </c>
      <c r="D72" s="215"/>
    </row>
    <row r="73" spans="2:5">
      <c r="B73" s="909" t="s">
        <v>1416</v>
      </c>
      <c r="C73" s="910">
        <v>18800000</v>
      </c>
    </row>
    <row r="74" spans="2:5">
      <c r="B74" s="909" t="s">
        <v>1417</v>
      </c>
      <c r="C74" s="910">
        <v>35000000</v>
      </c>
    </row>
    <row r="75" spans="2:5">
      <c r="B75" s="1795" t="s">
        <v>1421</v>
      </c>
      <c r="C75" s="1793">
        <f>SUM(C71:C74)</f>
        <v>60933000</v>
      </c>
    </row>
    <row r="76" spans="2:5">
      <c r="B76" s="909" t="s">
        <v>30</v>
      </c>
      <c r="C76" s="910">
        <v>10000000</v>
      </c>
    </row>
    <row r="77" spans="2:5">
      <c r="B77" s="909" t="s">
        <v>1418</v>
      </c>
      <c r="C77" s="910">
        <v>20474937</v>
      </c>
    </row>
    <row r="78" spans="2:5">
      <c r="B78" s="909" t="s">
        <v>1419</v>
      </c>
      <c r="C78" s="910">
        <v>5000000</v>
      </c>
    </row>
    <row r="79" spans="2:5">
      <c r="B79" s="1796" t="s">
        <v>1422</v>
      </c>
      <c r="C79" s="1794">
        <f>SUM(C76:C78)</f>
        <v>35474937</v>
      </c>
    </row>
    <row r="81" spans="2:3">
      <c r="B81" s="1797" t="s">
        <v>212</v>
      </c>
      <c r="C81" s="1794">
        <f>SUM(C79,C75)</f>
        <v>96407937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2129-5F8B-4362-8186-2A7F6AB431A5}">
  <sheetPr codeName="Hoja35">
    <tabColor rgb="FFFFFF00"/>
  </sheetPr>
  <dimension ref="A1:W236"/>
  <sheetViews>
    <sheetView topLeftCell="A57" zoomScaleNormal="100" workbookViewId="0">
      <selection activeCell="D93" sqref="D93"/>
    </sheetView>
  </sheetViews>
  <sheetFormatPr baseColWidth="10" defaultColWidth="11.5" defaultRowHeight="11"/>
  <cols>
    <col min="1" max="1" width="10.5" style="104" customWidth="1"/>
    <col min="2" max="2" width="4.5" style="104" customWidth="1"/>
    <col min="3" max="3" width="26.5" style="104" customWidth="1"/>
    <col min="4" max="4" width="53.83203125" style="104" customWidth="1"/>
    <col min="5" max="5" width="16.5" style="104" customWidth="1"/>
    <col min="6" max="6" width="13.5" style="104" customWidth="1"/>
    <col min="7" max="7" width="13.83203125" style="104" customWidth="1"/>
    <col min="8" max="8" width="14.5" style="104" customWidth="1"/>
    <col min="9" max="9" width="15.5" style="104" customWidth="1"/>
    <col min="10" max="10" width="13" style="104" customWidth="1"/>
    <col min="11" max="11" width="13.5" style="104" customWidth="1"/>
    <col min="12" max="12" width="12.5" style="104" customWidth="1"/>
    <col min="13" max="13" width="11.83203125" style="104" bestFit="1" customWidth="1"/>
    <col min="14" max="14" width="10.5" style="104" customWidth="1"/>
    <col min="15" max="15" width="10.1640625" style="104" customWidth="1"/>
    <col min="16" max="16" width="9.5" style="104" customWidth="1"/>
    <col min="17" max="18" width="10.1640625" style="104" customWidth="1"/>
    <col min="19" max="21" width="10.5" style="104" customWidth="1"/>
    <col min="22" max="22" width="11.5" style="104" customWidth="1"/>
    <col min="23" max="23" width="10.5" style="104" customWidth="1"/>
    <col min="24" max="16384" width="11.5" style="104"/>
  </cols>
  <sheetData>
    <row r="1" spans="1:23" ht="17">
      <c r="A1" s="78" t="s">
        <v>146</v>
      </c>
      <c r="B1" s="31"/>
      <c r="C1" s="31"/>
      <c r="D1" s="31"/>
    </row>
    <row r="2" spans="1:23" ht="17">
      <c r="A2" s="78" t="s">
        <v>147</v>
      </c>
      <c r="B2" s="31"/>
      <c r="C2" s="31"/>
      <c r="D2" s="31"/>
      <c r="H2" s="140"/>
      <c r="I2" s="108"/>
      <c r="K2" s="104" t="s">
        <v>148</v>
      </c>
    </row>
    <row r="3" spans="1:23" ht="18" thickBot="1">
      <c r="A3"/>
      <c r="B3"/>
      <c r="C3"/>
      <c r="D3" s="78" t="s">
        <v>149</v>
      </c>
      <c r="I3" s="162"/>
      <c r="K3" s="105">
        <v>960</v>
      </c>
    </row>
    <row r="4" spans="1:23" ht="17" thickBot="1">
      <c r="E4" s="106"/>
      <c r="F4" s="107"/>
      <c r="H4" s="105"/>
      <c r="I4" s="108"/>
      <c r="J4" s="105"/>
      <c r="L4" s="2524" t="s">
        <v>150</v>
      </c>
      <c r="M4" s="2525"/>
      <c r="N4" s="2525"/>
      <c r="O4" s="2525"/>
      <c r="P4" s="2525"/>
      <c r="Q4" s="2525"/>
      <c r="R4" s="2525"/>
      <c r="S4" s="2525"/>
      <c r="T4" s="2526"/>
      <c r="W4" s="109"/>
    </row>
    <row r="5" spans="1:23" ht="12" thickBot="1">
      <c r="A5" s="110" t="s">
        <v>151</v>
      </c>
      <c r="B5" s="111" t="s">
        <v>152</v>
      </c>
      <c r="C5" s="111" t="s">
        <v>22</v>
      </c>
      <c r="D5" s="111" t="s">
        <v>153</v>
      </c>
      <c r="E5" s="111" t="s">
        <v>154</v>
      </c>
      <c r="F5" s="112" t="s">
        <v>155</v>
      </c>
      <c r="G5" s="113" t="s">
        <v>156</v>
      </c>
      <c r="H5" s="114" t="s">
        <v>157</v>
      </c>
      <c r="I5" s="112" t="s">
        <v>158</v>
      </c>
      <c r="J5" s="115" t="s">
        <v>159</v>
      </c>
      <c r="L5" s="116" t="s">
        <v>160</v>
      </c>
      <c r="M5" s="116" t="s">
        <v>161</v>
      </c>
      <c r="N5" s="116" t="s">
        <v>162</v>
      </c>
      <c r="O5" s="116" t="s">
        <v>163</v>
      </c>
      <c r="P5" s="116" t="s">
        <v>164</v>
      </c>
      <c r="Q5" s="116" t="s">
        <v>165</v>
      </c>
      <c r="R5" s="116" t="s">
        <v>166</v>
      </c>
      <c r="S5" s="116" t="s">
        <v>167</v>
      </c>
      <c r="T5" s="116" t="s">
        <v>168</v>
      </c>
      <c r="U5" s="116" t="s">
        <v>169</v>
      </c>
      <c r="V5" s="116" t="s">
        <v>170</v>
      </c>
      <c r="W5" s="116" t="s">
        <v>171</v>
      </c>
    </row>
    <row r="6" spans="1:23">
      <c r="A6" s="117">
        <v>45289</v>
      </c>
      <c r="B6" s="118">
        <v>131</v>
      </c>
      <c r="C6" s="119" t="s">
        <v>172</v>
      </c>
      <c r="D6" s="120" t="s">
        <v>173</v>
      </c>
      <c r="E6" s="121">
        <v>3233424</v>
      </c>
      <c r="F6" s="122">
        <v>614351</v>
      </c>
      <c r="G6" s="123"/>
      <c r="H6" s="122"/>
      <c r="I6" s="124">
        <f>SUM(E6:G6)</f>
        <v>3847775</v>
      </c>
      <c r="J6" s="125">
        <v>45317</v>
      </c>
      <c r="L6" s="126">
        <f>SUM(E6/$K$3)</f>
        <v>3368.15</v>
      </c>
      <c r="M6" s="125"/>
      <c r="N6" s="125"/>
      <c r="O6" s="125"/>
      <c r="P6" s="125"/>
      <c r="Q6" s="127"/>
      <c r="R6" s="127"/>
      <c r="S6" s="127"/>
      <c r="T6" s="127"/>
      <c r="U6" s="128"/>
      <c r="V6" s="128"/>
      <c r="W6" s="128"/>
    </row>
    <row r="7" spans="1:23">
      <c r="A7" s="117">
        <v>45289</v>
      </c>
      <c r="B7" s="118">
        <v>132</v>
      </c>
      <c r="C7" s="122" t="s">
        <v>174</v>
      </c>
      <c r="D7" s="122" t="s">
        <v>175</v>
      </c>
      <c r="E7" s="121">
        <v>164606276</v>
      </c>
      <c r="F7" s="122">
        <v>31275192</v>
      </c>
      <c r="G7" s="123"/>
      <c r="H7" s="122"/>
      <c r="I7" s="124">
        <f>SUM(E7:G7)</f>
        <v>195881468</v>
      </c>
      <c r="J7" s="125">
        <v>45296</v>
      </c>
      <c r="L7" s="126">
        <f>SUM(E7/$K$3)</f>
        <v>171464.87083333332</v>
      </c>
      <c r="M7" s="125"/>
      <c r="N7" s="125"/>
      <c r="O7" s="125"/>
      <c r="P7" s="125"/>
      <c r="Q7" s="127"/>
      <c r="R7" s="127"/>
      <c r="S7" s="127"/>
      <c r="T7" s="127"/>
      <c r="U7" s="128"/>
      <c r="V7" s="128"/>
      <c r="W7" s="128"/>
    </row>
    <row r="8" spans="1:23">
      <c r="A8" s="117">
        <v>45289</v>
      </c>
      <c r="B8" s="118">
        <v>133</v>
      </c>
      <c r="C8" s="122" t="s">
        <v>174</v>
      </c>
      <c r="D8" s="122" t="s">
        <v>176</v>
      </c>
      <c r="E8" s="121">
        <v>40163040</v>
      </c>
      <c r="F8" s="122">
        <v>7630978</v>
      </c>
      <c r="G8" s="123"/>
      <c r="H8" s="122"/>
      <c r="I8" s="124">
        <f>SUM(E8:G8)</f>
        <v>47794018</v>
      </c>
      <c r="J8" s="125">
        <v>45303</v>
      </c>
      <c r="L8" s="126">
        <f>SUM(E8/$K$3)</f>
        <v>41836.5</v>
      </c>
      <c r="M8" s="125"/>
      <c r="N8" s="125"/>
      <c r="O8" s="125"/>
      <c r="P8" s="125"/>
      <c r="Q8" s="127"/>
      <c r="R8" s="127"/>
      <c r="S8" s="127"/>
      <c r="T8" s="127"/>
      <c r="U8" s="128"/>
      <c r="V8" s="128"/>
      <c r="W8" s="128"/>
    </row>
    <row r="9" spans="1:23">
      <c r="A9" s="117">
        <v>45289</v>
      </c>
      <c r="B9" s="118">
        <v>512</v>
      </c>
      <c r="C9" s="122" t="s">
        <v>177</v>
      </c>
      <c r="D9" s="122" t="s">
        <v>178</v>
      </c>
      <c r="E9" s="121">
        <v>3191480</v>
      </c>
      <c r="F9" s="122"/>
      <c r="G9" s="123"/>
      <c r="H9" s="124"/>
      <c r="I9" s="124">
        <v>3191480</v>
      </c>
      <c r="J9" s="125">
        <v>45420</v>
      </c>
      <c r="K9" s="140">
        <v>3923678053.7999997</v>
      </c>
      <c r="L9" s="130"/>
      <c r="M9" s="125"/>
      <c r="N9" s="125"/>
      <c r="O9" s="125"/>
      <c r="P9" s="126">
        <f>SUM(E9/$K$3)</f>
        <v>3324.4583333333335</v>
      </c>
      <c r="Q9" s="127"/>
      <c r="R9" s="127"/>
      <c r="S9" s="127"/>
      <c r="T9" s="127"/>
      <c r="U9" s="128"/>
      <c r="V9" s="128"/>
      <c r="W9" s="128"/>
    </row>
    <row r="10" spans="1:23">
      <c r="A10" s="312"/>
      <c r="B10" s="313"/>
      <c r="C10" s="314"/>
      <c r="D10" s="314"/>
      <c r="E10" s="315">
        <f>SUM(E6:E9)</f>
        <v>211194220</v>
      </c>
      <c r="F10" s="315">
        <f>SUM(F6:F9)</f>
        <v>39520521</v>
      </c>
      <c r="G10" s="315">
        <f>SUM(G6:G9)</f>
        <v>0</v>
      </c>
      <c r="H10" s="315">
        <f>SUM(H6:H9)</f>
        <v>0</v>
      </c>
      <c r="I10" s="315">
        <f>SUM(I6:I9)</f>
        <v>250714741</v>
      </c>
      <c r="J10" s="125"/>
      <c r="K10" s="318">
        <f>SUM(I10/K9)</f>
        <v>6.3897888043385226E-2</v>
      </c>
      <c r="L10" s="130"/>
      <c r="M10" s="125"/>
      <c r="N10" s="125"/>
      <c r="O10" s="125"/>
      <c r="P10" s="311"/>
      <c r="Q10" s="127"/>
      <c r="R10" s="127"/>
      <c r="S10" s="127"/>
      <c r="T10" s="127"/>
      <c r="U10" s="128"/>
      <c r="V10" s="128"/>
      <c r="W10" s="128"/>
    </row>
    <row r="11" spans="1:23">
      <c r="A11" s="131">
        <v>45296</v>
      </c>
      <c r="B11" s="204">
        <v>136</v>
      </c>
      <c r="C11" s="205" t="s">
        <v>177</v>
      </c>
      <c r="D11" s="206" t="s">
        <v>179</v>
      </c>
      <c r="E11" s="207">
        <f>55747068-G11</f>
        <v>52959714.600000001</v>
      </c>
      <c r="F11" s="133">
        <v>10591943</v>
      </c>
      <c r="G11" s="134">
        <v>2787353.4000000004</v>
      </c>
      <c r="H11" s="135"/>
      <c r="I11" s="208">
        <f t="shared" ref="I11:I23" si="0">SUM(E11:F11)</f>
        <v>63551657.600000001</v>
      </c>
      <c r="J11" s="136">
        <v>45310</v>
      </c>
      <c r="L11" s="126">
        <f>SUM(E11/$K$3)</f>
        <v>55166.369375000002</v>
      </c>
      <c r="M11" s="125"/>
      <c r="N11" s="125"/>
      <c r="O11" s="125"/>
      <c r="P11" s="125"/>
      <c r="Q11" s="127"/>
      <c r="R11" s="127"/>
      <c r="S11" s="127"/>
      <c r="T11" s="127"/>
      <c r="U11" s="128"/>
      <c r="V11" s="128"/>
      <c r="W11" s="128"/>
    </row>
    <row r="12" spans="1:23">
      <c r="A12" s="131">
        <v>45296</v>
      </c>
      <c r="B12" s="204">
        <v>137</v>
      </c>
      <c r="C12" s="205" t="s">
        <v>177</v>
      </c>
      <c r="D12" s="205" t="s">
        <v>180</v>
      </c>
      <c r="E12" s="207">
        <f>45250296-G12</f>
        <v>42987781.200000003</v>
      </c>
      <c r="F12" s="133">
        <v>8597556</v>
      </c>
      <c r="G12" s="134">
        <v>2262514.8000000003</v>
      </c>
      <c r="H12" s="135"/>
      <c r="I12" s="208">
        <f t="shared" si="0"/>
        <v>51585337.200000003</v>
      </c>
      <c r="J12" s="136">
        <v>45310</v>
      </c>
      <c r="L12" s="126">
        <f>SUM(E12/$K$3)</f>
        <v>44778.938750000001</v>
      </c>
      <c r="M12" s="125"/>
      <c r="N12" s="125"/>
      <c r="O12" s="125"/>
      <c r="P12" s="125"/>
      <c r="Q12" s="127"/>
      <c r="R12" s="127"/>
      <c r="S12" s="127"/>
      <c r="T12" s="127"/>
      <c r="U12" s="128"/>
      <c r="V12" s="128"/>
      <c r="W12" s="128"/>
    </row>
    <row r="13" spans="1:23">
      <c r="A13" s="131">
        <v>45301</v>
      </c>
      <c r="B13" s="132">
        <v>146</v>
      </c>
      <c r="C13" s="122" t="s">
        <v>181</v>
      </c>
      <c r="D13" s="122" t="s">
        <v>182</v>
      </c>
      <c r="E13" s="121">
        <v>36671847</v>
      </c>
      <c r="F13" s="133">
        <v>6967651</v>
      </c>
      <c r="G13" s="134"/>
      <c r="H13" s="135"/>
      <c r="I13" s="124">
        <f t="shared" si="0"/>
        <v>43639498</v>
      </c>
      <c r="J13" s="125">
        <v>45331</v>
      </c>
      <c r="K13" s="129"/>
      <c r="L13" s="130"/>
      <c r="M13" s="126">
        <f>SUM(E13/$K$3)</f>
        <v>38199.840624999997</v>
      </c>
      <c r="N13" s="125"/>
      <c r="O13" s="125"/>
      <c r="P13" s="125"/>
      <c r="Q13" s="127"/>
      <c r="R13" s="127"/>
      <c r="S13" s="127"/>
      <c r="T13" s="127"/>
      <c r="U13" s="128"/>
      <c r="V13" s="128"/>
      <c r="W13" s="128"/>
    </row>
    <row r="14" spans="1:23">
      <c r="A14" s="131">
        <v>45301</v>
      </c>
      <c r="B14" s="132">
        <v>147</v>
      </c>
      <c r="C14" s="122" t="s">
        <v>183</v>
      </c>
      <c r="D14" s="122" t="s">
        <v>184</v>
      </c>
      <c r="E14" s="121">
        <v>33010006</v>
      </c>
      <c r="F14" s="133">
        <v>6271901</v>
      </c>
      <c r="G14" s="134"/>
      <c r="H14" s="135"/>
      <c r="I14" s="124">
        <f t="shared" si="0"/>
        <v>39281907</v>
      </c>
      <c r="J14" s="125">
        <v>45331</v>
      </c>
      <c r="K14" s="129"/>
      <c r="L14" s="130"/>
      <c r="M14" s="126">
        <f>SUM(E14/$K$3)</f>
        <v>34385.42291666667</v>
      </c>
      <c r="N14" s="125"/>
      <c r="O14" s="125"/>
      <c r="P14" s="125"/>
      <c r="Q14" s="127"/>
      <c r="R14" s="127"/>
      <c r="S14" s="127"/>
      <c r="T14" s="127"/>
      <c r="U14" s="128"/>
      <c r="V14" s="128"/>
      <c r="W14" s="128"/>
    </row>
    <row r="15" spans="1:23">
      <c r="A15" s="131">
        <v>45301</v>
      </c>
      <c r="B15" s="132">
        <v>150</v>
      </c>
      <c r="C15" s="122" t="s">
        <v>185</v>
      </c>
      <c r="D15" s="122" t="s">
        <v>186</v>
      </c>
      <c r="E15" s="121">
        <v>8172884</v>
      </c>
      <c r="F15" s="133">
        <v>1552848</v>
      </c>
      <c r="G15" s="134"/>
      <c r="H15" s="124"/>
      <c r="I15" s="124">
        <f t="shared" si="0"/>
        <v>9725732</v>
      </c>
      <c r="J15" s="136">
        <v>45331</v>
      </c>
      <c r="K15" s="129"/>
      <c r="L15" s="130"/>
      <c r="M15" s="126">
        <f>SUM(E15/$K$3)</f>
        <v>8513.4208333333336</v>
      </c>
      <c r="N15" s="125"/>
      <c r="O15" s="125"/>
      <c r="P15" s="125"/>
      <c r="Q15" s="127"/>
      <c r="R15" s="127"/>
      <c r="S15" s="127"/>
      <c r="T15" s="127"/>
      <c r="U15" s="128"/>
      <c r="V15" s="128"/>
      <c r="W15" s="128"/>
    </row>
    <row r="16" spans="1:23">
      <c r="A16" s="131">
        <v>45301</v>
      </c>
      <c r="B16" s="132">
        <v>151</v>
      </c>
      <c r="C16" s="122" t="s">
        <v>185</v>
      </c>
      <c r="D16" s="122" t="s">
        <v>187</v>
      </c>
      <c r="E16" s="121">
        <v>53206337</v>
      </c>
      <c r="F16" s="133">
        <v>10109204</v>
      </c>
      <c r="G16" s="134"/>
      <c r="H16" s="124"/>
      <c r="I16" s="124">
        <f t="shared" si="0"/>
        <v>63315541</v>
      </c>
      <c r="J16" s="136">
        <v>45331</v>
      </c>
      <c r="K16" s="129"/>
      <c r="L16" s="130"/>
      <c r="M16" s="126">
        <f>SUM(E16/$K$3)</f>
        <v>55423.267708333333</v>
      </c>
      <c r="N16" s="125"/>
      <c r="O16" s="125"/>
      <c r="P16" s="125"/>
      <c r="Q16" s="127"/>
      <c r="R16" s="127"/>
      <c r="S16" s="127"/>
      <c r="T16" s="127"/>
      <c r="U16" s="128"/>
      <c r="V16" s="128"/>
      <c r="W16" s="128"/>
    </row>
    <row r="17" spans="1:23">
      <c r="A17" s="131">
        <v>45301</v>
      </c>
      <c r="B17" s="204">
        <v>155</v>
      </c>
      <c r="C17" s="205" t="s">
        <v>177</v>
      </c>
      <c r="D17" s="205" t="s">
        <v>188</v>
      </c>
      <c r="E17" s="207">
        <f>80022360-4001118</f>
        <v>76021242</v>
      </c>
      <c r="F17" s="133">
        <v>15204248</v>
      </c>
      <c r="G17" s="134">
        <v>4001118</v>
      </c>
      <c r="H17" s="135"/>
      <c r="I17" s="208">
        <f t="shared" si="0"/>
        <v>91225490</v>
      </c>
      <c r="J17" s="136">
        <v>45310</v>
      </c>
      <c r="K17" s="209"/>
      <c r="L17" s="126">
        <f>SUM(E17/$K$3)</f>
        <v>79188.793749999997</v>
      </c>
      <c r="M17" s="137"/>
      <c r="N17" s="138"/>
      <c r="O17" s="137"/>
      <c r="P17" s="137"/>
      <c r="Q17" s="137"/>
      <c r="R17" s="137"/>
      <c r="S17" s="137"/>
      <c r="T17" s="137"/>
      <c r="U17" s="137"/>
      <c r="V17" s="137"/>
      <c r="W17" s="137"/>
    </row>
    <row r="18" spans="1:23">
      <c r="A18" s="131">
        <v>45308</v>
      </c>
      <c r="B18" s="132">
        <v>157</v>
      </c>
      <c r="C18" s="119" t="s">
        <v>189</v>
      </c>
      <c r="D18" s="119" t="s">
        <v>190</v>
      </c>
      <c r="E18" s="121">
        <v>17579073</v>
      </c>
      <c r="F18" s="133">
        <v>3340024</v>
      </c>
      <c r="G18" s="134"/>
      <c r="H18" s="124"/>
      <c r="I18" s="124">
        <f t="shared" si="0"/>
        <v>20919097</v>
      </c>
      <c r="J18" s="136">
        <v>45342</v>
      </c>
      <c r="K18" s="129"/>
      <c r="L18" s="130"/>
      <c r="M18" s="126">
        <f>SUM(E18/$K$3)</f>
        <v>18311.534374999999</v>
      </c>
      <c r="N18" s="125"/>
      <c r="O18" s="125"/>
      <c r="P18" s="125"/>
      <c r="Q18" s="127"/>
      <c r="R18" s="127"/>
      <c r="S18" s="127"/>
      <c r="T18" s="127"/>
      <c r="U18" s="128"/>
      <c r="V18" s="128"/>
      <c r="W18" s="128"/>
    </row>
    <row r="19" spans="1:23">
      <c r="A19" s="131">
        <v>45313</v>
      </c>
      <c r="B19" s="132">
        <v>158</v>
      </c>
      <c r="C19" s="122" t="s">
        <v>185</v>
      </c>
      <c r="D19" s="119" t="s">
        <v>191</v>
      </c>
      <c r="E19" s="121">
        <v>12881907</v>
      </c>
      <c r="F19" s="133">
        <v>2447562</v>
      </c>
      <c r="G19" s="134"/>
      <c r="H19" s="135"/>
      <c r="I19" s="135">
        <f t="shared" si="0"/>
        <v>15329469</v>
      </c>
      <c r="J19" s="136">
        <v>45342</v>
      </c>
      <c r="K19" s="129"/>
      <c r="L19" s="130"/>
      <c r="M19" s="126">
        <f>SUM(E19/$K$3)</f>
        <v>13418.653125000001</v>
      </c>
      <c r="N19" s="125"/>
      <c r="O19" s="125"/>
      <c r="P19" s="125"/>
      <c r="Q19" s="127"/>
      <c r="R19" s="127"/>
      <c r="S19" s="127"/>
      <c r="T19" s="127"/>
      <c r="U19" s="128"/>
      <c r="V19" s="128"/>
      <c r="W19" s="128"/>
    </row>
    <row r="20" spans="1:23">
      <c r="A20" s="117">
        <v>45329</v>
      </c>
      <c r="B20" s="118">
        <v>160</v>
      </c>
      <c r="C20" s="122" t="s">
        <v>177</v>
      </c>
      <c r="D20" s="122" t="s">
        <v>192</v>
      </c>
      <c r="E20" s="121">
        <v>28769845</v>
      </c>
      <c r="F20" s="122">
        <v>5753969</v>
      </c>
      <c r="G20" s="134">
        <v>1514202</v>
      </c>
      <c r="H20" s="124"/>
      <c r="I20" s="124">
        <f t="shared" si="0"/>
        <v>34523814</v>
      </c>
      <c r="J20" s="125">
        <v>45350</v>
      </c>
      <c r="K20" s="129"/>
      <c r="L20" s="130"/>
      <c r="M20" s="126">
        <f>SUM(E20/$K$3)</f>
        <v>29968.588541666668</v>
      </c>
      <c r="N20" s="125"/>
      <c r="O20" s="125"/>
      <c r="P20" s="125"/>
      <c r="Q20" s="127"/>
      <c r="R20" s="127"/>
      <c r="S20" s="127"/>
      <c r="T20" s="127"/>
      <c r="U20" s="128"/>
      <c r="V20" s="128"/>
      <c r="W20" s="128"/>
    </row>
    <row r="21" spans="1:23">
      <c r="A21" s="117">
        <v>45331</v>
      </c>
      <c r="B21" s="118">
        <v>161</v>
      </c>
      <c r="C21" s="122" t="s">
        <v>177</v>
      </c>
      <c r="D21" s="122" t="s">
        <v>193</v>
      </c>
      <c r="E21" s="139">
        <v>8122518</v>
      </c>
      <c r="F21" s="122">
        <v>1624504</v>
      </c>
      <c r="G21" s="134">
        <v>427501</v>
      </c>
      <c r="H21" s="124"/>
      <c r="I21" s="124">
        <f t="shared" si="0"/>
        <v>9747022</v>
      </c>
      <c r="J21" s="125">
        <v>45352</v>
      </c>
      <c r="K21" s="129"/>
      <c r="L21" s="126"/>
      <c r="M21" s="125"/>
      <c r="N21" s="126">
        <f t="shared" ref="N21:N29" si="1">SUM(E21/$K$3)</f>
        <v>8460.9562499999993</v>
      </c>
      <c r="O21" s="125"/>
      <c r="P21" s="125"/>
      <c r="Q21" s="127"/>
      <c r="R21" s="127"/>
      <c r="S21" s="127"/>
      <c r="T21" s="127"/>
      <c r="U21" s="128"/>
      <c r="V21" s="128"/>
      <c r="W21" s="128"/>
    </row>
    <row r="22" spans="1:23">
      <c r="A22" s="117">
        <v>45337</v>
      </c>
      <c r="B22" s="118">
        <v>162</v>
      </c>
      <c r="C22" s="122" t="s">
        <v>185</v>
      </c>
      <c r="D22" s="122" t="s">
        <v>194</v>
      </c>
      <c r="E22" s="139">
        <v>3649384</v>
      </c>
      <c r="F22" s="122">
        <v>693383</v>
      </c>
      <c r="G22" s="134"/>
      <c r="H22" s="124"/>
      <c r="I22" s="124">
        <f t="shared" si="0"/>
        <v>4342767</v>
      </c>
      <c r="J22" s="125">
        <v>45366</v>
      </c>
      <c r="K22" s="129"/>
      <c r="L22" s="126"/>
      <c r="M22" s="125"/>
      <c r="N22" s="126">
        <f t="shared" si="1"/>
        <v>3801.4416666666666</v>
      </c>
      <c r="O22" s="125"/>
      <c r="P22" s="125"/>
      <c r="Q22" s="127"/>
      <c r="R22" s="127"/>
      <c r="S22" s="127"/>
      <c r="T22" s="127"/>
      <c r="U22" s="128"/>
      <c r="V22" s="128"/>
      <c r="W22" s="128"/>
    </row>
    <row r="23" spans="1:23">
      <c r="A23" s="117">
        <v>45342</v>
      </c>
      <c r="B23" s="118">
        <v>163</v>
      </c>
      <c r="C23" s="122" t="s">
        <v>177</v>
      </c>
      <c r="D23" s="122" t="s">
        <v>195</v>
      </c>
      <c r="E23" s="139">
        <v>59228447</v>
      </c>
      <c r="F23" s="122">
        <v>11253405</v>
      </c>
      <c r="G23" s="134"/>
      <c r="H23" s="124"/>
      <c r="I23" s="124">
        <f t="shared" si="0"/>
        <v>70481852</v>
      </c>
      <c r="J23" s="125">
        <v>45364</v>
      </c>
      <c r="K23" s="129"/>
      <c r="L23" s="126"/>
      <c r="M23" s="125"/>
      <c r="N23" s="126">
        <f t="shared" si="1"/>
        <v>61696.298958333333</v>
      </c>
      <c r="O23" s="125"/>
      <c r="P23" s="125"/>
      <c r="Q23" s="127"/>
      <c r="R23" s="127"/>
      <c r="S23" s="127"/>
      <c r="T23" s="127"/>
      <c r="U23" s="128"/>
      <c r="V23" s="128"/>
      <c r="W23" s="128"/>
    </row>
    <row r="24" spans="1:23">
      <c r="A24" s="131">
        <v>45348</v>
      </c>
      <c r="B24" s="132">
        <v>164</v>
      </c>
      <c r="C24" s="122" t="s">
        <v>185</v>
      </c>
      <c r="D24" s="122" t="s">
        <v>196</v>
      </c>
      <c r="E24" s="121">
        <v>57166665</v>
      </c>
      <c r="F24" s="133">
        <v>10861666</v>
      </c>
      <c r="G24" s="134"/>
      <c r="H24" s="124"/>
      <c r="I24" s="124">
        <f>SUM(E24:G24)</f>
        <v>68028331</v>
      </c>
      <c r="J24" s="136">
        <v>45352</v>
      </c>
      <c r="K24" s="129"/>
      <c r="L24" s="130"/>
      <c r="M24" s="125"/>
      <c r="N24" s="126">
        <f t="shared" si="1"/>
        <v>59548.609375</v>
      </c>
      <c r="O24" s="125"/>
      <c r="P24" s="125"/>
      <c r="Q24" s="127"/>
      <c r="R24" s="127"/>
      <c r="S24" s="127"/>
      <c r="T24" s="127"/>
      <c r="U24" s="128"/>
      <c r="V24" s="128"/>
      <c r="W24" s="128"/>
    </row>
    <row r="25" spans="1:23">
      <c r="A25" s="131">
        <v>45348</v>
      </c>
      <c r="B25" s="132">
        <v>165</v>
      </c>
      <c r="C25" s="122" t="s">
        <v>185</v>
      </c>
      <c r="D25" s="122" t="s">
        <v>197</v>
      </c>
      <c r="E25" s="121">
        <v>16333332</v>
      </c>
      <c r="F25" s="133">
        <v>3103333</v>
      </c>
      <c r="G25" s="134"/>
      <c r="H25" s="124"/>
      <c r="I25" s="124">
        <f>SUM(E25:G25)</f>
        <v>19436665</v>
      </c>
      <c r="J25" s="136">
        <v>45352</v>
      </c>
      <c r="K25" s="129"/>
      <c r="L25" s="130"/>
      <c r="M25" s="125"/>
      <c r="N25" s="126">
        <f t="shared" si="1"/>
        <v>17013.887500000001</v>
      </c>
      <c r="O25" s="125"/>
      <c r="P25" s="125"/>
      <c r="Q25" s="127"/>
      <c r="R25" s="127"/>
      <c r="S25" s="127"/>
      <c r="T25" s="127"/>
      <c r="U25" s="128"/>
      <c r="V25" s="128"/>
      <c r="W25" s="128"/>
    </row>
    <row r="26" spans="1:23">
      <c r="A26" s="131">
        <v>45348</v>
      </c>
      <c r="B26" s="132">
        <v>166</v>
      </c>
      <c r="C26" s="122" t="s">
        <v>185</v>
      </c>
      <c r="D26" s="122" t="s">
        <v>198</v>
      </c>
      <c r="E26" s="121">
        <v>14639893</v>
      </c>
      <c r="F26" s="133">
        <v>2781580</v>
      </c>
      <c r="G26" s="134"/>
      <c r="H26" s="124"/>
      <c r="I26" s="124">
        <f>SUM(E26:G26)</f>
        <v>17421473</v>
      </c>
      <c r="J26" s="136">
        <v>45352</v>
      </c>
      <c r="K26" s="129"/>
      <c r="L26" s="130"/>
      <c r="M26" s="125"/>
      <c r="N26" s="126">
        <f t="shared" si="1"/>
        <v>15249.888541666667</v>
      </c>
      <c r="O26" s="125"/>
      <c r="P26" s="125"/>
      <c r="Q26" s="127"/>
      <c r="R26" s="127"/>
      <c r="S26" s="127"/>
      <c r="T26" s="127"/>
      <c r="U26" s="128"/>
      <c r="V26" s="128"/>
      <c r="W26" s="128"/>
    </row>
    <row r="27" spans="1:23">
      <c r="A27" s="131">
        <v>45348</v>
      </c>
      <c r="B27" s="132">
        <v>167</v>
      </c>
      <c r="C27" s="122" t="s">
        <v>185</v>
      </c>
      <c r="D27" s="122" t="s">
        <v>199</v>
      </c>
      <c r="E27" s="121">
        <v>9246769</v>
      </c>
      <c r="F27" s="133">
        <v>1756769</v>
      </c>
      <c r="G27" s="134"/>
      <c r="H27" s="124"/>
      <c r="I27" s="124">
        <f>SUM(E27:G27)</f>
        <v>11003538</v>
      </c>
      <c r="J27" s="136">
        <v>45352</v>
      </c>
      <c r="K27" s="129"/>
      <c r="L27" s="130"/>
      <c r="M27" s="125"/>
      <c r="N27" s="126">
        <f t="shared" si="1"/>
        <v>9632.0510416666675</v>
      </c>
      <c r="O27" s="125"/>
      <c r="P27" s="125"/>
      <c r="Q27" s="127"/>
      <c r="R27" s="127"/>
      <c r="S27" s="127"/>
      <c r="T27" s="127"/>
      <c r="U27" s="128"/>
      <c r="V27" s="128"/>
      <c r="W27" s="128"/>
    </row>
    <row r="28" spans="1:23">
      <c r="A28" s="131">
        <v>45348</v>
      </c>
      <c r="B28" s="132">
        <v>168</v>
      </c>
      <c r="C28" s="122" t="s">
        <v>185</v>
      </c>
      <c r="D28" s="119" t="s">
        <v>200</v>
      </c>
      <c r="E28" s="121">
        <v>26219220</v>
      </c>
      <c r="F28" s="133">
        <v>4981652</v>
      </c>
      <c r="G28" s="134"/>
      <c r="H28" s="124"/>
      <c r="I28" s="124">
        <f>SUM(E28:G28)</f>
        <v>31200872</v>
      </c>
      <c r="J28" s="136">
        <v>45352</v>
      </c>
      <c r="K28" s="129"/>
      <c r="L28" s="137"/>
      <c r="M28" s="137"/>
      <c r="N28" s="126">
        <f t="shared" si="1"/>
        <v>27311.6875</v>
      </c>
      <c r="O28" s="137"/>
      <c r="P28" s="137"/>
      <c r="Q28" s="137"/>
      <c r="R28" s="137"/>
      <c r="S28" s="137"/>
      <c r="T28" s="137"/>
      <c r="U28" s="137"/>
      <c r="V28" s="137"/>
      <c r="W28" s="137"/>
    </row>
    <row r="29" spans="1:23">
      <c r="A29" s="117">
        <v>45355</v>
      </c>
      <c r="B29" s="118">
        <v>169</v>
      </c>
      <c r="C29" s="122" t="s">
        <v>201</v>
      </c>
      <c r="D29" s="122" t="s">
        <v>202</v>
      </c>
      <c r="E29" s="139">
        <v>59754096</v>
      </c>
      <c r="F29" s="122">
        <v>11353278</v>
      </c>
      <c r="G29" s="134"/>
      <c r="H29" s="124"/>
      <c r="I29" s="124">
        <f t="shared" ref="I29:I39" si="2">SUM(E29:F29)</f>
        <v>71107374</v>
      </c>
      <c r="J29" s="125">
        <v>45364</v>
      </c>
      <c r="L29" s="130"/>
      <c r="M29" s="125"/>
      <c r="N29" s="126">
        <f t="shared" si="1"/>
        <v>62243.85</v>
      </c>
      <c r="O29" s="125"/>
      <c r="P29" s="125"/>
      <c r="Q29" s="127"/>
      <c r="R29" s="127"/>
      <c r="S29" s="127"/>
      <c r="T29" s="127"/>
      <c r="U29" s="128"/>
      <c r="V29" s="128"/>
      <c r="W29" s="128"/>
    </row>
    <row r="30" spans="1:23">
      <c r="A30" s="117">
        <v>45362</v>
      </c>
      <c r="B30" s="118">
        <v>170</v>
      </c>
      <c r="C30" s="122" t="s">
        <v>185</v>
      </c>
      <c r="D30" s="119" t="s">
        <v>204</v>
      </c>
      <c r="E30" s="139">
        <v>76340022</v>
      </c>
      <c r="F30" s="122">
        <v>14504604</v>
      </c>
      <c r="G30" s="134"/>
      <c r="H30" s="124"/>
      <c r="I30" s="124">
        <f t="shared" si="2"/>
        <v>90844626</v>
      </c>
      <c r="J30" s="125">
        <v>45392</v>
      </c>
      <c r="K30" s="129"/>
      <c r="L30" s="130"/>
      <c r="M30" s="125"/>
      <c r="N30" s="125"/>
      <c r="O30" s="126">
        <f>SUM(E30/$K$3)</f>
        <v>79520.856249999997</v>
      </c>
      <c r="P30" s="125"/>
      <c r="Q30" s="127"/>
      <c r="R30" s="127"/>
      <c r="S30" s="127"/>
      <c r="T30" s="127"/>
      <c r="U30" s="128"/>
      <c r="V30" s="128"/>
      <c r="W30" s="128"/>
    </row>
    <row r="31" spans="1:23">
      <c r="A31" s="117">
        <v>45364</v>
      </c>
      <c r="B31" s="118">
        <v>171</v>
      </c>
      <c r="C31" s="119" t="s">
        <v>189</v>
      </c>
      <c r="D31" s="119" t="s">
        <v>205</v>
      </c>
      <c r="E31" s="139">
        <v>18401156</v>
      </c>
      <c r="F31" s="122">
        <v>3496220</v>
      </c>
      <c r="G31" s="134"/>
      <c r="H31" s="124"/>
      <c r="I31" s="124">
        <f t="shared" si="2"/>
        <v>21897376</v>
      </c>
      <c r="J31" s="125">
        <v>45399</v>
      </c>
      <c r="K31" s="129"/>
      <c r="L31" s="130"/>
      <c r="M31" s="125"/>
      <c r="N31" s="125"/>
      <c r="O31" s="126">
        <f>SUM(E31/$K$3)</f>
        <v>19167.870833333334</v>
      </c>
      <c r="P31" s="125"/>
      <c r="Q31" s="127"/>
      <c r="R31" s="127"/>
      <c r="S31" s="127"/>
      <c r="T31" s="127"/>
      <c r="U31" s="128"/>
      <c r="V31" s="128"/>
      <c r="W31" s="128"/>
    </row>
    <row r="32" spans="1:23">
      <c r="A32" s="117">
        <v>45365</v>
      </c>
      <c r="B32" s="118">
        <v>172</v>
      </c>
      <c r="C32" s="119" t="s">
        <v>189</v>
      </c>
      <c r="D32" s="119" t="s">
        <v>206</v>
      </c>
      <c r="E32" s="139">
        <v>18090397</v>
      </c>
      <c r="F32" s="122">
        <v>3437175</v>
      </c>
      <c r="G32" s="134"/>
      <c r="H32" s="124"/>
      <c r="I32" s="124">
        <f t="shared" si="2"/>
        <v>21527572</v>
      </c>
      <c r="J32" s="125">
        <v>45404</v>
      </c>
      <c r="K32" s="129"/>
      <c r="L32" s="130"/>
      <c r="M32" s="125"/>
      <c r="N32" s="125"/>
      <c r="O32" s="126">
        <f>SUM(E32/$K$3)</f>
        <v>18844.163541666665</v>
      </c>
      <c r="P32" s="125"/>
      <c r="Q32" s="127"/>
      <c r="R32" s="127"/>
      <c r="S32" s="127"/>
      <c r="T32" s="127"/>
      <c r="U32" s="128"/>
      <c r="V32" s="128"/>
      <c r="W32" s="128"/>
    </row>
    <row r="33" spans="1:23">
      <c r="A33" s="117">
        <v>45369</v>
      </c>
      <c r="B33" s="118">
        <v>173</v>
      </c>
      <c r="C33" s="122" t="s">
        <v>177</v>
      </c>
      <c r="D33" s="122" t="s">
        <v>207</v>
      </c>
      <c r="E33" s="139">
        <v>33491444</v>
      </c>
      <c r="F33" s="122">
        <v>6698289</v>
      </c>
      <c r="G33" s="134">
        <v>1762707.6</v>
      </c>
      <c r="H33" s="124"/>
      <c r="I33" s="124">
        <f t="shared" si="2"/>
        <v>40189733</v>
      </c>
      <c r="J33" s="125">
        <v>45373</v>
      </c>
      <c r="L33" s="130"/>
      <c r="M33" s="125"/>
      <c r="N33" s="126">
        <f>SUM(E33/$K$3)</f>
        <v>34886.92083333333</v>
      </c>
      <c r="O33" s="126"/>
      <c r="P33" s="125"/>
      <c r="Q33" s="127"/>
      <c r="R33" s="127"/>
      <c r="S33" s="127"/>
      <c r="T33" s="127"/>
      <c r="U33" s="128"/>
      <c r="V33" s="128"/>
      <c r="W33" s="128"/>
    </row>
    <row r="34" spans="1:23">
      <c r="A34" s="117">
        <v>45372</v>
      </c>
      <c r="B34" s="118">
        <v>174</v>
      </c>
      <c r="C34" s="122" t="s">
        <v>208</v>
      </c>
      <c r="D34" s="122" t="s">
        <v>209</v>
      </c>
      <c r="E34" s="139">
        <v>52959981</v>
      </c>
      <c r="F34" s="122">
        <v>10062396</v>
      </c>
      <c r="G34" s="134"/>
      <c r="H34" s="124"/>
      <c r="I34" s="124">
        <f t="shared" si="2"/>
        <v>63022377</v>
      </c>
      <c r="J34" s="125">
        <v>45401</v>
      </c>
      <c r="L34" s="130"/>
      <c r="M34" s="125"/>
      <c r="N34" s="125"/>
      <c r="O34" s="126">
        <f>SUM(E34/$K$3)</f>
        <v>55166.646874999999</v>
      </c>
      <c r="P34" s="125"/>
      <c r="Q34" s="127"/>
      <c r="R34" s="127"/>
      <c r="S34" s="127"/>
      <c r="T34" s="127"/>
      <c r="U34" s="128"/>
      <c r="V34" s="128"/>
      <c r="W34" s="128"/>
    </row>
    <row r="35" spans="1:23">
      <c r="A35" s="117">
        <v>45386</v>
      </c>
      <c r="B35" s="118">
        <v>175</v>
      </c>
      <c r="C35" s="119" t="s">
        <v>185</v>
      </c>
      <c r="D35" s="119" t="s">
        <v>210</v>
      </c>
      <c r="E35" s="139">
        <v>12422559</v>
      </c>
      <c r="F35" s="122">
        <v>2360286</v>
      </c>
      <c r="G35" s="134"/>
      <c r="H35" s="124"/>
      <c r="I35" s="124">
        <f t="shared" si="2"/>
        <v>14782845</v>
      </c>
      <c r="J35" s="125">
        <v>45414</v>
      </c>
      <c r="K35" s="129"/>
      <c r="L35" s="130"/>
      <c r="M35" s="125"/>
      <c r="N35" s="125"/>
      <c r="O35" s="126"/>
      <c r="P35" s="126">
        <f>SUM(E35/K3)</f>
        <v>12940.165625</v>
      </c>
      <c r="Q35" s="127"/>
      <c r="R35" s="127"/>
      <c r="S35" s="127"/>
      <c r="T35" s="127"/>
      <c r="U35" s="128"/>
      <c r="V35" s="128"/>
      <c r="W35" s="128"/>
    </row>
    <row r="36" spans="1:23">
      <c r="A36" s="117">
        <v>45390</v>
      </c>
      <c r="B36" s="118">
        <v>176</v>
      </c>
      <c r="C36" s="119" t="s">
        <v>201</v>
      </c>
      <c r="D36" s="119" t="s">
        <v>277</v>
      </c>
      <c r="E36" s="139">
        <v>58321287</v>
      </c>
      <c r="F36" s="122">
        <v>11081045</v>
      </c>
      <c r="G36" s="134"/>
      <c r="H36" s="124"/>
      <c r="I36" s="124">
        <f t="shared" si="2"/>
        <v>69402332</v>
      </c>
      <c r="J36" s="125">
        <v>45441</v>
      </c>
      <c r="K36" s="129"/>
      <c r="L36" s="130"/>
      <c r="M36" s="125"/>
      <c r="N36" s="125"/>
      <c r="O36" s="126"/>
      <c r="P36" s="126">
        <f>SUM(E36/K3)</f>
        <v>60751.340624999997</v>
      </c>
      <c r="Q36" s="127"/>
      <c r="R36" s="127"/>
      <c r="S36" s="127"/>
      <c r="T36" s="127"/>
      <c r="U36" s="128"/>
      <c r="V36" s="128"/>
      <c r="W36" s="128"/>
    </row>
    <row r="37" spans="1:23">
      <c r="A37" s="117">
        <v>45394</v>
      </c>
      <c r="B37" s="118">
        <v>177</v>
      </c>
      <c r="C37" s="122" t="s">
        <v>177</v>
      </c>
      <c r="D37" s="122" t="s">
        <v>211</v>
      </c>
      <c r="E37" s="139">
        <v>6360793</v>
      </c>
      <c r="F37" s="122">
        <v>1272159</v>
      </c>
      <c r="G37" s="134">
        <v>334778.60000000003</v>
      </c>
      <c r="H37" s="124"/>
      <c r="I37" s="124">
        <f t="shared" si="2"/>
        <v>7632952</v>
      </c>
      <c r="J37" s="125">
        <v>45401</v>
      </c>
      <c r="K37" s="129"/>
      <c r="L37" s="130"/>
      <c r="M37" s="125"/>
      <c r="N37" s="125"/>
      <c r="O37" s="126">
        <f>SUM(E37/$K$3)</f>
        <v>6625.8260416666662</v>
      </c>
      <c r="P37" s="126"/>
      <c r="Q37" s="127"/>
      <c r="R37" s="127"/>
      <c r="S37" s="127"/>
      <c r="T37" s="127"/>
      <c r="U37" s="128"/>
      <c r="V37" s="128"/>
      <c r="W37" s="128"/>
    </row>
    <row r="38" spans="1:23">
      <c r="A38" s="117">
        <v>45399</v>
      </c>
      <c r="B38" s="118">
        <v>178</v>
      </c>
      <c r="C38" s="122" t="s">
        <v>174</v>
      </c>
      <c r="D38" s="122" t="s">
        <v>274</v>
      </c>
      <c r="E38" s="139">
        <v>61120382</v>
      </c>
      <c r="F38" s="122">
        <v>11612873</v>
      </c>
      <c r="G38" s="134"/>
      <c r="H38" s="124"/>
      <c r="I38" s="124">
        <f t="shared" si="2"/>
        <v>72733255</v>
      </c>
      <c r="J38" s="125">
        <v>45408</v>
      </c>
      <c r="L38" s="130"/>
      <c r="M38" s="125"/>
      <c r="N38" s="125"/>
      <c r="O38" s="126">
        <f>SUM(E38/$K$3)</f>
        <v>63667.064583333333</v>
      </c>
      <c r="P38" s="126"/>
      <c r="Q38" s="127"/>
      <c r="R38" s="127"/>
      <c r="S38" s="127"/>
      <c r="T38" s="127"/>
      <c r="U38" s="128"/>
      <c r="V38" s="128"/>
      <c r="W38" s="128"/>
    </row>
    <row r="39" spans="1:23">
      <c r="A39" s="117">
        <v>45407</v>
      </c>
      <c r="B39" s="118">
        <v>179</v>
      </c>
      <c r="C39" s="119" t="s">
        <v>189</v>
      </c>
      <c r="D39" s="119" t="s">
        <v>275</v>
      </c>
      <c r="E39" s="122">
        <v>18199067</v>
      </c>
      <c r="F39" s="122">
        <v>3457823</v>
      </c>
      <c r="G39" s="123"/>
      <c r="H39" s="168"/>
      <c r="I39" s="124">
        <f t="shared" si="2"/>
        <v>21656890</v>
      </c>
      <c r="J39" s="125">
        <v>45441</v>
      </c>
      <c r="K39" s="129"/>
      <c r="L39" s="130"/>
      <c r="M39" s="125"/>
      <c r="N39" s="125"/>
      <c r="O39" s="126"/>
      <c r="P39" s="126">
        <f>SUM(E39/K3)</f>
        <v>18957.361458333333</v>
      </c>
      <c r="Q39" s="127"/>
      <c r="R39" s="127"/>
      <c r="S39" s="127"/>
      <c r="T39" s="127"/>
      <c r="U39" s="128"/>
      <c r="V39" s="128"/>
      <c r="W39" s="128"/>
    </row>
    <row r="40" spans="1:23">
      <c r="A40" s="131">
        <v>45408</v>
      </c>
      <c r="B40" s="132">
        <v>180</v>
      </c>
      <c r="C40" s="122" t="s">
        <v>177</v>
      </c>
      <c r="D40" s="120" t="s">
        <v>276</v>
      </c>
      <c r="E40" s="122">
        <v>11027959</v>
      </c>
      <c r="F40" s="122">
        <v>2205592</v>
      </c>
      <c r="G40" s="123">
        <v>580418.9</v>
      </c>
      <c r="H40" s="168"/>
      <c r="I40" s="124">
        <f>+E40+F40</f>
        <v>13233551</v>
      </c>
      <c r="J40" s="125">
        <v>45415</v>
      </c>
      <c r="K40" s="129"/>
      <c r="L40" s="130"/>
      <c r="M40" s="125"/>
      <c r="N40" s="125"/>
      <c r="O40" s="126"/>
      <c r="P40" s="126">
        <f>SUM(E40/K3)</f>
        <v>11487.457291666668</v>
      </c>
      <c r="Q40" s="127"/>
      <c r="R40" s="127"/>
      <c r="S40" s="127"/>
      <c r="T40" s="127"/>
      <c r="U40" s="128"/>
      <c r="V40" s="128"/>
      <c r="W40" s="128"/>
    </row>
    <row r="41" spans="1:23">
      <c r="A41" s="131">
        <v>45419</v>
      </c>
      <c r="B41" s="132">
        <v>181</v>
      </c>
      <c r="C41" s="122" t="s">
        <v>189</v>
      </c>
      <c r="D41" s="120" t="s">
        <v>278</v>
      </c>
      <c r="E41" s="122">
        <v>17733691</v>
      </c>
      <c r="F41" s="122">
        <v>3369401</v>
      </c>
      <c r="G41" s="123"/>
      <c r="H41" s="168"/>
      <c r="I41" s="124">
        <f t="shared" ref="I41:I48" si="3">SUM(E41:F41)</f>
        <v>21103092</v>
      </c>
      <c r="J41" s="125">
        <v>45455</v>
      </c>
      <c r="K41" s="129"/>
      <c r="L41" s="130"/>
      <c r="M41" s="125"/>
      <c r="N41" s="125"/>
      <c r="O41" s="126"/>
      <c r="P41" s="126"/>
      <c r="Q41" s="126">
        <f>+E41/K3</f>
        <v>18472.594791666666</v>
      </c>
      <c r="R41" s="127"/>
      <c r="S41" s="127"/>
      <c r="T41" s="127"/>
      <c r="U41" s="128"/>
      <c r="V41" s="128"/>
      <c r="W41" s="128"/>
    </row>
    <row r="42" spans="1:23">
      <c r="A42" s="131">
        <v>45420</v>
      </c>
      <c r="B42" s="132">
        <v>182</v>
      </c>
      <c r="C42" s="122" t="s">
        <v>177</v>
      </c>
      <c r="D42" s="120" t="s">
        <v>279</v>
      </c>
      <c r="E42" s="122">
        <v>57768010</v>
      </c>
      <c r="F42" s="122">
        <v>10975922</v>
      </c>
      <c r="G42" s="123"/>
      <c r="H42" s="168"/>
      <c r="I42" s="124">
        <f t="shared" si="3"/>
        <v>68743932</v>
      </c>
      <c r="J42" s="125">
        <v>45441</v>
      </c>
      <c r="K42" s="129"/>
      <c r="L42" s="130"/>
      <c r="M42" s="125"/>
      <c r="N42" s="125"/>
      <c r="O42" s="126"/>
      <c r="P42" s="126">
        <f>SUM(E42/$K$3)</f>
        <v>60175.010416666664</v>
      </c>
      <c r="Q42" s="127"/>
      <c r="R42" s="127"/>
      <c r="S42" s="127"/>
      <c r="T42" s="127"/>
      <c r="U42" s="128"/>
      <c r="V42" s="128"/>
      <c r="W42" s="128"/>
    </row>
    <row r="43" spans="1:23">
      <c r="A43" s="131">
        <v>45427</v>
      </c>
      <c r="B43" s="132">
        <v>183</v>
      </c>
      <c r="C43" s="122" t="s">
        <v>174</v>
      </c>
      <c r="D43" s="120" t="s">
        <v>280</v>
      </c>
      <c r="E43" s="122">
        <v>29092285</v>
      </c>
      <c r="F43" s="122">
        <v>5527534</v>
      </c>
      <c r="G43" s="123"/>
      <c r="H43" s="168"/>
      <c r="I43" s="124">
        <f t="shared" si="3"/>
        <v>34619819</v>
      </c>
      <c r="J43" s="125">
        <v>45436</v>
      </c>
      <c r="K43" s="129"/>
      <c r="L43" s="130"/>
      <c r="M43" s="125"/>
      <c r="N43" s="125"/>
      <c r="O43" s="126"/>
      <c r="P43" s="126">
        <f>SUM(E43/$K$3)</f>
        <v>30304.463541666668</v>
      </c>
      <c r="Q43" s="127"/>
      <c r="R43" s="127"/>
      <c r="S43" s="127"/>
      <c r="T43" s="127"/>
      <c r="U43" s="128"/>
      <c r="V43" s="128"/>
      <c r="W43" s="128"/>
    </row>
    <row r="44" spans="1:23">
      <c r="A44" s="131">
        <v>45428</v>
      </c>
      <c r="B44" s="132">
        <v>185</v>
      </c>
      <c r="C44" s="122" t="s">
        <v>174</v>
      </c>
      <c r="D44" s="120" t="s">
        <v>281</v>
      </c>
      <c r="E44" s="122">
        <v>40774068</v>
      </c>
      <c r="F44" s="122">
        <v>7747073</v>
      </c>
      <c r="G44" s="123"/>
      <c r="H44" s="168"/>
      <c r="I44" s="124">
        <f t="shared" si="3"/>
        <v>48521141</v>
      </c>
      <c r="J44" s="125">
        <v>45443</v>
      </c>
      <c r="K44" s="129"/>
      <c r="L44" s="130"/>
      <c r="M44" s="125"/>
      <c r="N44" s="125"/>
      <c r="O44" s="126"/>
      <c r="P44" s="126">
        <f>SUM(E44/$K$3)</f>
        <v>42472.987500000003</v>
      </c>
      <c r="Q44" s="127"/>
      <c r="R44" s="127"/>
      <c r="S44" s="127"/>
      <c r="T44" s="127"/>
      <c r="U44" s="128"/>
      <c r="V44" s="128"/>
      <c r="W44" s="128"/>
    </row>
    <row r="45" spans="1:23">
      <c r="A45" s="131">
        <v>45428</v>
      </c>
      <c r="B45" s="132">
        <v>186</v>
      </c>
      <c r="C45" s="122" t="s">
        <v>282</v>
      </c>
      <c r="D45" s="120" t="s">
        <v>283</v>
      </c>
      <c r="E45" s="122">
        <v>24402495</v>
      </c>
      <c r="F45" s="122">
        <v>4636474</v>
      </c>
      <c r="G45" s="123"/>
      <c r="H45" s="168"/>
      <c r="I45" s="124">
        <f t="shared" si="3"/>
        <v>29038969</v>
      </c>
      <c r="J45" s="125">
        <v>45450</v>
      </c>
      <c r="K45" s="129"/>
      <c r="L45" s="130"/>
      <c r="M45" s="125"/>
      <c r="N45" s="125"/>
      <c r="O45" s="126"/>
      <c r="P45" s="126"/>
      <c r="Q45" s="126">
        <f>+E45/K3</f>
        <v>25419.265625</v>
      </c>
      <c r="R45" s="127"/>
      <c r="S45" s="127"/>
      <c r="T45" s="127"/>
      <c r="U45" s="128"/>
      <c r="V45" s="128"/>
      <c r="W45" s="128"/>
    </row>
    <row r="46" spans="1:23" ht="12" customHeight="1">
      <c r="A46" s="131">
        <v>45429</v>
      </c>
      <c r="B46" s="132">
        <v>187</v>
      </c>
      <c r="C46" s="122" t="s">
        <v>177</v>
      </c>
      <c r="D46" s="120" t="s">
        <v>284</v>
      </c>
      <c r="E46" s="122">
        <v>10288375</v>
      </c>
      <c r="F46" s="122">
        <v>2057675</v>
      </c>
      <c r="G46" s="123">
        <v>541493.4</v>
      </c>
      <c r="H46" s="168"/>
      <c r="I46" s="124">
        <f t="shared" si="3"/>
        <v>12346050</v>
      </c>
      <c r="J46" s="125">
        <v>45436</v>
      </c>
      <c r="L46" s="130"/>
      <c r="M46" s="125"/>
      <c r="N46" s="125"/>
      <c r="O46" s="126"/>
      <c r="P46" s="126">
        <f>E46/K3</f>
        <v>10717.057291666666</v>
      </c>
      <c r="Q46" s="127"/>
      <c r="R46" s="127"/>
      <c r="S46" s="127"/>
      <c r="T46" s="127"/>
      <c r="U46" s="128"/>
      <c r="V46" s="128"/>
      <c r="W46" s="128"/>
    </row>
    <row r="47" spans="1:23" ht="12" customHeight="1">
      <c r="A47" s="131">
        <v>45440</v>
      </c>
      <c r="B47" s="132">
        <v>188</v>
      </c>
      <c r="C47" s="122" t="s">
        <v>305</v>
      </c>
      <c r="D47" s="120" t="s">
        <v>306</v>
      </c>
      <c r="E47" s="122">
        <v>31565792</v>
      </c>
      <c r="F47" s="122">
        <v>5997500</v>
      </c>
      <c r="G47" s="123"/>
      <c r="H47" s="168"/>
      <c r="I47" s="124">
        <f t="shared" si="3"/>
        <v>37563292</v>
      </c>
      <c r="J47" s="125">
        <v>45450</v>
      </c>
      <c r="L47" s="130"/>
      <c r="M47" s="125"/>
      <c r="N47" s="125"/>
      <c r="O47" s="126"/>
      <c r="P47" s="126"/>
      <c r="Q47" s="126">
        <f>+E47/K3</f>
        <v>32881.033333333333</v>
      </c>
      <c r="R47" s="127"/>
      <c r="S47" s="127"/>
      <c r="T47" s="127"/>
      <c r="U47" s="128"/>
      <c r="V47" s="128"/>
      <c r="W47" s="128"/>
    </row>
    <row r="48" spans="1:23" ht="12" customHeight="1">
      <c r="A48" s="131">
        <v>45449</v>
      </c>
      <c r="B48" s="132">
        <v>189</v>
      </c>
      <c r="C48" s="122" t="s">
        <v>201</v>
      </c>
      <c r="D48" s="120" t="s">
        <v>309</v>
      </c>
      <c r="E48" s="122">
        <v>11366432</v>
      </c>
      <c r="F48" s="122">
        <v>2273286</v>
      </c>
      <c r="G48" s="123">
        <v>598233</v>
      </c>
      <c r="H48" s="168"/>
      <c r="I48" s="124">
        <f t="shared" si="3"/>
        <v>13639718</v>
      </c>
      <c r="J48" s="125">
        <v>45456</v>
      </c>
      <c r="L48" s="130"/>
      <c r="M48" s="125"/>
      <c r="N48" s="125"/>
      <c r="O48" s="126"/>
      <c r="P48" s="126"/>
      <c r="Q48" s="190">
        <f>+E48/K3</f>
        <v>11840.033333333333</v>
      </c>
      <c r="R48" s="127"/>
      <c r="S48" s="127"/>
      <c r="T48" s="127"/>
      <c r="U48" s="128"/>
      <c r="V48" s="128"/>
      <c r="W48" s="128"/>
    </row>
    <row r="49" spans="1:23" ht="12" customHeight="1">
      <c r="A49" s="131">
        <v>45456</v>
      </c>
      <c r="B49" s="132">
        <v>192</v>
      </c>
      <c r="C49" s="122" t="s">
        <v>201</v>
      </c>
      <c r="D49" s="120" t="s">
        <v>327</v>
      </c>
      <c r="E49" s="122">
        <v>31952308</v>
      </c>
      <c r="F49" s="122">
        <v>6070939</v>
      </c>
      <c r="G49" s="123"/>
      <c r="H49" s="168"/>
      <c r="I49" s="124">
        <f>SUM(E49:F49)</f>
        <v>38023247</v>
      </c>
      <c r="J49" s="125">
        <v>45497</v>
      </c>
      <c r="L49" s="130"/>
      <c r="M49" s="125"/>
      <c r="N49" s="125"/>
      <c r="O49" s="126"/>
      <c r="P49" s="126"/>
      <c r="Q49" s="190"/>
      <c r="R49" s="128">
        <f>+E49/$K$3</f>
        <v>33283.654166666667</v>
      </c>
      <c r="S49" s="127"/>
      <c r="T49" s="127"/>
      <c r="U49" s="128"/>
      <c r="V49" s="128"/>
      <c r="W49" s="128"/>
    </row>
    <row r="50" spans="1:23" ht="12" customHeight="1">
      <c r="A50" s="131">
        <v>45470</v>
      </c>
      <c r="B50" s="132">
        <v>194</v>
      </c>
      <c r="C50" s="133" t="s">
        <v>264</v>
      </c>
      <c r="D50" s="122" t="s">
        <v>331</v>
      </c>
      <c r="E50" s="122">
        <v>68012692</v>
      </c>
      <c r="F50" s="122">
        <v>12922411</v>
      </c>
      <c r="G50" s="134"/>
      <c r="H50" s="168"/>
      <c r="I50" s="168">
        <f>SUM(E50:F50)</f>
        <v>80935103</v>
      </c>
      <c r="J50" s="125">
        <v>45497</v>
      </c>
      <c r="L50" s="130"/>
      <c r="M50" s="125"/>
      <c r="N50" s="125"/>
      <c r="O50" s="126"/>
      <c r="P50" s="126"/>
      <c r="Q50" s="190"/>
      <c r="R50" s="128">
        <f>+E50/$K$3</f>
        <v>70846.554166666669</v>
      </c>
      <c r="S50" s="127"/>
      <c r="T50" s="127"/>
      <c r="U50" s="128"/>
      <c r="V50" s="128"/>
      <c r="W50" s="128"/>
    </row>
    <row r="51" spans="1:23" ht="12" customHeight="1">
      <c r="A51" s="131">
        <v>45478</v>
      </c>
      <c r="B51" s="132">
        <v>195</v>
      </c>
      <c r="C51" s="133" t="s">
        <v>201</v>
      </c>
      <c r="D51" s="122" t="s">
        <v>338</v>
      </c>
      <c r="E51" s="122">
        <v>19116145</v>
      </c>
      <c r="F51" s="122">
        <v>3823229</v>
      </c>
      <c r="G51" s="134">
        <v>1006112.9</v>
      </c>
      <c r="H51" s="168"/>
      <c r="I51" s="168">
        <f>SUM(E51+F51)</f>
        <v>22939374</v>
      </c>
      <c r="J51" s="125">
        <v>45493</v>
      </c>
      <c r="L51" s="130"/>
      <c r="M51" s="125"/>
      <c r="N51" s="125"/>
      <c r="O51" s="126"/>
      <c r="P51" s="126"/>
      <c r="Q51" s="190"/>
      <c r="R51" s="128">
        <f>+E51/$K$3</f>
        <v>19912.651041666668</v>
      </c>
      <c r="S51" s="127"/>
      <c r="T51" s="127"/>
      <c r="U51" s="128"/>
      <c r="V51" s="128"/>
      <c r="W51" s="128"/>
    </row>
    <row r="52" spans="1:23" ht="12" customHeight="1">
      <c r="A52" s="131">
        <v>45478</v>
      </c>
      <c r="B52" s="132">
        <v>196</v>
      </c>
      <c r="C52" s="119" t="s">
        <v>174</v>
      </c>
      <c r="D52" s="122" t="s">
        <v>328</v>
      </c>
      <c r="E52" s="122">
        <v>33013387</v>
      </c>
      <c r="F52" s="122">
        <v>6272544</v>
      </c>
      <c r="G52" s="134"/>
      <c r="H52" s="195"/>
      <c r="I52" s="168">
        <f>SUM(E52:F52)</f>
        <v>39285931</v>
      </c>
      <c r="J52" s="125">
        <v>45485</v>
      </c>
      <c r="L52" s="130"/>
      <c r="M52" s="125"/>
      <c r="N52" s="125"/>
      <c r="O52" s="126"/>
      <c r="P52" s="126"/>
      <c r="Q52" s="190"/>
      <c r="R52" s="128">
        <f>+E52/$K$3</f>
        <v>34388.944791666669</v>
      </c>
      <c r="S52" s="127"/>
      <c r="T52" s="127"/>
      <c r="U52" s="128"/>
      <c r="V52" s="128"/>
      <c r="W52" s="128"/>
    </row>
    <row r="53" spans="1:23" ht="12" customHeight="1">
      <c r="A53" s="131">
        <v>45485</v>
      </c>
      <c r="B53" s="132" t="s">
        <v>339</v>
      </c>
      <c r="C53" s="122" t="s">
        <v>177</v>
      </c>
      <c r="D53" s="122" t="s">
        <v>340</v>
      </c>
      <c r="E53" s="122">
        <v>39131369</v>
      </c>
      <c r="F53" s="122"/>
      <c r="G53" s="134"/>
      <c r="H53" s="195"/>
      <c r="I53" s="168">
        <v>39131369</v>
      </c>
      <c r="J53" s="125">
        <v>45485</v>
      </c>
      <c r="L53" s="130"/>
      <c r="M53" s="125"/>
      <c r="N53" s="125"/>
      <c r="O53" s="126"/>
      <c r="P53" s="126"/>
      <c r="Q53" s="190"/>
      <c r="R53" s="128">
        <f>+E53/$K$3</f>
        <v>40761.84270833333</v>
      </c>
      <c r="S53" s="127"/>
      <c r="T53" s="127"/>
      <c r="U53" s="128"/>
      <c r="V53" s="128"/>
      <c r="W53" s="128"/>
    </row>
    <row r="54" spans="1:23" ht="12" customHeight="1">
      <c r="A54" s="131">
        <v>45491</v>
      </c>
      <c r="B54" s="132">
        <v>197</v>
      </c>
      <c r="C54" s="133" t="s">
        <v>185</v>
      </c>
      <c r="D54" s="119" t="s">
        <v>341</v>
      </c>
      <c r="E54" s="122">
        <v>40811324</v>
      </c>
      <c r="F54" s="122">
        <f>SUM(E54*19%)</f>
        <v>7754151.5600000005</v>
      </c>
      <c r="G54" s="134"/>
      <c r="H54" s="168"/>
      <c r="I54" s="168">
        <f t="shared" ref="I54:I60" si="4">SUM(E54:F54)</f>
        <v>48565475.560000002</v>
      </c>
      <c r="J54" s="125">
        <v>45518</v>
      </c>
      <c r="L54" s="130"/>
      <c r="M54" s="125"/>
      <c r="N54" s="125"/>
      <c r="O54" s="126"/>
      <c r="P54" s="126"/>
      <c r="Q54" s="126"/>
      <c r="R54" s="127"/>
      <c r="S54" s="128">
        <f>+E54/$K$3</f>
        <v>42511.79583333333</v>
      </c>
      <c r="T54" s="127"/>
      <c r="U54" s="128"/>
      <c r="V54" s="128"/>
      <c r="W54" s="128"/>
    </row>
    <row r="55" spans="1:23" ht="12" customHeight="1">
      <c r="A55" s="131">
        <v>45497</v>
      </c>
      <c r="B55" s="132">
        <v>198</v>
      </c>
      <c r="C55" s="133" t="s">
        <v>177</v>
      </c>
      <c r="D55" s="120" t="s">
        <v>342</v>
      </c>
      <c r="E55" s="122">
        <v>29427019</v>
      </c>
      <c r="F55" s="122">
        <v>5885404</v>
      </c>
      <c r="G55" s="134">
        <v>1548790</v>
      </c>
      <c r="H55" s="168"/>
      <c r="I55" s="168">
        <f t="shared" si="4"/>
        <v>35312423</v>
      </c>
      <c r="J55" s="125">
        <v>45506</v>
      </c>
      <c r="K55" s="129"/>
      <c r="L55" s="130"/>
      <c r="M55" s="125"/>
      <c r="N55" s="125"/>
      <c r="O55" s="126"/>
      <c r="P55" s="126"/>
      <c r="Q55" s="126"/>
      <c r="R55" s="128"/>
      <c r="S55" s="128">
        <f>+E55/$K$3</f>
        <v>30653.144791666666</v>
      </c>
      <c r="T55" s="127"/>
      <c r="U55" s="128"/>
      <c r="V55" s="128"/>
      <c r="W55" s="128"/>
    </row>
    <row r="56" spans="1:23" ht="12" customHeight="1">
      <c r="A56" s="131">
        <v>45505</v>
      </c>
      <c r="B56" s="132">
        <v>199</v>
      </c>
      <c r="C56" s="122" t="s">
        <v>174</v>
      </c>
      <c r="D56" s="122" t="s">
        <v>345</v>
      </c>
      <c r="E56" s="122">
        <v>70349361</v>
      </c>
      <c r="F56" s="122">
        <v>13366379</v>
      </c>
      <c r="G56" s="134"/>
      <c r="H56" s="168"/>
      <c r="I56" s="168">
        <f t="shared" si="4"/>
        <v>83715740</v>
      </c>
      <c r="J56" s="125">
        <v>45513</v>
      </c>
      <c r="K56" s="129"/>
      <c r="L56" s="130"/>
      <c r="M56" s="125"/>
      <c r="N56" s="125"/>
      <c r="O56" s="126"/>
      <c r="P56" s="126"/>
      <c r="Q56" s="126"/>
      <c r="R56" s="127"/>
      <c r="S56" s="128">
        <f>+E56/$K$3</f>
        <v>73280.584375000006</v>
      </c>
      <c r="T56" s="127"/>
      <c r="U56" s="128"/>
      <c r="V56" s="128"/>
      <c r="W56" s="128"/>
    </row>
    <row r="57" spans="1:23" ht="12" customHeight="1">
      <c r="A57" s="131">
        <v>45505</v>
      </c>
      <c r="B57" s="132">
        <v>200</v>
      </c>
      <c r="C57" s="122" t="s">
        <v>174</v>
      </c>
      <c r="D57" s="120" t="s">
        <v>346</v>
      </c>
      <c r="E57" s="122">
        <v>23212269</v>
      </c>
      <c r="F57" s="122">
        <v>4410331</v>
      </c>
      <c r="G57" s="134"/>
      <c r="H57" s="168"/>
      <c r="I57" s="168">
        <f t="shared" si="4"/>
        <v>27622600</v>
      </c>
      <c r="J57" s="125">
        <v>45513</v>
      </c>
      <c r="K57" s="129"/>
      <c r="L57" s="130"/>
      <c r="M57" s="125"/>
      <c r="N57" s="125"/>
      <c r="O57" s="126"/>
      <c r="P57" s="126"/>
      <c r="Q57" s="126"/>
      <c r="R57" s="127"/>
      <c r="S57" s="128">
        <f>+E57/$K$3</f>
        <v>24179.446875000001</v>
      </c>
      <c r="T57" s="127"/>
      <c r="U57" s="128"/>
      <c r="V57" s="128"/>
      <c r="W57" s="128"/>
    </row>
    <row r="58" spans="1:23" ht="12" customHeight="1">
      <c r="A58" s="131">
        <v>45509</v>
      </c>
      <c r="B58" s="132">
        <v>201</v>
      </c>
      <c r="C58" s="133" t="s">
        <v>185</v>
      </c>
      <c r="D58" s="120" t="s">
        <v>347</v>
      </c>
      <c r="E58" s="122">
        <v>28555388</v>
      </c>
      <c r="F58" s="122">
        <v>5425524</v>
      </c>
      <c r="G58" s="134"/>
      <c r="H58" s="168"/>
      <c r="I58" s="168">
        <f t="shared" si="4"/>
        <v>33980912</v>
      </c>
      <c r="J58" s="125">
        <v>45539</v>
      </c>
      <c r="K58" s="129"/>
      <c r="L58" s="130"/>
      <c r="M58" s="125"/>
      <c r="N58" s="125"/>
      <c r="O58" s="126"/>
      <c r="P58" s="126"/>
      <c r="Q58" s="126"/>
      <c r="R58" s="127"/>
      <c r="S58" s="127"/>
      <c r="T58" s="128">
        <f>+E58/$K$3</f>
        <v>29745.195833333335</v>
      </c>
      <c r="U58" s="128"/>
      <c r="V58" s="128"/>
      <c r="W58" s="128"/>
    </row>
    <row r="59" spans="1:23" ht="12" customHeight="1">
      <c r="A59" s="131">
        <v>45509</v>
      </c>
      <c r="B59" s="132">
        <v>202</v>
      </c>
      <c r="C59" s="133" t="s">
        <v>185</v>
      </c>
      <c r="D59" s="120" t="s">
        <v>348</v>
      </c>
      <c r="E59" s="122">
        <v>72139929</v>
      </c>
      <c r="F59" s="122">
        <v>13706587</v>
      </c>
      <c r="G59" s="134"/>
      <c r="H59" s="168"/>
      <c r="I59" s="168">
        <f t="shared" si="4"/>
        <v>85846516</v>
      </c>
      <c r="J59" s="125">
        <v>45539</v>
      </c>
      <c r="K59" s="129"/>
      <c r="L59" s="130"/>
      <c r="M59" s="125"/>
      <c r="N59" s="125"/>
      <c r="O59" s="126"/>
      <c r="P59" s="126"/>
      <c r="Q59" s="126"/>
      <c r="R59" s="127"/>
      <c r="S59" s="127"/>
      <c r="T59" s="128">
        <f>+E59/$K$3</f>
        <v>75145.759374999994</v>
      </c>
      <c r="U59" s="128"/>
      <c r="V59" s="128"/>
      <c r="W59" s="128"/>
    </row>
    <row r="60" spans="1:23" ht="12" customHeight="1">
      <c r="A60" s="131">
        <v>45509</v>
      </c>
      <c r="B60" s="132">
        <v>203</v>
      </c>
      <c r="C60" s="133" t="s">
        <v>177</v>
      </c>
      <c r="D60" s="120" t="s">
        <v>349</v>
      </c>
      <c r="E60" s="122">
        <v>16048879</v>
      </c>
      <c r="F60" s="122">
        <v>3388097</v>
      </c>
      <c r="G60" s="134">
        <v>1783209</v>
      </c>
      <c r="H60" s="168"/>
      <c r="I60" s="168">
        <f t="shared" si="4"/>
        <v>19436976</v>
      </c>
      <c r="J60" s="125">
        <v>45518</v>
      </c>
      <c r="L60" s="137"/>
      <c r="M60" s="136"/>
      <c r="N60" s="136"/>
      <c r="O60" s="199"/>
      <c r="P60" s="199"/>
      <c r="Q60" s="199"/>
      <c r="R60" s="200"/>
      <c r="S60" s="201">
        <f>+E60/$K$3</f>
        <v>16717.582291666666</v>
      </c>
      <c r="T60" s="200"/>
      <c r="U60" s="201"/>
      <c r="V60" s="201"/>
      <c r="W60" s="201"/>
    </row>
    <row r="61" spans="1:23" ht="12" customHeight="1">
      <c r="A61" s="131">
        <v>45520</v>
      </c>
      <c r="B61" s="132">
        <v>204</v>
      </c>
      <c r="C61" s="133" t="s">
        <v>350</v>
      </c>
      <c r="D61" s="120" t="s">
        <v>351</v>
      </c>
      <c r="E61" s="122">
        <v>58139226</v>
      </c>
      <c r="F61" s="122">
        <v>11046453</v>
      </c>
      <c r="G61" s="134"/>
      <c r="H61" s="168"/>
      <c r="I61" s="168">
        <v>69185679</v>
      </c>
      <c r="J61" s="125">
        <v>45618</v>
      </c>
      <c r="K61" s="129"/>
      <c r="L61" s="130"/>
      <c r="M61" s="125"/>
      <c r="N61" s="125"/>
      <c r="O61" s="126"/>
      <c r="P61" s="126"/>
      <c r="Q61" s="126"/>
      <c r="R61" s="127"/>
      <c r="S61" s="127"/>
      <c r="T61" s="128"/>
      <c r="U61" s="128"/>
      <c r="V61" s="128">
        <f>+E61/K3</f>
        <v>60561.693749999999</v>
      </c>
      <c r="W61" s="128"/>
    </row>
    <row r="62" spans="1:23" ht="12" customHeight="1">
      <c r="A62" s="131">
        <v>45527</v>
      </c>
      <c r="B62" s="132">
        <v>205</v>
      </c>
      <c r="C62" s="122" t="s">
        <v>282</v>
      </c>
      <c r="D62" s="120" t="s">
        <v>361</v>
      </c>
      <c r="E62" s="122">
        <v>67021609</v>
      </c>
      <c r="F62" s="122">
        <v>12734106</v>
      </c>
      <c r="G62" s="134"/>
      <c r="H62" s="168"/>
      <c r="I62" s="168">
        <f>SUM(E62:F62)</f>
        <v>79755715</v>
      </c>
      <c r="J62" s="125">
        <v>45548</v>
      </c>
      <c r="K62" s="129"/>
      <c r="L62" s="130"/>
      <c r="M62" s="125"/>
      <c r="N62" s="125"/>
      <c r="O62" s="126"/>
      <c r="P62" s="126"/>
      <c r="Q62" s="126"/>
      <c r="R62" s="127"/>
      <c r="S62" s="127"/>
      <c r="T62" s="128">
        <f>+E62/$K$3</f>
        <v>69814.176041666666</v>
      </c>
      <c r="U62" s="128"/>
      <c r="V62" s="128"/>
      <c r="W62" s="128"/>
    </row>
    <row r="63" spans="1:23" ht="12" customHeight="1">
      <c r="A63" s="131">
        <v>45531</v>
      </c>
      <c r="B63" s="132">
        <v>207</v>
      </c>
      <c r="C63" s="122" t="s">
        <v>174</v>
      </c>
      <c r="D63" s="205" t="s">
        <v>360</v>
      </c>
      <c r="E63" s="122">
        <v>7947479</v>
      </c>
      <c r="F63" s="122">
        <v>1510021</v>
      </c>
      <c r="G63" s="134"/>
      <c r="H63" s="168"/>
      <c r="I63" s="168">
        <f>SUM(E63:F63)</f>
        <v>9457500</v>
      </c>
      <c r="J63" s="125">
        <v>45541</v>
      </c>
      <c r="K63" s="129"/>
      <c r="L63" s="130"/>
      <c r="M63" s="125"/>
      <c r="N63" s="125"/>
      <c r="O63" s="126"/>
      <c r="P63" s="126"/>
      <c r="Q63" s="126"/>
      <c r="R63" s="127"/>
      <c r="S63" s="127"/>
      <c r="T63" s="128">
        <f>+E63/$K$3</f>
        <v>8278.6239583333336</v>
      </c>
      <c r="U63" s="128"/>
      <c r="V63" s="128"/>
      <c r="W63" s="128"/>
    </row>
    <row r="64" spans="1:23" ht="12" customHeight="1">
      <c r="A64" s="131">
        <v>45531</v>
      </c>
      <c r="B64" s="281">
        <v>208</v>
      </c>
      <c r="C64" s="133" t="s">
        <v>177</v>
      </c>
      <c r="D64" s="206" t="s">
        <v>502</v>
      </c>
      <c r="E64" s="122">
        <v>128261016</v>
      </c>
      <c r="F64" s="122">
        <v>24369593</v>
      </c>
      <c r="G64" s="134"/>
      <c r="H64" s="168"/>
      <c r="I64" s="168">
        <f>SUM(E64:G64)</f>
        <v>152630609</v>
      </c>
      <c r="J64" s="125">
        <v>45562</v>
      </c>
      <c r="K64" s="129"/>
      <c r="L64" s="130"/>
      <c r="M64" s="125"/>
      <c r="N64" s="125"/>
      <c r="O64" s="126"/>
      <c r="P64" s="126"/>
      <c r="Q64" s="126"/>
      <c r="R64" s="127"/>
      <c r="S64" s="127"/>
      <c r="T64" s="128">
        <f>+E64/$K$3</f>
        <v>133605.22500000001</v>
      </c>
      <c r="U64" s="128"/>
      <c r="V64" s="128"/>
      <c r="W64" s="128"/>
    </row>
    <row r="65" spans="1:23" ht="12" customHeight="1">
      <c r="A65" s="131">
        <v>45531</v>
      </c>
      <c r="B65" s="132">
        <v>209</v>
      </c>
      <c r="C65" s="133" t="s">
        <v>177</v>
      </c>
      <c r="D65" s="206" t="s">
        <v>357</v>
      </c>
      <c r="E65" s="122">
        <v>60390520</v>
      </c>
      <c r="F65" s="122">
        <v>11474199</v>
      </c>
      <c r="G65" s="134"/>
      <c r="H65" s="168"/>
      <c r="I65" s="168">
        <f>SUM(E65:G65)</f>
        <v>71864719</v>
      </c>
      <c r="J65" s="125">
        <v>45562</v>
      </c>
      <c r="K65" s="129"/>
      <c r="L65" s="130"/>
      <c r="M65" s="125"/>
      <c r="N65" s="125"/>
      <c r="O65" s="126"/>
      <c r="P65" s="126"/>
      <c r="Q65" s="126"/>
      <c r="R65" s="127"/>
      <c r="S65" s="127"/>
      <c r="T65" s="128">
        <f>+E65/$K$3</f>
        <v>62906.791666666664</v>
      </c>
      <c r="U65" s="128"/>
      <c r="V65" s="128"/>
      <c r="W65" s="128"/>
    </row>
    <row r="66" spans="1:23" ht="12" customHeight="1">
      <c r="A66" s="131">
        <v>45531</v>
      </c>
      <c r="B66" s="132">
        <v>210</v>
      </c>
      <c r="C66" s="133" t="s">
        <v>174</v>
      </c>
      <c r="D66" s="206" t="s">
        <v>359</v>
      </c>
      <c r="E66" s="122">
        <v>13886991</v>
      </c>
      <c r="F66" s="122">
        <v>2638528</v>
      </c>
      <c r="G66" s="134"/>
      <c r="H66" s="168"/>
      <c r="I66" s="168">
        <f>SUM(E66:F66)</f>
        <v>16525519</v>
      </c>
      <c r="J66" s="125">
        <v>45541</v>
      </c>
      <c r="K66" s="129"/>
      <c r="L66" s="130"/>
      <c r="M66" s="125"/>
      <c r="N66" s="125"/>
      <c r="O66" s="126"/>
      <c r="P66" s="126"/>
      <c r="Q66" s="126"/>
      <c r="R66" s="127"/>
      <c r="S66" s="127"/>
      <c r="T66" s="128">
        <f>+E66/$K$3</f>
        <v>14465.615625</v>
      </c>
      <c r="U66" s="128"/>
      <c r="V66" s="128"/>
      <c r="W66" s="128"/>
    </row>
    <row r="67" spans="1:23" ht="12" customHeight="1">
      <c r="A67" s="131">
        <v>45546</v>
      </c>
      <c r="B67" s="132">
        <v>211</v>
      </c>
      <c r="C67" s="133" t="s">
        <v>177</v>
      </c>
      <c r="D67" s="206" t="s">
        <v>364</v>
      </c>
      <c r="E67" s="122">
        <v>14368950</v>
      </c>
      <c r="F67" s="122">
        <v>2873790</v>
      </c>
      <c r="G67" s="134">
        <v>756260.55</v>
      </c>
      <c r="H67" s="168"/>
      <c r="I67" s="168">
        <f>SUM(E67:F67)</f>
        <v>17242740</v>
      </c>
      <c r="J67" s="125">
        <v>45567</v>
      </c>
      <c r="K67" s="129"/>
      <c r="L67" s="130"/>
      <c r="M67" s="125"/>
      <c r="N67" s="125"/>
      <c r="O67" s="126"/>
      <c r="P67" s="126"/>
      <c r="Q67" s="126"/>
      <c r="R67" s="127"/>
      <c r="S67" s="127"/>
      <c r="T67" s="127"/>
      <c r="U67" s="128">
        <f>+E67/$K$3</f>
        <v>14967.65625</v>
      </c>
      <c r="V67" s="128"/>
      <c r="W67" s="128"/>
    </row>
    <row r="68" spans="1:23" ht="12" customHeight="1">
      <c r="A68" s="131">
        <v>45546</v>
      </c>
      <c r="B68" s="132">
        <v>212</v>
      </c>
      <c r="C68" s="122" t="s">
        <v>305</v>
      </c>
      <c r="D68" s="120" t="s">
        <v>365</v>
      </c>
      <c r="E68" s="122">
        <v>23417618</v>
      </c>
      <c r="F68" s="122">
        <v>4449347</v>
      </c>
      <c r="G68" s="134"/>
      <c r="H68" s="168"/>
      <c r="I68" s="168">
        <f>SUM(E68:F68)</f>
        <v>27866965</v>
      </c>
      <c r="J68" s="125">
        <v>45552</v>
      </c>
      <c r="K68" s="129"/>
      <c r="L68" s="130"/>
      <c r="M68" s="125"/>
      <c r="N68" s="125"/>
      <c r="O68" s="126"/>
      <c r="P68" s="126"/>
      <c r="Q68" s="126"/>
      <c r="R68" s="127"/>
      <c r="S68" s="127"/>
      <c r="T68" s="128">
        <f>+E68/$K$3</f>
        <v>24393.352083333335</v>
      </c>
      <c r="U68" s="128"/>
      <c r="V68" s="128"/>
      <c r="W68" s="128"/>
    </row>
    <row r="69" spans="1:23" ht="12" customHeight="1">
      <c r="A69" s="131">
        <v>45547</v>
      </c>
      <c r="B69" s="281">
        <v>214</v>
      </c>
      <c r="C69" s="133" t="s">
        <v>177</v>
      </c>
      <c r="D69" s="120" t="s">
        <v>368</v>
      </c>
      <c r="E69" s="122">
        <v>216461969</v>
      </c>
      <c r="F69" s="122">
        <v>41127774</v>
      </c>
      <c r="G69" s="134"/>
      <c r="H69" s="168"/>
      <c r="I69" s="168">
        <f>+E69+F69</f>
        <v>257589743</v>
      </c>
      <c r="J69" s="125">
        <v>45576</v>
      </c>
      <c r="K69" s="129"/>
      <c r="L69" s="130"/>
      <c r="M69" s="125"/>
      <c r="N69" s="125"/>
      <c r="O69" s="126"/>
      <c r="P69" s="126"/>
      <c r="Q69" s="126"/>
      <c r="R69" s="127"/>
      <c r="S69" s="127"/>
      <c r="T69" s="127"/>
      <c r="U69" s="128">
        <f>+E69/$K$3</f>
        <v>225481.21770833334</v>
      </c>
      <c r="V69" s="128"/>
      <c r="W69" s="128"/>
    </row>
    <row r="70" spans="1:23" ht="12" customHeight="1">
      <c r="A70" s="131">
        <v>45547</v>
      </c>
      <c r="B70" s="132">
        <v>215</v>
      </c>
      <c r="C70" s="119" t="s">
        <v>172</v>
      </c>
      <c r="D70" s="120" t="s">
        <v>367</v>
      </c>
      <c r="E70" s="122">
        <v>11030880</v>
      </c>
      <c r="F70" s="122">
        <v>2095867</v>
      </c>
      <c r="G70" s="134"/>
      <c r="H70" s="168"/>
      <c r="I70" s="168">
        <f>+E70+F70</f>
        <v>13126747</v>
      </c>
      <c r="J70" s="125">
        <v>45576</v>
      </c>
      <c r="K70" s="129"/>
      <c r="L70" s="130"/>
      <c r="M70" s="125"/>
      <c r="N70" s="125"/>
      <c r="O70" s="126"/>
      <c r="P70" s="126"/>
      <c r="Q70" s="126"/>
      <c r="R70" s="127"/>
      <c r="S70" s="127"/>
      <c r="T70" s="127"/>
      <c r="U70" s="128">
        <f>+E70/$K$3</f>
        <v>11490.5</v>
      </c>
      <c r="V70" s="128"/>
      <c r="W70" s="128"/>
    </row>
    <row r="71" spans="1:23" ht="12" customHeight="1">
      <c r="A71" s="131">
        <v>45551</v>
      </c>
      <c r="B71" s="132">
        <v>216</v>
      </c>
      <c r="C71" s="133" t="s">
        <v>189</v>
      </c>
      <c r="D71" s="120" t="s">
        <v>369</v>
      </c>
      <c r="E71" s="122">
        <v>17646754</v>
      </c>
      <c r="F71" s="122">
        <v>3352883</v>
      </c>
      <c r="G71" s="134"/>
      <c r="H71" s="195"/>
      <c r="I71" s="168">
        <f>SUM(E71:F71)</f>
        <v>20999637</v>
      </c>
      <c r="J71" s="125">
        <v>45581</v>
      </c>
      <c r="K71" s="129"/>
      <c r="L71" s="130"/>
      <c r="M71" s="125"/>
      <c r="N71" s="125"/>
      <c r="O71" s="126"/>
      <c r="P71" s="126"/>
      <c r="Q71" s="126"/>
      <c r="R71" s="127"/>
      <c r="S71" s="127"/>
      <c r="T71" s="127"/>
      <c r="U71" s="128">
        <f>+E71/$K$3</f>
        <v>18382.035416666666</v>
      </c>
      <c r="V71" s="128"/>
      <c r="W71" s="128"/>
    </row>
    <row r="72" spans="1:23" ht="12" customHeight="1">
      <c r="A72" s="217">
        <v>45559</v>
      </c>
      <c r="B72" s="204">
        <v>217</v>
      </c>
      <c r="C72" s="218" t="s">
        <v>366</v>
      </c>
      <c r="D72" s="206" t="s">
        <v>392</v>
      </c>
      <c r="E72" s="205">
        <v>78193589</v>
      </c>
      <c r="F72" s="254">
        <v>14856782</v>
      </c>
      <c r="G72" s="219"/>
      <c r="H72" s="230"/>
      <c r="I72" s="253">
        <f>SUM(E72:F72)</f>
        <v>93050371</v>
      </c>
      <c r="J72" s="220">
        <v>45646</v>
      </c>
      <c r="K72" s="129"/>
      <c r="L72" s="130"/>
      <c r="M72" s="125"/>
      <c r="N72" s="125"/>
      <c r="O72" s="126"/>
      <c r="P72" s="126"/>
      <c r="Q72" s="126"/>
      <c r="R72" s="127"/>
      <c r="S72" s="127"/>
      <c r="T72" s="127"/>
      <c r="U72" s="128"/>
      <c r="V72" s="128"/>
      <c r="W72" s="128">
        <f>+E72/$K$3</f>
        <v>81451.655208333337</v>
      </c>
    </row>
    <row r="73" spans="1:23" ht="12" customHeight="1">
      <c r="A73" s="131">
        <v>45561</v>
      </c>
      <c r="B73" s="132">
        <v>218</v>
      </c>
      <c r="C73" s="133" t="s">
        <v>185</v>
      </c>
      <c r="D73" s="122" t="s">
        <v>381</v>
      </c>
      <c r="E73" s="122">
        <v>13210294</v>
      </c>
      <c r="F73" s="122">
        <v>2509956</v>
      </c>
      <c r="G73" s="134"/>
      <c r="H73" s="168"/>
      <c r="I73" s="168">
        <v>15720250</v>
      </c>
      <c r="J73" s="125">
        <v>45590</v>
      </c>
      <c r="K73" s="129"/>
      <c r="L73" s="130"/>
      <c r="M73" s="125"/>
      <c r="N73" s="125"/>
      <c r="O73" s="126"/>
      <c r="P73" s="126"/>
      <c r="Q73" s="126"/>
      <c r="R73" s="127"/>
      <c r="S73" s="127"/>
      <c r="T73" s="127"/>
      <c r="U73" s="128">
        <f t="shared" ref="U73:U79" si="5">+E73/$K$3</f>
        <v>13760.722916666668</v>
      </c>
      <c r="V73" s="128"/>
      <c r="W73" s="128"/>
    </row>
    <row r="74" spans="1:23" ht="12" customHeight="1">
      <c r="A74" s="131">
        <v>45562</v>
      </c>
      <c r="B74" s="132">
        <v>219</v>
      </c>
      <c r="C74" s="133" t="s">
        <v>264</v>
      </c>
      <c r="D74" s="122" t="s">
        <v>380</v>
      </c>
      <c r="E74" s="122">
        <v>64649301</v>
      </c>
      <c r="F74" s="122">
        <v>12283367</v>
      </c>
      <c r="G74" s="134"/>
      <c r="H74" s="168"/>
      <c r="I74" s="168">
        <f>SUM(E74:F74)</f>
        <v>76932668</v>
      </c>
      <c r="J74" s="125">
        <v>45575</v>
      </c>
      <c r="K74" s="129"/>
      <c r="L74" s="130"/>
      <c r="M74" s="125"/>
      <c r="N74" s="125"/>
      <c r="O74" s="126"/>
      <c r="P74" s="126"/>
      <c r="Q74" s="126"/>
      <c r="R74" s="127"/>
      <c r="S74" s="127"/>
      <c r="T74" s="127"/>
      <c r="U74" s="128">
        <f t="shared" si="5"/>
        <v>67343.021875000006</v>
      </c>
      <c r="V74" s="128"/>
      <c r="W74" s="128"/>
    </row>
    <row r="75" spans="1:23" ht="12" customHeight="1">
      <c r="A75" s="131">
        <v>45575</v>
      </c>
      <c r="B75" s="132">
        <v>220</v>
      </c>
      <c r="C75" s="133" t="s">
        <v>174</v>
      </c>
      <c r="D75" s="122" t="s">
        <v>384</v>
      </c>
      <c r="E75" s="122">
        <v>31682399</v>
      </c>
      <c r="F75" s="122">
        <v>6019656</v>
      </c>
      <c r="G75" s="134"/>
      <c r="H75" s="168"/>
      <c r="I75" s="168">
        <f>SUM(E75:F75)</f>
        <v>37702055</v>
      </c>
      <c r="J75" s="125">
        <v>45583</v>
      </c>
      <c r="K75" s="213"/>
      <c r="L75" s="130"/>
      <c r="M75" s="125"/>
      <c r="N75" s="125"/>
      <c r="O75" s="126"/>
      <c r="P75" s="126"/>
      <c r="Q75" s="126"/>
      <c r="R75" s="127"/>
      <c r="S75" s="127"/>
      <c r="T75" s="127"/>
      <c r="U75" s="128">
        <f t="shared" si="5"/>
        <v>33002.49895833333</v>
      </c>
      <c r="V75" s="128"/>
      <c r="W75" s="128"/>
    </row>
    <row r="76" spans="1:23" ht="12" customHeight="1">
      <c r="A76" s="131">
        <v>45575</v>
      </c>
      <c r="B76" s="132">
        <v>222</v>
      </c>
      <c r="C76" s="133" t="s">
        <v>174</v>
      </c>
      <c r="D76" s="122" t="s">
        <v>383</v>
      </c>
      <c r="E76" s="122">
        <v>16139453</v>
      </c>
      <c r="F76" s="122">
        <v>3066496</v>
      </c>
      <c r="G76" s="134"/>
      <c r="H76" s="168"/>
      <c r="I76" s="168">
        <f>SUM(E76:F76)</f>
        <v>19205949</v>
      </c>
      <c r="J76" s="125">
        <v>45583</v>
      </c>
      <c r="K76" s="129"/>
      <c r="L76" s="130"/>
      <c r="M76" s="125"/>
      <c r="N76" s="125"/>
      <c r="O76" s="126"/>
      <c r="P76" s="126"/>
      <c r="Q76" s="126"/>
      <c r="R76" s="127"/>
      <c r="S76" s="127"/>
      <c r="T76" s="127"/>
      <c r="U76" s="128">
        <f t="shared" si="5"/>
        <v>16811.930208333335</v>
      </c>
      <c r="V76" s="128"/>
      <c r="W76" s="128"/>
    </row>
    <row r="77" spans="1:23" ht="12" customHeight="1">
      <c r="A77" s="131">
        <v>45575</v>
      </c>
      <c r="B77" s="132">
        <v>223</v>
      </c>
      <c r="C77" s="133" t="s">
        <v>177</v>
      </c>
      <c r="D77" s="120" t="s">
        <v>382</v>
      </c>
      <c r="E77" s="122">
        <v>17305771</v>
      </c>
      <c r="F77" s="122">
        <v>3461154</v>
      </c>
      <c r="G77" s="134">
        <v>910830</v>
      </c>
      <c r="H77" s="168"/>
      <c r="I77" s="168">
        <f>SUM(E77:F77)</f>
        <v>20766925</v>
      </c>
      <c r="J77" s="125">
        <v>45583</v>
      </c>
      <c r="K77" s="129"/>
      <c r="L77" s="130"/>
      <c r="M77" s="125"/>
      <c r="N77" s="125"/>
      <c r="O77" s="126"/>
      <c r="P77" s="126"/>
      <c r="Q77" s="126"/>
      <c r="R77" s="127"/>
      <c r="S77" s="127"/>
      <c r="T77" s="127"/>
      <c r="U77" s="128">
        <f t="shared" si="5"/>
        <v>18026.844791666666</v>
      </c>
      <c r="V77" s="128"/>
      <c r="W77" s="128"/>
    </row>
    <row r="78" spans="1:23" ht="12" customHeight="1">
      <c r="A78" s="131">
        <v>45579</v>
      </c>
      <c r="B78" s="132">
        <v>224</v>
      </c>
      <c r="C78" s="133" t="s">
        <v>305</v>
      </c>
      <c r="D78" s="120" t="s">
        <v>393</v>
      </c>
      <c r="E78" s="122">
        <v>13011283</v>
      </c>
      <c r="F78" s="122">
        <v>2472144</v>
      </c>
      <c r="G78" s="134"/>
      <c r="H78" s="168"/>
      <c r="I78" s="168">
        <f>SUM(E78:F78)</f>
        <v>15483427</v>
      </c>
      <c r="J78" s="125">
        <v>45586</v>
      </c>
      <c r="K78" s="129"/>
      <c r="L78" s="130"/>
      <c r="M78" s="125"/>
      <c r="N78" s="125"/>
      <c r="O78" s="126"/>
      <c r="P78" s="126"/>
      <c r="Q78" s="126"/>
      <c r="R78" s="127"/>
      <c r="S78" s="127"/>
      <c r="T78" s="127"/>
      <c r="U78" s="128">
        <f t="shared" si="5"/>
        <v>13553.419791666667</v>
      </c>
      <c r="V78" s="128"/>
      <c r="W78" s="128"/>
    </row>
    <row r="79" spans="1:23" ht="12" customHeight="1">
      <c r="A79" s="131">
        <v>45579</v>
      </c>
      <c r="B79" s="132">
        <v>225</v>
      </c>
      <c r="C79" s="133" t="s">
        <v>174</v>
      </c>
      <c r="D79" s="120" t="s">
        <v>394</v>
      </c>
      <c r="E79" s="122">
        <v>18539921</v>
      </c>
      <c r="F79" s="122">
        <v>3522585</v>
      </c>
      <c r="G79" s="134"/>
      <c r="H79" s="168"/>
      <c r="I79" s="168">
        <v>22062506</v>
      </c>
      <c r="J79" s="125">
        <v>45583</v>
      </c>
      <c r="K79" s="129"/>
      <c r="L79" s="130"/>
      <c r="M79" s="125"/>
      <c r="N79" s="125"/>
      <c r="O79" s="126"/>
      <c r="P79" s="126"/>
      <c r="Q79" s="126"/>
      <c r="R79" s="127"/>
      <c r="S79" s="127"/>
      <c r="T79" s="127"/>
      <c r="U79" s="128">
        <f t="shared" si="5"/>
        <v>19312.417708333334</v>
      </c>
      <c r="V79" s="128"/>
      <c r="W79" s="128"/>
    </row>
    <row r="80" spans="1:23" ht="12" customHeight="1">
      <c r="A80" s="131">
        <v>45586</v>
      </c>
      <c r="B80" s="132">
        <v>226</v>
      </c>
      <c r="C80" s="133" t="s">
        <v>282</v>
      </c>
      <c r="D80" s="119" t="s">
        <v>395</v>
      </c>
      <c r="E80" s="133">
        <v>57809235</v>
      </c>
      <c r="F80" s="133">
        <v>10983755</v>
      </c>
      <c r="G80" s="142"/>
      <c r="H80" s="167"/>
      <c r="I80" s="167">
        <f>SUM(E80:F80)</f>
        <v>68792990</v>
      </c>
      <c r="J80" s="136">
        <v>45611</v>
      </c>
      <c r="L80" s="130"/>
      <c r="M80" s="125"/>
      <c r="N80" s="125"/>
      <c r="O80" s="126"/>
      <c r="P80" s="126"/>
      <c r="Q80" s="126"/>
      <c r="R80" s="127"/>
      <c r="S80" s="127"/>
      <c r="T80" s="127"/>
      <c r="U80" s="128"/>
      <c r="V80" s="128">
        <f>+E80/$K$3</f>
        <v>60217.953125</v>
      </c>
      <c r="W80" s="128"/>
    </row>
    <row r="81" spans="1:23" ht="12" customHeight="1">
      <c r="A81" s="131">
        <v>45588</v>
      </c>
      <c r="B81" s="132">
        <v>227</v>
      </c>
      <c r="C81" s="133" t="s">
        <v>264</v>
      </c>
      <c r="D81" s="122" t="s">
        <v>396</v>
      </c>
      <c r="E81" s="133">
        <v>68100240</v>
      </c>
      <c r="F81" s="133">
        <v>12939046</v>
      </c>
      <c r="G81" s="142"/>
      <c r="H81" s="167"/>
      <c r="I81" s="167">
        <f>SUM(E81:F81)</f>
        <v>81039286</v>
      </c>
      <c r="J81" s="136">
        <v>45611</v>
      </c>
      <c r="K81" s="129"/>
      <c r="L81" s="130"/>
      <c r="M81" s="125"/>
      <c r="N81" s="125"/>
      <c r="O81" s="126"/>
      <c r="P81" s="126"/>
      <c r="Q81" s="126"/>
      <c r="R81" s="127"/>
      <c r="S81" s="127"/>
      <c r="T81" s="127"/>
      <c r="U81" s="128"/>
      <c r="V81" s="128">
        <f>+E81/$K$3</f>
        <v>70937.75</v>
      </c>
      <c r="W81" s="128"/>
    </row>
    <row r="82" spans="1:23" ht="12" customHeight="1">
      <c r="A82" s="131">
        <v>45588</v>
      </c>
      <c r="B82" s="132">
        <v>228</v>
      </c>
      <c r="C82" s="133" t="s">
        <v>177</v>
      </c>
      <c r="D82" s="120" t="s">
        <v>406</v>
      </c>
      <c r="E82" s="133">
        <v>101801324</v>
      </c>
      <c r="F82" s="133">
        <v>19342252</v>
      </c>
      <c r="G82" s="142"/>
      <c r="H82" s="167"/>
      <c r="I82" s="167">
        <v>121143576</v>
      </c>
      <c r="J82" s="136">
        <v>45618</v>
      </c>
      <c r="K82" s="129"/>
      <c r="L82" s="130"/>
      <c r="M82" s="125"/>
      <c r="N82" s="125"/>
      <c r="O82" s="126"/>
      <c r="P82" s="126"/>
      <c r="Q82" s="126"/>
      <c r="R82" s="127"/>
      <c r="S82" s="127"/>
      <c r="T82" s="127"/>
      <c r="U82" s="128"/>
      <c r="V82" s="128">
        <f>+E82/$K$3</f>
        <v>106043.04583333334</v>
      </c>
      <c r="W82" s="128"/>
    </row>
    <row r="83" spans="1:23" ht="12" customHeight="1">
      <c r="A83" s="243">
        <v>45588</v>
      </c>
      <c r="B83" s="244">
        <v>230</v>
      </c>
      <c r="C83" s="245" t="s">
        <v>177</v>
      </c>
      <c r="D83" s="258" t="s">
        <v>397</v>
      </c>
      <c r="E83" s="245">
        <v>26702962</v>
      </c>
      <c r="F83" s="245">
        <v>5073563</v>
      </c>
      <c r="G83" s="251"/>
      <c r="H83" s="252"/>
      <c r="I83" s="252">
        <f>SUM(E83:F83)</f>
        <v>31776525</v>
      </c>
      <c r="J83" s="250">
        <v>45665</v>
      </c>
      <c r="K83" s="129"/>
      <c r="L83" s="231"/>
      <c r="M83" s="232"/>
      <c r="N83" s="232"/>
      <c r="O83" s="233"/>
      <c r="P83" s="233"/>
      <c r="Q83" s="233"/>
      <c r="R83" s="234"/>
      <c r="S83" s="234"/>
      <c r="T83" s="234"/>
      <c r="U83" s="235"/>
      <c r="V83" s="235"/>
      <c r="W83" s="235"/>
    </row>
    <row r="84" spans="1:23" ht="11.25" customHeight="1">
      <c r="A84" s="243">
        <v>45588</v>
      </c>
      <c r="B84" s="244">
        <v>231</v>
      </c>
      <c r="C84" s="245" t="s">
        <v>177</v>
      </c>
      <c r="D84" s="245" t="s">
        <v>398</v>
      </c>
      <c r="E84" s="245">
        <v>57155423</v>
      </c>
      <c r="F84" s="245">
        <v>10859530</v>
      </c>
      <c r="G84" s="251"/>
      <c r="H84" s="252"/>
      <c r="I84" s="252">
        <f>SUM(E84:F84)</f>
        <v>68014953</v>
      </c>
      <c r="J84" s="250">
        <v>45665</v>
      </c>
      <c r="K84" s="129"/>
      <c r="L84" s="231"/>
      <c r="M84" s="232"/>
      <c r="N84" s="232"/>
      <c r="O84" s="233"/>
      <c r="P84" s="233"/>
      <c r="Q84" s="233"/>
      <c r="R84" s="234"/>
      <c r="S84" s="234"/>
      <c r="T84" s="234"/>
      <c r="U84" s="235"/>
      <c r="V84" s="235"/>
      <c r="W84" s="235"/>
    </row>
    <row r="85" spans="1:23" ht="11.25" customHeight="1">
      <c r="A85" s="131">
        <v>45589</v>
      </c>
      <c r="B85" s="132">
        <v>232</v>
      </c>
      <c r="C85" s="133" t="s">
        <v>401</v>
      </c>
      <c r="D85" s="122" t="s">
        <v>417</v>
      </c>
      <c r="E85" s="133">
        <v>19434948</v>
      </c>
      <c r="F85" s="133">
        <v>3692640</v>
      </c>
      <c r="G85" s="142"/>
      <c r="H85" s="167"/>
      <c r="I85" s="167">
        <v>23127588</v>
      </c>
      <c r="J85" s="136">
        <v>45618</v>
      </c>
      <c r="K85" s="161" t="s">
        <v>203</v>
      </c>
      <c r="L85" s="130"/>
      <c r="M85" s="125"/>
      <c r="N85" s="125"/>
      <c r="O85" s="126"/>
      <c r="P85" s="126"/>
      <c r="Q85" s="126"/>
      <c r="R85" s="127"/>
      <c r="S85" s="127"/>
      <c r="T85" s="127"/>
      <c r="U85" s="128"/>
      <c r="V85" s="128">
        <f>+E85/$K$3</f>
        <v>20244.737499999999</v>
      </c>
      <c r="W85" s="128"/>
    </row>
    <row r="86" spans="1:23" ht="12" customHeight="1">
      <c r="A86" s="131">
        <v>45604</v>
      </c>
      <c r="B86" s="132">
        <v>233</v>
      </c>
      <c r="C86" s="133" t="s">
        <v>177</v>
      </c>
      <c r="D86" s="120" t="s">
        <v>405</v>
      </c>
      <c r="E86" s="133">
        <v>22695678</v>
      </c>
      <c r="F86" s="133">
        <v>4539136</v>
      </c>
      <c r="G86" s="142">
        <v>1194509.3500000001</v>
      </c>
      <c r="H86" s="167"/>
      <c r="I86" s="167">
        <v>27234814</v>
      </c>
      <c r="J86" s="136">
        <v>45616</v>
      </c>
      <c r="K86" s="129"/>
      <c r="L86" s="130"/>
      <c r="M86" s="125"/>
      <c r="N86" s="125"/>
      <c r="O86" s="126"/>
      <c r="P86" s="126"/>
      <c r="Q86" s="126"/>
      <c r="R86" s="127"/>
      <c r="S86" s="127"/>
      <c r="T86" s="127"/>
      <c r="U86" s="128"/>
      <c r="V86" s="128">
        <f>+E86/$K$3</f>
        <v>23641.331249999999</v>
      </c>
      <c r="W86" s="128"/>
    </row>
    <row r="87" spans="1:23" ht="11.25" customHeight="1">
      <c r="A87" s="131">
        <v>45604</v>
      </c>
      <c r="B87" s="132">
        <v>234</v>
      </c>
      <c r="C87" s="133" t="s">
        <v>177</v>
      </c>
      <c r="D87" s="120" t="s">
        <v>402</v>
      </c>
      <c r="E87" s="133">
        <v>8652502</v>
      </c>
      <c r="F87" s="133">
        <v>1730500</v>
      </c>
      <c r="G87" s="142">
        <v>455394.85000000003</v>
      </c>
      <c r="H87" s="167"/>
      <c r="I87" s="167">
        <v>10383002</v>
      </c>
      <c r="J87" s="136">
        <v>45616</v>
      </c>
      <c r="K87" s="129"/>
      <c r="L87" s="137"/>
      <c r="M87" s="136"/>
      <c r="N87" s="136"/>
      <c r="O87" s="199"/>
      <c r="P87" s="199"/>
      <c r="Q87" s="199"/>
      <c r="R87" s="200"/>
      <c r="S87" s="200"/>
      <c r="T87" s="200"/>
      <c r="U87" s="128"/>
      <c r="V87" s="128">
        <f>+E87/$K$3</f>
        <v>9013.0229166666668</v>
      </c>
      <c r="W87" s="201"/>
    </row>
    <row r="88" spans="1:23" ht="12" customHeight="1">
      <c r="A88" s="221">
        <v>45615</v>
      </c>
      <c r="B88" s="222">
        <v>235</v>
      </c>
      <c r="C88" s="223" t="s">
        <v>350</v>
      </c>
      <c r="D88" s="228" t="s">
        <v>403</v>
      </c>
      <c r="E88" s="223">
        <v>36339582</v>
      </c>
      <c r="F88" s="223">
        <v>6904521</v>
      </c>
      <c r="G88" s="224"/>
      <c r="H88" s="225">
        <f>SUM(E88:F88)</f>
        <v>43244103</v>
      </c>
      <c r="I88" s="229"/>
      <c r="J88" s="226"/>
      <c r="K88" s="227">
        <v>45678</v>
      </c>
      <c r="L88" s="231"/>
      <c r="M88" s="232"/>
      <c r="N88" s="232"/>
      <c r="O88" s="233"/>
      <c r="P88" s="233"/>
      <c r="Q88" s="233"/>
      <c r="R88" s="234"/>
      <c r="S88" s="234"/>
      <c r="T88" s="234"/>
      <c r="U88" s="235"/>
      <c r="V88" s="235"/>
      <c r="W88" s="235"/>
    </row>
    <row r="89" spans="1:23" ht="12.75" customHeight="1">
      <c r="A89" s="221">
        <v>45615</v>
      </c>
      <c r="B89" s="222">
        <v>236</v>
      </c>
      <c r="C89" s="223" t="s">
        <v>350</v>
      </c>
      <c r="D89" s="228" t="s">
        <v>404</v>
      </c>
      <c r="E89" s="223">
        <v>12498728</v>
      </c>
      <c r="F89" s="223">
        <v>2374758</v>
      </c>
      <c r="G89" s="224"/>
      <c r="H89" s="225">
        <f>SUM(E89:F89)</f>
        <v>14873486</v>
      </c>
      <c r="I89" s="229"/>
      <c r="J89" s="226"/>
      <c r="K89" s="227">
        <v>45678</v>
      </c>
      <c r="L89" s="236"/>
      <c r="M89" s="237"/>
      <c r="N89" s="237"/>
      <c r="O89" s="238"/>
      <c r="P89" s="238"/>
      <c r="Q89" s="238"/>
      <c r="R89" s="239"/>
      <c r="S89" s="239"/>
      <c r="T89" s="239"/>
      <c r="U89" s="240"/>
      <c r="V89" s="240"/>
      <c r="W89" s="235"/>
    </row>
    <row r="90" spans="1:23" ht="11.25" customHeight="1">
      <c r="A90" s="243">
        <v>45623</v>
      </c>
      <c r="B90" s="244">
        <v>237</v>
      </c>
      <c r="C90" s="245" t="s">
        <v>177</v>
      </c>
      <c r="D90" s="246" t="s">
        <v>407</v>
      </c>
      <c r="E90" s="324">
        <v>82670896</v>
      </c>
      <c r="F90" s="324">
        <v>15707470</v>
      </c>
      <c r="G90" s="325"/>
      <c r="H90" s="326"/>
      <c r="I90" s="326">
        <f>+E90+F90</f>
        <v>98378366</v>
      </c>
      <c r="J90" s="327">
        <v>45660</v>
      </c>
      <c r="K90" s="129"/>
      <c r="L90" s="236"/>
      <c r="M90" s="237"/>
      <c r="N90" s="237"/>
      <c r="O90" s="238"/>
      <c r="P90" s="238"/>
      <c r="Q90" s="238"/>
      <c r="R90" s="239"/>
      <c r="S90" s="239"/>
      <c r="T90" s="239"/>
      <c r="U90" s="235"/>
      <c r="V90" s="235"/>
      <c r="W90" s="235"/>
    </row>
    <row r="91" spans="1:23" ht="12.75" customHeight="1">
      <c r="A91" s="131">
        <v>45623</v>
      </c>
      <c r="B91" s="132">
        <v>239</v>
      </c>
      <c r="C91" s="133" t="s">
        <v>305</v>
      </c>
      <c r="D91" s="120" t="s">
        <v>408</v>
      </c>
      <c r="E91" s="133">
        <v>7491386</v>
      </c>
      <c r="F91" s="133">
        <v>1423363</v>
      </c>
      <c r="G91" s="142"/>
      <c r="H91" s="167"/>
      <c r="I91" s="167">
        <f>SUM(E91:F91)</f>
        <v>8914749</v>
      </c>
      <c r="J91" s="136">
        <v>45630</v>
      </c>
      <c r="K91" s="129"/>
      <c r="L91" s="137"/>
      <c r="M91" s="136"/>
      <c r="N91" s="136"/>
      <c r="O91" s="199"/>
      <c r="P91" s="199"/>
      <c r="Q91" s="199"/>
      <c r="R91" s="200"/>
      <c r="S91" s="200"/>
      <c r="T91" s="200"/>
      <c r="U91" s="201"/>
      <c r="V91" s="201"/>
      <c r="W91" s="128">
        <f>+E91/$K$3</f>
        <v>7803.5270833333334</v>
      </c>
    </row>
    <row r="92" spans="1:23" ht="12.75" customHeight="1">
      <c r="A92" s="131">
        <v>45624</v>
      </c>
      <c r="B92" s="132">
        <v>240</v>
      </c>
      <c r="C92" s="133" t="s">
        <v>401</v>
      </c>
      <c r="D92" s="122" t="s">
        <v>411</v>
      </c>
      <c r="E92" s="133">
        <v>16156764</v>
      </c>
      <c r="F92" s="133">
        <v>3069785</v>
      </c>
      <c r="G92" s="142"/>
      <c r="H92" s="167"/>
      <c r="I92" s="167">
        <f>SUM(E92:F92)</f>
        <v>19226549</v>
      </c>
      <c r="J92" s="136">
        <v>45656</v>
      </c>
      <c r="K92" s="129"/>
      <c r="L92" s="236"/>
      <c r="M92" s="237"/>
      <c r="N92" s="237"/>
      <c r="O92" s="238"/>
      <c r="P92" s="238"/>
      <c r="Q92" s="238"/>
      <c r="R92" s="239"/>
      <c r="S92" s="239"/>
      <c r="T92" s="239"/>
      <c r="U92" s="240"/>
      <c r="V92" s="240"/>
      <c r="W92" s="235"/>
    </row>
    <row r="93" spans="1:23" ht="12.75" customHeight="1">
      <c r="A93" s="131">
        <v>45624</v>
      </c>
      <c r="B93" s="132">
        <v>241</v>
      </c>
      <c r="C93" s="133" t="s">
        <v>185</v>
      </c>
      <c r="D93" s="120" t="s">
        <v>412</v>
      </c>
      <c r="E93" s="133">
        <v>37137421</v>
      </c>
      <c r="F93" s="133">
        <v>7056110</v>
      </c>
      <c r="G93" s="142"/>
      <c r="H93" s="167"/>
      <c r="I93" s="167">
        <f>SUM(E93:F93)</f>
        <v>44193531</v>
      </c>
      <c r="J93" s="136">
        <v>45652</v>
      </c>
      <c r="K93" s="129"/>
      <c r="L93" s="137"/>
      <c r="M93" s="136"/>
      <c r="N93" s="136"/>
      <c r="O93" s="199"/>
      <c r="P93" s="199"/>
      <c r="Q93" s="199"/>
      <c r="R93" s="200"/>
      <c r="S93" s="200"/>
      <c r="T93" s="200"/>
      <c r="U93" s="201"/>
      <c r="V93" s="201"/>
      <c r="W93" s="128">
        <f>+E93/$K$3</f>
        <v>38684.81354166667</v>
      </c>
    </row>
    <row r="94" spans="1:23" ht="12.75" customHeight="1">
      <c r="A94" s="131">
        <v>45624</v>
      </c>
      <c r="B94" s="132">
        <v>242</v>
      </c>
      <c r="C94" s="133" t="s">
        <v>185</v>
      </c>
      <c r="D94" s="120" t="s">
        <v>413</v>
      </c>
      <c r="E94" s="133">
        <v>33504367</v>
      </c>
      <c r="F94" s="133">
        <v>6365830</v>
      </c>
      <c r="G94" s="142"/>
      <c r="H94" s="167"/>
      <c r="I94" s="167">
        <f>SUM(E94:F94)</f>
        <v>39870197</v>
      </c>
      <c r="J94" s="136">
        <v>45652</v>
      </c>
      <c r="K94" s="129"/>
      <c r="L94" s="137"/>
      <c r="M94" s="136"/>
      <c r="N94" s="136"/>
      <c r="O94" s="199"/>
      <c r="P94" s="199"/>
      <c r="Q94" s="199"/>
      <c r="R94" s="200"/>
      <c r="S94" s="200"/>
      <c r="T94" s="200"/>
      <c r="U94" s="201"/>
      <c r="V94" s="201"/>
      <c r="W94" s="128">
        <f>+E94/$K$3</f>
        <v>34900.382291666669</v>
      </c>
    </row>
    <row r="95" spans="1:23" ht="12.75" customHeight="1">
      <c r="A95" s="1520">
        <v>45631</v>
      </c>
      <c r="B95" s="1521">
        <v>243</v>
      </c>
      <c r="C95" s="1522" t="s">
        <v>177</v>
      </c>
      <c r="D95" s="1523" t="s">
        <v>414</v>
      </c>
      <c r="E95" s="1522">
        <v>20258283</v>
      </c>
      <c r="F95" s="1522">
        <v>4051657</v>
      </c>
      <c r="G95" s="1524">
        <v>1066225</v>
      </c>
      <c r="H95" s="1525"/>
      <c r="I95" s="1525">
        <f>SUM(E95:F95)</f>
        <v>24309940</v>
      </c>
      <c r="J95" s="1526">
        <v>45644</v>
      </c>
      <c r="K95" s="129"/>
      <c r="L95" s="137"/>
      <c r="M95" s="136"/>
      <c r="N95" s="136"/>
      <c r="O95" s="199"/>
      <c r="P95" s="199"/>
      <c r="Q95" s="199"/>
      <c r="R95" s="200"/>
      <c r="S95" s="200"/>
      <c r="T95" s="200"/>
      <c r="U95" s="201"/>
      <c r="V95" s="201"/>
      <c r="W95" s="128">
        <f>+E95/$K$3</f>
        <v>21102.378124999999</v>
      </c>
    </row>
    <row r="96" spans="1:23" ht="12.75" customHeight="1">
      <c r="A96" s="131">
        <v>45645</v>
      </c>
      <c r="B96" s="132">
        <v>244</v>
      </c>
      <c r="C96" s="133" t="s">
        <v>174</v>
      </c>
      <c r="D96" s="122" t="s">
        <v>419</v>
      </c>
      <c r="E96" s="133">
        <v>11587496</v>
      </c>
      <c r="F96" s="133">
        <v>2201624</v>
      </c>
      <c r="G96" s="142"/>
      <c r="H96" s="167"/>
      <c r="I96" s="167">
        <f>+E96+F96</f>
        <v>13789120</v>
      </c>
      <c r="J96" s="136">
        <v>45653</v>
      </c>
      <c r="K96" s="129"/>
      <c r="L96" s="137"/>
      <c r="M96" s="136"/>
      <c r="N96" s="136"/>
      <c r="O96" s="199"/>
      <c r="P96" s="199"/>
      <c r="Q96" s="199"/>
      <c r="R96" s="200"/>
      <c r="S96" s="200"/>
      <c r="T96" s="200"/>
      <c r="U96" s="201"/>
      <c r="V96" s="201"/>
      <c r="W96" s="128">
        <f>+E96/$K$3</f>
        <v>12070.308333333332</v>
      </c>
    </row>
    <row r="97" spans="1:23" ht="12.75" customHeight="1">
      <c r="A97" s="280">
        <v>45650</v>
      </c>
      <c r="B97" s="281">
        <v>245</v>
      </c>
      <c r="C97" s="282" t="s">
        <v>177</v>
      </c>
      <c r="D97" s="283" t="s">
        <v>429</v>
      </c>
      <c r="E97" s="282">
        <v>80377561</v>
      </c>
      <c r="F97" s="282">
        <v>15271737</v>
      </c>
      <c r="G97" s="284"/>
      <c r="H97" s="285">
        <f>+E97+F97</f>
        <v>95649298</v>
      </c>
      <c r="I97" s="285"/>
      <c r="J97" s="237"/>
      <c r="K97" s="129"/>
      <c r="L97" s="236"/>
      <c r="M97" s="237"/>
      <c r="N97" s="237"/>
      <c r="O97" s="238"/>
      <c r="P97" s="238"/>
      <c r="Q97" s="238"/>
      <c r="R97" s="239"/>
      <c r="S97" s="239"/>
      <c r="T97" s="239"/>
      <c r="U97" s="240"/>
      <c r="V97" s="241"/>
      <c r="W97" s="242"/>
    </row>
    <row r="98" spans="1:23" ht="12.75" customHeight="1">
      <c r="A98" s="221">
        <v>45653</v>
      </c>
      <c r="B98" s="222">
        <v>246</v>
      </c>
      <c r="C98" s="223" t="s">
        <v>430</v>
      </c>
      <c r="D98" s="228" t="s">
        <v>462</v>
      </c>
      <c r="E98" s="247">
        <v>44683215</v>
      </c>
      <c r="F98" s="247">
        <v>8489811</v>
      </c>
      <c r="G98" s="248"/>
      <c r="H98" s="249"/>
      <c r="I98" s="249">
        <v>53173026</v>
      </c>
      <c r="J98" s="250">
        <v>45663</v>
      </c>
      <c r="K98" s="129"/>
      <c r="L98" s="236"/>
      <c r="M98" s="237"/>
      <c r="N98" s="237"/>
      <c r="O98" s="238"/>
      <c r="P98" s="238"/>
      <c r="Q98" s="238"/>
      <c r="R98" s="239"/>
      <c r="S98" s="239"/>
      <c r="T98" s="239"/>
      <c r="U98" s="240"/>
      <c r="V98" s="241"/>
      <c r="W98" s="242"/>
    </row>
    <row r="99" spans="1:23" ht="12.75" customHeight="1">
      <c r="A99" s="280">
        <v>45653</v>
      </c>
      <c r="B99" s="281">
        <v>247</v>
      </c>
      <c r="C99" s="282" t="s">
        <v>431</v>
      </c>
      <c r="D99" s="283" t="s">
        <v>432</v>
      </c>
      <c r="E99" s="282">
        <v>31007618</v>
      </c>
      <c r="F99" s="282">
        <v>5891447</v>
      </c>
      <c r="G99" s="284"/>
      <c r="H99" s="285">
        <v>36899065</v>
      </c>
      <c r="I99" s="285"/>
      <c r="J99" s="286"/>
      <c r="K99" s="129"/>
      <c r="L99" s="236"/>
      <c r="M99" s="237"/>
      <c r="N99" s="237"/>
      <c r="O99" s="238"/>
      <c r="P99" s="238"/>
      <c r="Q99" s="238"/>
      <c r="R99" s="239"/>
      <c r="S99" s="239"/>
      <c r="T99" s="239"/>
      <c r="U99" s="240"/>
      <c r="V99" s="241"/>
      <c r="W99" s="242"/>
    </row>
    <row r="100" spans="1:23" ht="12.75" customHeight="1">
      <c r="A100" s="280">
        <v>45653</v>
      </c>
      <c r="B100" s="281">
        <v>248</v>
      </c>
      <c r="C100" s="282" t="s">
        <v>431</v>
      </c>
      <c r="D100" s="316" t="s">
        <v>433</v>
      </c>
      <c r="E100" s="282">
        <v>127765165</v>
      </c>
      <c r="F100" s="282">
        <v>24275381</v>
      </c>
      <c r="G100" s="284"/>
      <c r="H100" s="285">
        <v>152040546</v>
      </c>
      <c r="I100" s="285"/>
      <c r="J100" s="237"/>
      <c r="K100" s="129"/>
      <c r="L100" s="231"/>
      <c r="M100" s="232"/>
      <c r="N100" s="232"/>
      <c r="O100" s="233"/>
      <c r="P100" s="233"/>
      <c r="Q100" s="233"/>
      <c r="R100" s="234"/>
      <c r="S100" s="234"/>
      <c r="T100" s="234"/>
      <c r="U100" s="235"/>
      <c r="V100" s="259"/>
      <c r="W100" s="260"/>
    </row>
    <row r="101" spans="1:23" ht="12" thickBot="1">
      <c r="D101" s="261" t="s">
        <v>212</v>
      </c>
      <c r="E101" s="210">
        <f>SUM(E11:E100)</f>
        <v>3453253042.8000002</v>
      </c>
      <c r="F101" s="210">
        <f>SUM(F11:F100)</f>
        <v>653154016.55999994</v>
      </c>
      <c r="G101" s="210">
        <f>SUM(G11:G100)</f>
        <v>23531652.350000005</v>
      </c>
      <c r="H101" s="210">
        <f>SUM(H11:H100)</f>
        <v>342706498</v>
      </c>
      <c r="I101" s="210">
        <f>SUM(I11:I100)</f>
        <v>3763700561.3599997</v>
      </c>
      <c r="J101" s="211"/>
      <c r="K101" s="108"/>
      <c r="L101" s="212">
        <f>SUM(L6:L97)</f>
        <v>395803.62270833337</v>
      </c>
      <c r="M101" s="212">
        <f t="shared" ref="M101:W101" si="6">SUM(M6:M97)</f>
        <v>198220.72812499999</v>
      </c>
      <c r="N101" s="212">
        <f t="shared" si="6"/>
        <v>299845.59166666667</v>
      </c>
      <c r="O101" s="212">
        <f t="shared" si="6"/>
        <v>242992.42812500001</v>
      </c>
      <c r="P101" s="212">
        <f t="shared" si="6"/>
        <v>251130.30208333334</v>
      </c>
      <c r="Q101" s="212">
        <f t="shared" si="6"/>
        <v>88612.927083333314</v>
      </c>
      <c r="R101" s="212">
        <f t="shared" si="6"/>
        <v>199193.64687500003</v>
      </c>
      <c r="S101" s="212">
        <f t="shared" si="6"/>
        <v>187342.55416666664</v>
      </c>
      <c r="T101" s="212">
        <f t="shared" si="6"/>
        <v>418354.73958333337</v>
      </c>
      <c r="U101" s="212">
        <f t="shared" si="6"/>
        <v>452132.26562500006</v>
      </c>
      <c r="V101" s="212">
        <f t="shared" si="6"/>
        <v>350659.53437499999</v>
      </c>
      <c r="W101" s="212">
        <f t="shared" si="6"/>
        <v>196013.06458333333</v>
      </c>
    </row>
    <row r="102" spans="1:23" ht="12" thickBot="1">
      <c r="D102" s="214"/>
      <c r="E102" s="108"/>
      <c r="F102" s="108"/>
      <c r="G102" s="186"/>
      <c r="H102" s="108"/>
      <c r="I102" s="108"/>
      <c r="J102" s="105" t="s">
        <v>337</v>
      </c>
      <c r="K102" s="108"/>
      <c r="L102" s="105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</row>
    <row r="103" spans="1:23" ht="12" thickBot="1">
      <c r="D103" s="116" t="s">
        <v>472</v>
      </c>
      <c r="E103" s="317">
        <f t="shared" ref="E103:J103" si="7">SUM(E101+E10)</f>
        <v>3664447262.8000002</v>
      </c>
      <c r="F103" s="317">
        <f t="shared" si="7"/>
        <v>692674537.55999994</v>
      </c>
      <c r="G103" s="317">
        <f t="shared" si="7"/>
        <v>23531652.350000005</v>
      </c>
      <c r="H103" s="317">
        <f t="shared" si="7"/>
        <v>342706498</v>
      </c>
      <c r="I103" s="317">
        <f t="shared" si="7"/>
        <v>4014415302.3599997</v>
      </c>
      <c r="J103" s="317">
        <f t="shared" si="7"/>
        <v>0</v>
      </c>
      <c r="M103" s="140"/>
      <c r="N103" s="140"/>
      <c r="O103" s="140"/>
      <c r="P103" s="140"/>
      <c r="Q103" s="186"/>
    </row>
    <row r="104" spans="1:23" hidden="1">
      <c r="C104" s="141" t="s">
        <v>213</v>
      </c>
      <c r="F104" s="186"/>
      <c r="H104" s="105"/>
      <c r="J104" s="105"/>
      <c r="K104" s="108"/>
    </row>
    <row r="105" spans="1:23" hidden="1">
      <c r="A105" s="110" t="s">
        <v>214</v>
      </c>
      <c r="B105" s="111" t="s">
        <v>152</v>
      </c>
      <c r="C105" s="111" t="s">
        <v>22</v>
      </c>
      <c r="D105" s="111" t="s">
        <v>153</v>
      </c>
      <c r="E105" s="111"/>
      <c r="F105" s="186"/>
      <c r="G105" s="113"/>
      <c r="H105" s="112"/>
      <c r="I105" s="115"/>
      <c r="J105" s="108"/>
      <c r="K105" s="109"/>
    </row>
    <row r="106" spans="1:23" hidden="1">
      <c r="A106" s="117">
        <v>45289</v>
      </c>
      <c r="B106" s="118">
        <v>131</v>
      </c>
      <c r="C106" s="119" t="s">
        <v>172</v>
      </c>
      <c r="D106" s="120" t="s">
        <v>173</v>
      </c>
      <c r="E106" s="122"/>
      <c r="F106" s="186"/>
      <c r="G106" s="123"/>
      <c r="H106" s="124"/>
      <c r="I106" s="125"/>
      <c r="J106" s="108"/>
    </row>
    <row r="107" spans="1:23" hidden="1">
      <c r="A107" s="117">
        <v>45289</v>
      </c>
      <c r="B107" s="118">
        <v>132</v>
      </c>
      <c r="C107" s="122" t="s">
        <v>174</v>
      </c>
      <c r="D107" s="122" t="s">
        <v>175</v>
      </c>
      <c r="E107" s="122"/>
      <c r="F107" s="186"/>
      <c r="G107" s="123"/>
      <c r="H107" s="124"/>
      <c r="I107" s="125"/>
      <c r="K107" s="109"/>
    </row>
    <row r="108" spans="1:23" hidden="1">
      <c r="A108" s="117">
        <v>45289</v>
      </c>
      <c r="B108" s="118">
        <v>133</v>
      </c>
      <c r="C108" s="122" t="s">
        <v>174</v>
      </c>
      <c r="D108" s="122" t="s">
        <v>176</v>
      </c>
      <c r="E108" s="122"/>
      <c r="F108" s="186"/>
      <c r="G108" s="123"/>
      <c r="H108" s="124"/>
      <c r="I108" s="125"/>
    </row>
    <row r="109" spans="1:23" hidden="1">
      <c r="A109" s="131">
        <v>45296</v>
      </c>
      <c r="B109" s="132">
        <v>136</v>
      </c>
      <c r="C109" s="122" t="s">
        <v>177</v>
      </c>
      <c r="D109" s="120" t="s">
        <v>179</v>
      </c>
      <c r="E109" s="121"/>
      <c r="F109" s="186"/>
      <c r="G109" s="134"/>
      <c r="H109" s="124"/>
      <c r="I109" s="136"/>
    </row>
    <row r="110" spans="1:23" hidden="1">
      <c r="A110" s="131">
        <v>45296</v>
      </c>
      <c r="B110" s="132">
        <v>137</v>
      </c>
      <c r="C110" s="122" t="s">
        <v>177</v>
      </c>
      <c r="D110" s="122" t="s">
        <v>180</v>
      </c>
      <c r="E110" s="121"/>
      <c r="F110" s="186"/>
      <c r="G110" s="134"/>
      <c r="H110" s="124"/>
      <c r="I110" s="136"/>
    </row>
    <row r="111" spans="1:23" hidden="1">
      <c r="A111" s="131">
        <v>45301</v>
      </c>
      <c r="B111" s="132">
        <v>155</v>
      </c>
      <c r="C111" s="133" t="s">
        <v>177</v>
      </c>
      <c r="D111" s="133" t="s">
        <v>188</v>
      </c>
      <c r="E111" s="121"/>
      <c r="F111" s="186"/>
      <c r="G111" s="142"/>
      <c r="H111" s="143"/>
      <c r="I111" s="136"/>
    </row>
    <row r="112" spans="1:23" hidden="1">
      <c r="E112" s="144"/>
      <c r="F112" s="186"/>
      <c r="G112" s="144"/>
      <c r="H112" s="145"/>
      <c r="I112" s="105"/>
      <c r="J112" s="108"/>
    </row>
    <row r="113" spans="1:16" hidden="1">
      <c r="E113" s="108"/>
      <c r="F113" s="186"/>
      <c r="I113" s="105"/>
    </row>
    <row r="114" spans="1:16" hidden="1">
      <c r="C114" s="141" t="s">
        <v>215</v>
      </c>
      <c r="F114" s="186"/>
      <c r="I114" s="105"/>
    </row>
    <row r="115" spans="1:16" hidden="1">
      <c r="A115" s="110" t="s">
        <v>214</v>
      </c>
      <c r="B115" s="111" t="s">
        <v>152</v>
      </c>
      <c r="C115" s="111" t="s">
        <v>22</v>
      </c>
      <c r="D115" s="111" t="s">
        <v>153</v>
      </c>
      <c r="E115" s="111"/>
      <c r="F115" s="186"/>
      <c r="G115" s="113"/>
      <c r="H115" s="112"/>
      <c r="I115" s="115"/>
    </row>
    <row r="116" spans="1:16" hidden="1">
      <c r="A116" s="131">
        <v>45301</v>
      </c>
      <c r="B116" s="132">
        <v>146</v>
      </c>
      <c r="C116" s="122" t="s">
        <v>181</v>
      </c>
      <c r="D116" s="122" t="s">
        <v>182</v>
      </c>
      <c r="E116" s="121"/>
      <c r="F116" s="186"/>
      <c r="G116" s="134"/>
      <c r="H116" s="124"/>
      <c r="I116" s="125"/>
      <c r="K116" s="108"/>
    </row>
    <row r="117" spans="1:16" hidden="1">
      <c r="A117" s="131">
        <v>45301</v>
      </c>
      <c r="B117" s="132">
        <v>147</v>
      </c>
      <c r="C117" s="122" t="s">
        <v>183</v>
      </c>
      <c r="D117" s="122" t="s">
        <v>184</v>
      </c>
      <c r="E117" s="121"/>
      <c r="F117" s="186"/>
      <c r="G117" s="134"/>
      <c r="H117" s="124"/>
      <c r="I117" s="125"/>
      <c r="K117" s="108"/>
    </row>
    <row r="118" spans="1:16" hidden="1">
      <c r="A118" s="131">
        <v>45301</v>
      </c>
      <c r="B118" s="132">
        <v>150</v>
      </c>
      <c r="C118" s="122" t="s">
        <v>185</v>
      </c>
      <c r="D118" s="122" t="s">
        <v>186</v>
      </c>
      <c r="E118" s="121"/>
      <c r="F118" s="186"/>
      <c r="G118" s="134"/>
      <c r="H118" s="124"/>
      <c r="I118" s="136"/>
      <c r="K118" s="108"/>
    </row>
    <row r="119" spans="1:16" hidden="1">
      <c r="A119" s="131">
        <v>45301</v>
      </c>
      <c r="B119" s="132">
        <v>151</v>
      </c>
      <c r="C119" s="122" t="s">
        <v>185</v>
      </c>
      <c r="D119" s="122" t="s">
        <v>187</v>
      </c>
      <c r="E119" s="121"/>
      <c r="F119" s="186"/>
      <c r="G119" s="134"/>
      <c r="H119" s="124"/>
      <c r="I119" s="136"/>
    </row>
    <row r="120" spans="1:16" hidden="1">
      <c r="A120" s="131">
        <v>45308</v>
      </c>
      <c r="B120" s="132">
        <v>157</v>
      </c>
      <c r="C120" s="119" t="s">
        <v>189</v>
      </c>
      <c r="D120" s="119" t="s">
        <v>190</v>
      </c>
      <c r="E120" s="121"/>
      <c r="F120" s="186"/>
      <c r="G120" s="134"/>
      <c r="H120" s="124"/>
      <c r="I120" s="136"/>
    </row>
    <row r="121" spans="1:16" hidden="1">
      <c r="A121" s="131">
        <v>45313</v>
      </c>
      <c r="B121" s="132">
        <v>158</v>
      </c>
      <c r="C121" s="122" t="s">
        <v>185</v>
      </c>
      <c r="D121" s="119" t="s">
        <v>191</v>
      </c>
      <c r="E121" s="121"/>
      <c r="F121" s="186"/>
      <c r="G121" s="134"/>
      <c r="H121" s="135"/>
      <c r="I121" s="136"/>
    </row>
    <row r="122" spans="1:16" hidden="1">
      <c r="A122" s="131">
        <v>45329</v>
      </c>
      <c r="B122" s="132">
        <v>160</v>
      </c>
      <c r="C122" s="133" t="s">
        <v>177</v>
      </c>
      <c r="D122" s="133" t="s">
        <v>180</v>
      </c>
      <c r="E122" s="139"/>
      <c r="F122" s="186"/>
      <c r="G122" s="134"/>
      <c r="H122" s="135"/>
      <c r="I122" s="136"/>
    </row>
    <row r="123" spans="1:16" hidden="1">
      <c r="E123" s="144"/>
      <c r="F123" s="186"/>
      <c r="G123" s="144"/>
      <c r="H123" s="145"/>
      <c r="I123" s="105"/>
      <c r="J123" s="108"/>
    </row>
    <row r="124" spans="1:16" ht="11.25" hidden="1" customHeight="1">
      <c r="E124" s="108"/>
      <c r="F124" s="186"/>
      <c r="K124" s="108"/>
    </row>
    <row r="125" spans="1:16" hidden="1">
      <c r="C125" s="141" t="s">
        <v>216</v>
      </c>
      <c r="E125" s="108"/>
      <c r="F125" s="186"/>
      <c r="H125" s="105"/>
      <c r="J125" s="106"/>
      <c r="L125" s="108"/>
      <c r="N125" s="108"/>
      <c r="P125" s="108"/>
    </row>
    <row r="126" spans="1:16" hidden="1">
      <c r="A126" s="110" t="s">
        <v>214</v>
      </c>
      <c r="B126" s="111" t="s">
        <v>152</v>
      </c>
      <c r="C126" s="111" t="s">
        <v>22</v>
      </c>
      <c r="D126" s="111" t="s">
        <v>153</v>
      </c>
      <c r="E126" s="111"/>
      <c r="F126" s="186"/>
      <c r="G126" s="113"/>
      <c r="H126" s="112"/>
      <c r="I126" s="115"/>
      <c r="J126" s="108"/>
      <c r="L126" s="162"/>
    </row>
    <row r="127" spans="1:16" hidden="1">
      <c r="A127" s="131">
        <v>45331</v>
      </c>
      <c r="B127" s="132">
        <v>161</v>
      </c>
      <c r="C127" s="133" t="s">
        <v>177</v>
      </c>
      <c r="D127" s="119" t="s">
        <v>193</v>
      </c>
      <c r="E127" s="139"/>
      <c r="F127" s="186"/>
      <c r="G127" s="134"/>
      <c r="H127" s="124"/>
      <c r="I127" s="136"/>
    </row>
    <row r="128" spans="1:16" hidden="1">
      <c r="A128" s="131">
        <v>45348</v>
      </c>
      <c r="B128" s="132">
        <v>164</v>
      </c>
      <c r="C128" s="122" t="s">
        <v>185</v>
      </c>
      <c r="D128" s="122" t="s">
        <v>196</v>
      </c>
      <c r="E128" s="139"/>
      <c r="F128" s="186"/>
      <c r="G128" s="134"/>
      <c r="H128" s="124"/>
      <c r="I128" s="136"/>
      <c r="K128" s="108"/>
      <c r="L128" s="108"/>
    </row>
    <row r="129" spans="1:17" hidden="1">
      <c r="A129" s="131">
        <v>45348</v>
      </c>
      <c r="B129" s="132">
        <v>165</v>
      </c>
      <c r="C129" s="122" t="s">
        <v>185</v>
      </c>
      <c r="D129" s="122" t="s">
        <v>197</v>
      </c>
      <c r="E129" s="139"/>
      <c r="F129" s="186"/>
      <c r="G129" s="134"/>
      <c r="H129" s="124"/>
      <c r="I129" s="136"/>
      <c r="K129" s="108"/>
    </row>
    <row r="130" spans="1:17" hidden="1">
      <c r="A130" s="131">
        <v>45348</v>
      </c>
      <c r="B130" s="132">
        <v>166</v>
      </c>
      <c r="C130" s="122" t="s">
        <v>185</v>
      </c>
      <c r="D130" s="122" t="s">
        <v>198</v>
      </c>
      <c r="E130" s="121"/>
      <c r="F130" s="186"/>
      <c r="G130" s="134"/>
      <c r="H130" s="124"/>
      <c r="I130" s="136"/>
      <c r="K130" s="108"/>
    </row>
    <row r="131" spans="1:17" hidden="1">
      <c r="A131" s="131">
        <v>45348</v>
      </c>
      <c r="B131" s="132">
        <v>167</v>
      </c>
      <c r="C131" s="122" t="s">
        <v>185</v>
      </c>
      <c r="D131" s="122" t="s">
        <v>199</v>
      </c>
      <c r="E131" s="121"/>
      <c r="F131" s="186"/>
      <c r="G131" s="134"/>
      <c r="H131" s="124"/>
      <c r="I131" s="136"/>
      <c r="J131" s="108"/>
    </row>
    <row r="132" spans="1:17" hidden="1">
      <c r="A132" s="131">
        <v>45348</v>
      </c>
      <c r="B132" s="132">
        <v>168</v>
      </c>
      <c r="C132" s="122" t="s">
        <v>185</v>
      </c>
      <c r="D132" s="119" t="s">
        <v>217</v>
      </c>
      <c r="E132" s="121"/>
      <c r="F132" s="186"/>
      <c r="G132" s="134"/>
      <c r="H132" s="124"/>
      <c r="I132" s="136"/>
    </row>
    <row r="133" spans="1:17" hidden="1">
      <c r="A133" s="117">
        <v>45342</v>
      </c>
      <c r="B133" s="118">
        <v>163</v>
      </c>
      <c r="C133" s="122" t="s">
        <v>177</v>
      </c>
      <c r="D133" s="122" t="s">
        <v>195</v>
      </c>
      <c r="E133" s="121"/>
      <c r="F133" s="186"/>
      <c r="G133" s="134"/>
      <c r="H133" s="124"/>
      <c r="I133" s="125"/>
      <c r="K133" s="108"/>
    </row>
    <row r="134" spans="1:17" hidden="1">
      <c r="A134" s="117">
        <v>45355</v>
      </c>
      <c r="B134" s="118">
        <v>169</v>
      </c>
      <c r="C134" s="122" t="s">
        <v>201</v>
      </c>
      <c r="D134" s="122" t="s">
        <v>195</v>
      </c>
      <c r="E134" s="121"/>
      <c r="F134" s="186"/>
      <c r="G134" s="134"/>
      <c r="H134" s="124"/>
      <c r="I134" s="125"/>
    </row>
    <row r="135" spans="1:17" hidden="1">
      <c r="A135" s="146">
        <v>45337</v>
      </c>
      <c r="B135" s="132">
        <v>162</v>
      </c>
      <c r="C135" s="133" t="s">
        <v>185</v>
      </c>
      <c r="D135" s="133" t="s">
        <v>194</v>
      </c>
      <c r="E135" s="139"/>
      <c r="F135" s="186"/>
      <c r="G135" s="148"/>
      <c r="H135" s="143"/>
      <c r="I135" s="149"/>
    </row>
    <row r="136" spans="1:17" hidden="1">
      <c r="A136" s="146">
        <v>45369</v>
      </c>
      <c r="B136" s="132">
        <v>173</v>
      </c>
      <c r="C136" s="133" t="s">
        <v>177</v>
      </c>
      <c r="D136" s="133" t="s">
        <v>207</v>
      </c>
      <c r="E136" s="147"/>
      <c r="F136" s="186"/>
      <c r="G136" s="148"/>
      <c r="H136" s="143"/>
      <c r="I136" s="149"/>
    </row>
    <row r="137" spans="1:17" hidden="1">
      <c r="E137" s="175"/>
      <c r="F137" s="186"/>
      <c r="G137" s="175"/>
      <c r="H137" s="175"/>
      <c r="I137" s="105"/>
    </row>
    <row r="138" spans="1:17" hidden="1">
      <c r="C138" s="141"/>
      <c r="F138" s="186"/>
      <c r="H138" s="105"/>
      <c r="J138" s="105"/>
      <c r="K138" s="108"/>
    </row>
    <row r="139" spans="1:17" hidden="1">
      <c r="C139" s="141" t="s">
        <v>218</v>
      </c>
      <c r="E139" s="107"/>
      <c r="F139" s="186"/>
      <c r="H139" s="140"/>
      <c r="J139" s="140"/>
      <c r="Q139" s="108"/>
    </row>
    <row r="140" spans="1:17" hidden="1">
      <c r="A140" s="110" t="s">
        <v>214</v>
      </c>
      <c r="B140" s="111" t="s">
        <v>152</v>
      </c>
      <c r="C140" s="111" t="s">
        <v>22</v>
      </c>
      <c r="D140" s="111" t="s">
        <v>153</v>
      </c>
      <c r="E140" s="111"/>
      <c r="F140" s="186"/>
      <c r="G140" s="113"/>
      <c r="H140" s="112"/>
      <c r="I140" s="115"/>
      <c r="J140" s="140"/>
    </row>
    <row r="141" spans="1:17" hidden="1">
      <c r="A141" s="117">
        <v>45362</v>
      </c>
      <c r="B141" s="118">
        <v>170</v>
      </c>
      <c r="C141" s="122" t="s">
        <v>201</v>
      </c>
      <c r="D141" s="119" t="s">
        <v>204</v>
      </c>
      <c r="E141" s="139"/>
      <c r="F141" s="186"/>
      <c r="G141" s="134"/>
      <c r="H141" s="124"/>
      <c r="I141" s="136"/>
      <c r="J141" s="140"/>
    </row>
    <row r="142" spans="1:17" hidden="1">
      <c r="A142" s="117">
        <v>45364</v>
      </c>
      <c r="B142" s="118">
        <v>171</v>
      </c>
      <c r="C142" s="119" t="s">
        <v>189</v>
      </c>
      <c r="D142" s="119" t="s">
        <v>205</v>
      </c>
      <c r="E142" s="139"/>
      <c r="F142" s="186"/>
      <c r="G142" s="134"/>
      <c r="H142" s="124"/>
      <c r="I142" s="125"/>
      <c r="J142" s="191"/>
    </row>
    <row r="143" spans="1:17" hidden="1">
      <c r="A143" s="117">
        <v>45365</v>
      </c>
      <c r="B143" s="118">
        <v>172</v>
      </c>
      <c r="C143" s="119" t="s">
        <v>189</v>
      </c>
      <c r="D143" s="119" t="s">
        <v>206</v>
      </c>
      <c r="E143" s="139"/>
      <c r="F143" s="186"/>
      <c r="G143" s="134"/>
      <c r="H143" s="124"/>
      <c r="I143" s="125"/>
    </row>
    <row r="144" spans="1:17" hidden="1">
      <c r="A144" s="117">
        <v>45372</v>
      </c>
      <c r="B144" s="118">
        <v>174</v>
      </c>
      <c r="C144" s="122" t="s">
        <v>208</v>
      </c>
      <c r="D144" s="122" t="s">
        <v>209</v>
      </c>
      <c r="E144" s="139"/>
      <c r="F144" s="186"/>
      <c r="G144" s="134"/>
      <c r="H144" s="124"/>
      <c r="I144" s="125"/>
    </row>
    <row r="145" spans="1:9" hidden="1">
      <c r="A145" s="117">
        <v>45394</v>
      </c>
      <c r="B145" s="118">
        <v>177</v>
      </c>
      <c r="C145" s="119" t="s">
        <v>177</v>
      </c>
      <c r="D145" s="119" t="s">
        <v>211</v>
      </c>
      <c r="E145" s="139"/>
      <c r="F145" s="186"/>
      <c r="G145" s="134"/>
      <c r="H145" s="124"/>
      <c r="I145" s="125"/>
    </row>
    <row r="146" spans="1:9" hidden="1">
      <c r="A146" s="146">
        <v>45399</v>
      </c>
      <c r="B146" s="132">
        <v>178</v>
      </c>
      <c r="C146" s="119" t="s">
        <v>174</v>
      </c>
      <c r="D146" s="119" t="s">
        <v>274</v>
      </c>
      <c r="E146" s="147"/>
      <c r="F146" s="186"/>
      <c r="G146" s="148"/>
      <c r="H146" s="143"/>
      <c r="I146" s="149"/>
    </row>
    <row r="147" spans="1:9" hidden="1">
      <c r="E147" s="175"/>
      <c r="F147" s="186"/>
      <c r="G147" s="175"/>
      <c r="H147" s="175"/>
    </row>
    <row r="148" spans="1:9" hidden="1">
      <c r="E148" s="108"/>
      <c r="F148" s="186"/>
    </row>
    <row r="149" spans="1:9" hidden="1">
      <c r="C149" s="141" t="s">
        <v>289</v>
      </c>
      <c r="E149" s="107"/>
      <c r="F149" s="186"/>
      <c r="H149" s="140"/>
    </row>
    <row r="150" spans="1:9" hidden="1">
      <c r="A150" s="110" t="s">
        <v>214</v>
      </c>
      <c r="B150" s="111" t="s">
        <v>152</v>
      </c>
      <c r="C150" s="111" t="s">
        <v>22</v>
      </c>
      <c r="D150" s="111" t="s">
        <v>153</v>
      </c>
      <c r="E150" s="111"/>
      <c r="F150" s="186"/>
      <c r="G150" s="113"/>
      <c r="H150" s="112"/>
      <c r="I150" s="115"/>
    </row>
    <row r="151" spans="1:9" hidden="1">
      <c r="A151" s="117">
        <v>45289</v>
      </c>
      <c r="B151" s="118">
        <v>512</v>
      </c>
      <c r="C151" s="122" t="s">
        <v>177</v>
      </c>
      <c r="D151" s="122" t="s">
        <v>178</v>
      </c>
      <c r="E151" s="121"/>
      <c r="F151" s="186"/>
      <c r="G151" s="123"/>
      <c r="H151" s="124"/>
      <c r="I151" s="125"/>
    </row>
    <row r="152" spans="1:9" hidden="1">
      <c r="A152" s="117">
        <v>45386</v>
      </c>
      <c r="B152" s="118">
        <v>175</v>
      </c>
      <c r="C152" s="119" t="s">
        <v>185</v>
      </c>
      <c r="D152" s="119" t="s">
        <v>210</v>
      </c>
      <c r="E152" s="139"/>
      <c r="F152" s="186"/>
      <c r="G152" s="134"/>
      <c r="H152" s="124"/>
      <c r="I152" s="125"/>
    </row>
    <row r="153" spans="1:9" hidden="1">
      <c r="A153" s="117">
        <v>45390</v>
      </c>
      <c r="B153" s="118">
        <v>176</v>
      </c>
      <c r="C153" s="119" t="s">
        <v>201</v>
      </c>
      <c r="D153" s="119" t="s">
        <v>277</v>
      </c>
      <c r="E153" s="139"/>
      <c r="F153" s="186"/>
      <c r="G153" s="134"/>
      <c r="H153" s="124"/>
      <c r="I153" s="125"/>
    </row>
    <row r="154" spans="1:9" hidden="1">
      <c r="A154" s="117">
        <v>45407</v>
      </c>
      <c r="B154" s="118">
        <v>179</v>
      </c>
      <c r="C154" s="119" t="s">
        <v>189</v>
      </c>
      <c r="D154" s="119" t="s">
        <v>275</v>
      </c>
      <c r="E154" s="122"/>
      <c r="F154" s="186"/>
      <c r="G154" s="123"/>
      <c r="H154" s="124"/>
      <c r="I154" s="125"/>
    </row>
    <row r="155" spans="1:9" hidden="1">
      <c r="A155" s="131">
        <v>45408</v>
      </c>
      <c r="B155" s="132">
        <v>180</v>
      </c>
      <c r="C155" s="122" t="s">
        <v>177</v>
      </c>
      <c r="D155" s="120" t="s">
        <v>276</v>
      </c>
      <c r="E155" s="122"/>
      <c r="F155" s="186"/>
      <c r="G155" s="123"/>
      <c r="H155" s="124"/>
      <c r="I155" s="125"/>
    </row>
    <row r="156" spans="1:9" hidden="1">
      <c r="A156" s="131">
        <v>45420</v>
      </c>
      <c r="B156" s="132">
        <v>182</v>
      </c>
      <c r="C156" s="122" t="s">
        <v>177</v>
      </c>
      <c r="D156" s="119" t="s">
        <v>279</v>
      </c>
      <c r="E156" s="122"/>
      <c r="F156" s="186"/>
      <c r="G156" s="123"/>
      <c r="H156" s="124"/>
      <c r="I156" s="125"/>
    </row>
    <row r="157" spans="1:9" hidden="1">
      <c r="A157" s="131">
        <v>45427</v>
      </c>
      <c r="B157" s="132">
        <v>183</v>
      </c>
      <c r="C157" s="120" t="s">
        <v>174</v>
      </c>
      <c r="D157" s="120" t="s">
        <v>280</v>
      </c>
      <c r="E157" s="122"/>
      <c r="F157" s="186"/>
      <c r="G157" s="123"/>
      <c r="H157" s="168"/>
      <c r="I157" s="125"/>
    </row>
    <row r="158" spans="1:9" hidden="1">
      <c r="A158" s="131">
        <v>45428</v>
      </c>
      <c r="B158" s="132">
        <v>185</v>
      </c>
      <c r="C158" s="120" t="s">
        <v>174</v>
      </c>
      <c r="D158" s="122" t="s">
        <v>281</v>
      </c>
      <c r="E158" s="122"/>
      <c r="F158" s="186"/>
      <c r="G158" s="123"/>
      <c r="H158" s="124"/>
      <c r="I158" s="125"/>
    </row>
    <row r="159" spans="1:9" hidden="1">
      <c r="A159" s="131">
        <v>45429</v>
      </c>
      <c r="B159" s="132">
        <v>187</v>
      </c>
      <c r="C159" s="133" t="s">
        <v>177</v>
      </c>
      <c r="D159" s="133" t="s">
        <v>284</v>
      </c>
      <c r="E159" s="133"/>
      <c r="F159" s="186"/>
      <c r="G159" s="184"/>
      <c r="H159" s="167"/>
      <c r="I159" s="136"/>
    </row>
    <row r="160" spans="1:9" hidden="1">
      <c r="E160" s="185"/>
      <c r="F160" s="186"/>
      <c r="G160" s="185"/>
      <c r="H160" s="185"/>
    </row>
    <row r="161" spans="1:12" hidden="1">
      <c r="E161" s="108"/>
      <c r="F161" s="186"/>
      <c r="H161" s="108"/>
    </row>
    <row r="162" spans="1:12" hidden="1">
      <c r="C162" s="141" t="s">
        <v>330</v>
      </c>
      <c r="E162" s="107"/>
      <c r="F162" s="186"/>
      <c r="H162" s="140"/>
    </row>
    <row r="163" spans="1:12" hidden="1">
      <c r="A163" s="110" t="s">
        <v>214</v>
      </c>
      <c r="B163" s="111" t="s">
        <v>152</v>
      </c>
      <c r="C163" s="111" t="s">
        <v>22</v>
      </c>
      <c r="D163" s="111" t="s">
        <v>153</v>
      </c>
      <c r="E163" s="111"/>
      <c r="F163" s="186"/>
      <c r="G163" s="113"/>
      <c r="H163" s="112"/>
      <c r="I163" s="115"/>
    </row>
    <row r="164" spans="1:12" hidden="1">
      <c r="A164" s="159">
        <v>45419</v>
      </c>
      <c r="B164" s="160">
        <v>181</v>
      </c>
      <c r="C164" s="164" t="s">
        <v>189</v>
      </c>
      <c r="D164" s="156" t="s">
        <v>278</v>
      </c>
      <c r="E164" s="156"/>
      <c r="F164" s="186"/>
      <c r="G164" s="183"/>
      <c r="H164" s="158"/>
      <c r="I164" s="157"/>
    </row>
    <row r="165" spans="1:12" hidden="1">
      <c r="A165" s="159">
        <v>45428</v>
      </c>
      <c r="B165" s="160">
        <v>186</v>
      </c>
      <c r="C165" s="164" t="s">
        <v>282</v>
      </c>
      <c r="D165" s="156" t="s">
        <v>283</v>
      </c>
      <c r="E165" s="156"/>
      <c r="F165" s="186"/>
      <c r="G165" s="183"/>
      <c r="H165" s="158"/>
      <c r="I165" s="157"/>
    </row>
    <row r="166" spans="1:12" hidden="1">
      <c r="A166" s="159">
        <v>45440</v>
      </c>
      <c r="B166" s="160">
        <v>188</v>
      </c>
      <c r="C166" s="164" t="s">
        <v>305</v>
      </c>
      <c r="D166" s="156" t="s">
        <v>306</v>
      </c>
      <c r="E166" s="156"/>
      <c r="F166" s="186"/>
      <c r="G166" s="183"/>
      <c r="H166" s="158"/>
      <c r="I166" s="157"/>
    </row>
    <row r="167" spans="1:12" hidden="1">
      <c r="A167" s="159">
        <v>45449</v>
      </c>
      <c r="B167" s="160">
        <v>189</v>
      </c>
      <c r="C167" s="164" t="s">
        <v>201</v>
      </c>
      <c r="D167" s="164" t="s">
        <v>309</v>
      </c>
      <c r="E167" s="164"/>
      <c r="F167" s="186"/>
      <c r="G167" s="192"/>
      <c r="H167" s="193"/>
      <c r="I167" s="194"/>
    </row>
    <row r="168" spans="1:12" hidden="1">
      <c r="E168" s="175"/>
      <c r="F168" s="186"/>
      <c r="G168" s="175"/>
      <c r="H168" s="175"/>
    </row>
    <row r="169" spans="1:12" hidden="1">
      <c r="E169" s="107"/>
      <c r="F169" s="186"/>
      <c r="I169" s="108"/>
    </row>
    <row r="170" spans="1:12" hidden="1">
      <c r="C170" s="141" t="s">
        <v>343</v>
      </c>
      <c r="E170" s="107"/>
      <c r="F170" s="186"/>
      <c r="H170" s="140"/>
      <c r="I170" s="108"/>
      <c r="L170" s="162"/>
    </row>
    <row r="171" spans="1:12" hidden="1">
      <c r="A171" s="110" t="s">
        <v>214</v>
      </c>
      <c r="B171" s="111" t="s">
        <v>152</v>
      </c>
      <c r="C171" s="111" t="s">
        <v>22</v>
      </c>
      <c r="D171" s="111" t="s">
        <v>153</v>
      </c>
      <c r="E171" s="111"/>
      <c r="F171" s="186"/>
      <c r="G171" s="112"/>
      <c r="H171" s="115"/>
      <c r="I171" s="108"/>
      <c r="K171" s="108"/>
    </row>
    <row r="172" spans="1:12" hidden="1">
      <c r="A172" s="131">
        <v>45456</v>
      </c>
      <c r="B172" s="132">
        <v>192</v>
      </c>
      <c r="C172" s="122" t="s">
        <v>201</v>
      </c>
      <c r="D172" s="120" t="s">
        <v>327</v>
      </c>
      <c r="E172" s="122"/>
      <c r="F172" s="186"/>
      <c r="G172" s="124"/>
      <c r="H172" s="125"/>
    </row>
    <row r="173" spans="1:12" hidden="1">
      <c r="A173" s="131">
        <v>45470</v>
      </c>
      <c r="B173" s="132">
        <v>194</v>
      </c>
      <c r="C173" s="133" t="s">
        <v>264</v>
      </c>
      <c r="D173" s="122" t="s">
        <v>331</v>
      </c>
      <c r="E173" s="122"/>
      <c r="F173" s="186"/>
      <c r="G173" s="168"/>
      <c r="H173" s="125"/>
    </row>
    <row r="174" spans="1:12" hidden="1">
      <c r="A174" s="131">
        <v>45478</v>
      </c>
      <c r="B174" s="132">
        <v>195</v>
      </c>
      <c r="C174" s="133" t="s">
        <v>201</v>
      </c>
      <c r="D174" s="122" t="s">
        <v>338</v>
      </c>
      <c r="E174" s="122"/>
      <c r="F174" s="186"/>
      <c r="G174" s="168"/>
      <c r="H174" s="125"/>
    </row>
    <row r="175" spans="1:12" hidden="1">
      <c r="A175" s="131">
        <v>45478</v>
      </c>
      <c r="B175" s="132">
        <v>196</v>
      </c>
      <c r="C175" s="119" t="s">
        <v>174</v>
      </c>
      <c r="D175" s="122" t="s">
        <v>328</v>
      </c>
      <c r="E175" s="122"/>
      <c r="F175" s="186"/>
      <c r="G175" s="168"/>
      <c r="H175" s="125"/>
    </row>
    <row r="176" spans="1:12" hidden="1">
      <c r="A176" s="131">
        <v>45485</v>
      </c>
      <c r="B176" s="132" t="s">
        <v>339</v>
      </c>
      <c r="C176" s="133" t="s">
        <v>177</v>
      </c>
      <c r="D176" s="133" t="s">
        <v>340</v>
      </c>
      <c r="E176" s="133"/>
      <c r="F176" s="186"/>
      <c r="G176" s="167"/>
      <c r="H176" s="136"/>
    </row>
    <row r="177" spans="1:12" hidden="1">
      <c r="E177" s="175"/>
      <c r="F177" s="186"/>
      <c r="G177" s="175"/>
    </row>
    <row r="178" spans="1:12" hidden="1">
      <c r="F178" s="186"/>
    </row>
    <row r="179" spans="1:12" hidden="1">
      <c r="E179" s="108"/>
      <c r="F179" s="186"/>
      <c r="G179" s="202"/>
      <c r="H179" s="107"/>
      <c r="I179" s="107"/>
      <c r="J179" s="140"/>
      <c r="L179" s="186"/>
    </row>
    <row r="180" spans="1:12" hidden="1">
      <c r="E180" s="108"/>
      <c r="F180" s="186"/>
      <c r="G180" s="162"/>
      <c r="H180" s="162"/>
      <c r="I180" s="140"/>
      <c r="J180" s="162"/>
      <c r="K180" s="191"/>
      <c r="L180" s="140"/>
    </row>
    <row r="181" spans="1:12" hidden="1">
      <c r="C181" s="141" t="s">
        <v>344</v>
      </c>
      <c r="E181" s="107"/>
      <c r="F181" s="186"/>
      <c r="G181" s="140"/>
      <c r="I181" s="140"/>
      <c r="K181" s="140"/>
      <c r="L181" s="140"/>
    </row>
    <row r="182" spans="1:12" hidden="1">
      <c r="A182" s="110" t="s">
        <v>214</v>
      </c>
      <c r="B182" s="111" t="s">
        <v>152</v>
      </c>
      <c r="C182" s="111" t="s">
        <v>22</v>
      </c>
      <c r="D182" s="111" t="s">
        <v>153</v>
      </c>
      <c r="E182" s="111"/>
      <c r="F182" s="186"/>
      <c r="G182" s="112"/>
      <c r="H182" s="115"/>
      <c r="J182" s="162"/>
      <c r="K182" s="140"/>
      <c r="L182" s="140"/>
    </row>
    <row r="183" spans="1:12" hidden="1">
      <c r="A183" s="131">
        <v>45491</v>
      </c>
      <c r="B183" s="132">
        <v>197</v>
      </c>
      <c r="C183" s="133" t="s">
        <v>185</v>
      </c>
      <c r="D183" s="119" t="s">
        <v>341</v>
      </c>
      <c r="E183" s="122"/>
      <c r="F183" s="186"/>
      <c r="G183" s="168"/>
      <c r="H183" s="125"/>
      <c r="K183" s="162"/>
      <c r="L183" s="140"/>
    </row>
    <row r="184" spans="1:12" hidden="1">
      <c r="A184" s="131">
        <v>45497</v>
      </c>
      <c r="B184" s="132">
        <v>198</v>
      </c>
      <c r="C184" s="133" t="s">
        <v>177</v>
      </c>
      <c r="D184" s="120" t="s">
        <v>342</v>
      </c>
      <c r="E184" s="122"/>
      <c r="F184" s="186"/>
      <c r="G184" s="168"/>
      <c r="H184" s="125"/>
      <c r="K184" s="162"/>
      <c r="L184" s="140"/>
    </row>
    <row r="185" spans="1:12" hidden="1">
      <c r="A185" s="131">
        <v>45505</v>
      </c>
      <c r="B185" s="132">
        <v>199</v>
      </c>
      <c r="C185" s="122" t="s">
        <v>174</v>
      </c>
      <c r="D185" s="122" t="s">
        <v>345</v>
      </c>
      <c r="E185" s="122"/>
      <c r="F185" s="186"/>
      <c r="G185" s="168"/>
      <c r="H185" s="125"/>
      <c r="L185" s="140"/>
    </row>
    <row r="186" spans="1:12" hidden="1">
      <c r="A186" s="131">
        <v>45505</v>
      </c>
      <c r="B186" s="132">
        <v>200</v>
      </c>
      <c r="C186" s="122" t="s">
        <v>174</v>
      </c>
      <c r="D186" s="120" t="s">
        <v>346</v>
      </c>
      <c r="E186" s="122"/>
      <c r="F186" s="186"/>
      <c r="G186" s="168"/>
      <c r="H186" s="125"/>
    </row>
    <row r="187" spans="1:12" hidden="1">
      <c r="A187" s="131">
        <v>45509</v>
      </c>
      <c r="B187" s="132">
        <v>203</v>
      </c>
      <c r="C187" s="133" t="s">
        <v>177</v>
      </c>
      <c r="D187" s="119" t="s">
        <v>349</v>
      </c>
      <c r="E187" s="133"/>
      <c r="F187" s="186"/>
      <c r="G187" s="167"/>
      <c r="H187" s="136"/>
      <c r="K187" s="140"/>
    </row>
    <row r="188" spans="1:12" hidden="1">
      <c r="E188" s="175"/>
      <c r="F188" s="186"/>
      <c r="G188" s="175"/>
      <c r="K188" s="140"/>
    </row>
    <row r="189" spans="1:12" hidden="1">
      <c r="F189" s="186"/>
      <c r="K189" s="140"/>
    </row>
    <row r="190" spans="1:12" hidden="1">
      <c r="C190" s="141" t="s">
        <v>385</v>
      </c>
      <c r="E190" s="107"/>
      <c r="F190" s="186"/>
      <c r="G190" s="140"/>
    </row>
    <row r="191" spans="1:12" hidden="1">
      <c r="A191" s="110" t="s">
        <v>214</v>
      </c>
      <c r="B191" s="111" t="s">
        <v>152</v>
      </c>
      <c r="C191" s="111" t="s">
        <v>22</v>
      </c>
      <c r="D191" s="111" t="s">
        <v>153</v>
      </c>
      <c r="E191" s="111"/>
      <c r="F191" s="186"/>
      <c r="G191" s="112"/>
      <c r="H191" s="115"/>
    </row>
    <row r="192" spans="1:12" hidden="1">
      <c r="A192" s="131">
        <v>45509</v>
      </c>
      <c r="B192" s="132">
        <v>201</v>
      </c>
      <c r="C192" s="133" t="s">
        <v>185</v>
      </c>
      <c r="D192" s="120" t="s">
        <v>347</v>
      </c>
      <c r="E192" s="122"/>
      <c r="F192" s="186"/>
      <c r="G192" s="255"/>
      <c r="H192" s="125"/>
    </row>
    <row r="193" spans="1:8" hidden="1">
      <c r="A193" s="131">
        <v>45509</v>
      </c>
      <c r="B193" s="132">
        <v>202</v>
      </c>
      <c r="C193" s="133" t="s">
        <v>185</v>
      </c>
      <c r="D193" s="120" t="s">
        <v>348</v>
      </c>
      <c r="E193" s="122"/>
      <c r="F193" s="186"/>
      <c r="G193" s="255"/>
      <c r="H193" s="125"/>
    </row>
    <row r="194" spans="1:8" hidden="1">
      <c r="A194" s="131">
        <v>45527</v>
      </c>
      <c r="B194" s="132">
        <v>205</v>
      </c>
      <c r="C194" s="122" t="s">
        <v>282</v>
      </c>
      <c r="D194" s="120" t="s">
        <v>361</v>
      </c>
      <c r="E194" s="122"/>
      <c r="F194" s="186"/>
      <c r="G194" s="255"/>
      <c r="H194" s="125"/>
    </row>
    <row r="195" spans="1:8" hidden="1">
      <c r="A195" s="131">
        <v>45531</v>
      </c>
      <c r="B195" s="132">
        <v>207</v>
      </c>
      <c r="C195" s="122" t="s">
        <v>174</v>
      </c>
      <c r="D195" s="122" t="s">
        <v>360</v>
      </c>
      <c r="E195" s="122"/>
      <c r="F195" s="186"/>
      <c r="G195" s="255"/>
      <c r="H195" s="125"/>
    </row>
    <row r="196" spans="1:8" hidden="1">
      <c r="A196" s="131">
        <v>45531</v>
      </c>
      <c r="B196" s="132">
        <v>208</v>
      </c>
      <c r="C196" s="133" t="s">
        <v>177</v>
      </c>
      <c r="D196" s="120" t="s">
        <v>358</v>
      </c>
      <c r="E196" s="122"/>
      <c r="F196" s="186"/>
      <c r="G196" s="255"/>
      <c r="H196" s="125"/>
    </row>
    <row r="197" spans="1:8" hidden="1">
      <c r="A197" s="131">
        <v>45531</v>
      </c>
      <c r="B197" s="132">
        <v>209</v>
      </c>
      <c r="C197" s="133" t="s">
        <v>177</v>
      </c>
      <c r="D197" s="120" t="s">
        <v>357</v>
      </c>
      <c r="E197" s="122"/>
      <c r="F197" s="186"/>
      <c r="G197" s="255"/>
      <c r="H197" s="125"/>
    </row>
    <row r="198" spans="1:8" hidden="1">
      <c r="A198" s="131">
        <v>45531</v>
      </c>
      <c r="B198" s="132">
        <v>210</v>
      </c>
      <c r="C198" s="133" t="s">
        <v>174</v>
      </c>
      <c r="D198" s="120" t="s">
        <v>359</v>
      </c>
      <c r="E198" s="122"/>
      <c r="F198" s="186"/>
      <c r="G198" s="255"/>
      <c r="H198" s="125"/>
    </row>
    <row r="199" spans="1:8" hidden="1">
      <c r="A199" s="131">
        <v>45546</v>
      </c>
      <c r="B199" s="132">
        <v>212</v>
      </c>
      <c r="C199" s="133" t="s">
        <v>305</v>
      </c>
      <c r="D199" s="119" t="s">
        <v>365</v>
      </c>
      <c r="E199" s="133"/>
      <c r="F199" s="186"/>
      <c r="G199" s="256"/>
      <c r="H199" s="136"/>
    </row>
    <row r="200" spans="1:8" hidden="1">
      <c r="A200" s="131"/>
      <c r="B200" s="132"/>
      <c r="C200" s="133"/>
      <c r="D200" s="119"/>
      <c r="E200" s="133"/>
      <c r="F200" s="186"/>
      <c r="G200" s="203"/>
      <c r="H200" s="136"/>
    </row>
    <row r="201" spans="1:8" hidden="1">
      <c r="E201" s="175"/>
      <c r="F201" s="186"/>
      <c r="G201" s="175"/>
    </row>
    <row r="202" spans="1:8" hidden="1">
      <c r="F202" s="186"/>
    </row>
    <row r="203" spans="1:8" hidden="1">
      <c r="F203" s="186"/>
    </row>
    <row r="204" spans="1:8" hidden="1">
      <c r="F204" s="186"/>
    </row>
    <row r="205" spans="1:8" hidden="1">
      <c r="F205" s="186"/>
    </row>
    <row r="206" spans="1:8" hidden="1">
      <c r="F206" s="186"/>
    </row>
    <row r="207" spans="1:8" hidden="1">
      <c r="F207" s="186"/>
    </row>
    <row r="208" spans="1:8" hidden="1">
      <c r="F208" s="186"/>
    </row>
    <row r="209" spans="5:12" hidden="1">
      <c r="F209" s="186"/>
    </row>
    <row r="210" spans="5:12" hidden="1">
      <c r="F210" s="186"/>
    </row>
    <row r="211" spans="5:12" hidden="1">
      <c r="F211" s="186"/>
    </row>
    <row r="212" spans="5:12" hidden="1">
      <c r="F212" s="186"/>
    </row>
    <row r="213" spans="5:12" hidden="1">
      <c r="F213" s="186"/>
    </row>
    <row r="214" spans="5:12" hidden="1">
      <c r="F214" s="186"/>
    </row>
    <row r="215" spans="5:12" hidden="1">
      <c r="F215" s="186"/>
    </row>
    <row r="216" spans="5:12" hidden="1">
      <c r="F216" s="186"/>
    </row>
    <row r="217" spans="5:12" hidden="1">
      <c r="F217" s="186"/>
    </row>
    <row r="218" spans="5:12" hidden="1">
      <c r="F218" s="186"/>
    </row>
    <row r="219" spans="5:12" hidden="1">
      <c r="F219" s="186"/>
    </row>
    <row r="220" spans="5:12" hidden="1">
      <c r="F220" s="186"/>
    </row>
    <row r="221" spans="5:12" hidden="1">
      <c r="F221" s="186"/>
    </row>
    <row r="222" spans="5:12" hidden="1">
      <c r="F222" s="186"/>
    </row>
    <row r="223" spans="5:12">
      <c r="F223" s="186"/>
      <c r="I223" s="108"/>
    </row>
    <row r="224" spans="5:12">
      <c r="E224" s="107"/>
      <c r="F224" s="107"/>
      <c r="L224" s="104">
        <v>39179.35</v>
      </c>
    </row>
    <row r="225" spans="4:12">
      <c r="E225" s="108"/>
      <c r="L225" s="104">
        <v>2703.3</v>
      </c>
    </row>
    <row r="226" spans="4:12">
      <c r="L226" s="140">
        <f>SUM(L224*L225)</f>
        <v>105913536.855</v>
      </c>
    </row>
    <row r="228" spans="4:12" ht="15">
      <c r="D228"/>
    </row>
    <row r="236" spans="4:12">
      <c r="E236" s="107"/>
    </row>
  </sheetData>
  <mergeCells count="1">
    <mergeCell ref="L4:T4"/>
  </mergeCells>
  <phoneticPr fontId="12" type="noConversion"/>
  <pageMargins left="0.7" right="0.7" top="0.75" bottom="0.75" header="0.3" footer="0.3"/>
  <pageSetup scale="65" orientation="landscape" horizontalDpi="4294967295" verticalDpi="4294967295" r:id="rId1"/>
  <rowBreaks count="1" manualBreakCount="1">
    <brk id="103" max="9" man="1"/>
  </rowBreaks>
  <colBreaks count="1" manualBreakCount="1">
    <brk id="1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208-68B0-4992-BB00-8AF6D9CE89D0}">
  <sheetPr codeName="Hoja36"/>
  <dimension ref="A3:XFC11"/>
  <sheetViews>
    <sheetView workbookViewId="0">
      <selection activeCell="E17" sqref="E17"/>
    </sheetView>
  </sheetViews>
  <sheetFormatPr baseColWidth="10" defaultRowHeight="15"/>
  <cols>
    <col min="2" max="2" width="12.5" customWidth="1"/>
    <col min="3" max="3" width="9" customWidth="1"/>
    <col min="4" max="4" width="59" customWidth="1"/>
    <col min="5" max="5" width="11.1640625" customWidth="1"/>
    <col min="6" max="6" width="14.5" bestFit="1" customWidth="1"/>
    <col min="7" max="7" width="13.5" customWidth="1"/>
    <col min="8" max="8" width="12.5" customWidth="1"/>
    <col min="9" max="9" width="13.5" customWidth="1"/>
    <col min="10" max="10" width="19.1640625" customWidth="1"/>
  </cols>
  <sheetData>
    <row r="3" spans="1:16383" s="31" customFormat="1">
      <c r="A3" s="264" t="s">
        <v>227</v>
      </c>
      <c r="B3" s="265" t="s">
        <v>440</v>
      </c>
      <c r="C3" s="188" t="s">
        <v>22</v>
      </c>
      <c r="D3" s="188" t="s">
        <v>153</v>
      </c>
      <c r="E3" s="264" t="s">
        <v>441</v>
      </c>
      <c r="F3" s="265" t="s">
        <v>443</v>
      </c>
      <c r="G3" s="330" t="s">
        <v>442</v>
      </c>
      <c r="H3" s="264" t="s">
        <v>444</v>
      </c>
      <c r="I3" s="265" t="s">
        <v>228</v>
      </c>
      <c r="J3" s="265" t="s">
        <v>445</v>
      </c>
      <c r="K3" s="264" t="s">
        <v>446</v>
      </c>
      <c r="L3" s="264" t="s">
        <v>447</v>
      </c>
    </row>
    <row r="4" spans="1:16383">
      <c r="A4" s="266">
        <v>45526</v>
      </c>
      <c r="B4" s="267" t="s">
        <v>448</v>
      </c>
      <c r="C4" s="23" t="s">
        <v>449</v>
      </c>
      <c r="D4" s="272" t="s">
        <v>451</v>
      </c>
      <c r="E4" s="268">
        <v>38384.410000000003</v>
      </c>
      <c r="F4" s="269">
        <v>2380</v>
      </c>
      <c r="G4" s="153">
        <f>SUM(E4*F4)</f>
        <v>91354895.800000012</v>
      </c>
      <c r="H4" s="270" t="s">
        <v>450</v>
      </c>
      <c r="I4" s="271" t="s">
        <v>450</v>
      </c>
      <c r="J4" s="267">
        <v>45810</v>
      </c>
      <c r="K4" s="266">
        <v>45712</v>
      </c>
      <c r="L4" s="197">
        <v>3225633</v>
      </c>
    </row>
    <row r="5" spans="1:16383">
      <c r="A5" s="266">
        <v>45526</v>
      </c>
      <c r="B5" s="267" t="s">
        <v>448</v>
      </c>
      <c r="C5" s="23" t="s">
        <v>449</v>
      </c>
      <c r="D5" s="23" t="s">
        <v>452</v>
      </c>
      <c r="E5" s="268">
        <v>38384.410000000003</v>
      </c>
      <c r="F5" s="273">
        <v>254.1</v>
      </c>
      <c r="G5" s="153">
        <f>SUM(E5*F5)</f>
        <v>9753478.5810000002</v>
      </c>
      <c r="H5" s="270" t="s">
        <v>450</v>
      </c>
      <c r="I5" s="271" t="s">
        <v>450</v>
      </c>
      <c r="J5" s="267">
        <v>45789</v>
      </c>
      <c r="K5" s="266">
        <v>45712</v>
      </c>
      <c r="L5" s="197">
        <v>301032</v>
      </c>
    </row>
    <row r="6" spans="1:16383">
      <c r="A6" s="88">
        <f>SUM(A3:A5)</f>
        <v>91052</v>
      </c>
      <c r="B6" s="88">
        <f>SUM(B3:B5)</f>
        <v>0</v>
      </c>
      <c r="C6" s="88">
        <f>SUM(C3:C5)</f>
        <v>0</v>
      </c>
      <c r="D6" s="88">
        <f>SUM(D3:D5)</f>
        <v>0</v>
      </c>
      <c r="E6" s="88"/>
      <c r="F6" s="88"/>
      <c r="G6" s="88">
        <v>9692163</v>
      </c>
      <c r="H6" s="88"/>
      <c r="I6" s="88"/>
      <c r="J6" s="88"/>
      <c r="K6" s="88"/>
      <c r="L6" s="88">
        <f t="shared" ref="L6:BW6" si="0">SUM(M3:M5)</f>
        <v>0</v>
      </c>
      <c r="M6" s="88">
        <f t="shared" si="0"/>
        <v>0</v>
      </c>
      <c r="N6" s="88">
        <f t="shared" si="0"/>
        <v>0</v>
      </c>
      <c r="O6" s="88">
        <f t="shared" si="0"/>
        <v>0</v>
      </c>
      <c r="P6" s="88">
        <f t="shared" si="0"/>
        <v>0</v>
      </c>
      <c r="Q6" s="88">
        <f t="shared" si="0"/>
        <v>0</v>
      </c>
      <c r="R6" s="88">
        <f t="shared" si="0"/>
        <v>0</v>
      </c>
      <c r="S6" s="88">
        <f t="shared" si="0"/>
        <v>0</v>
      </c>
      <c r="T6" s="88">
        <f t="shared" si="0"/>
        <v>0</v>
      </c>
      <c r="U6" s="88">
        <f t="shared" si="0"/>
        <v>0</v>
      </c>
      <c r="V6" s="88">
        <f t="shared" si="0"/>
        <v>0</v>
      </c>
      <c r="W6" s="88">
        <f t="shared" si="0"/>
        <v>0</v>
      </c>
      <c r="X6" s="88">
        <f t="shared" si="0"/>
        <v>0</v>
      </c>
      <c r="Y6" s="88">
        <f t="shared" si="0"/>
        <v>0</v>
      </c>
      <c r="Z6" s="88">
        <f t="shared" si="0"/>
        <v>0</v>
      </c>
      <c r="AA6" s="88">
        <f t="shared" si="0"/>
        <v>0</v>
      </c>
      <c r="AB6" s="88">
        <f t="shared" si="0"/>
        <v>0</v>
      </c>
      <c r="AC6" s="88">
        <f t="shared" si="0"/>
        <v>0</v>
      </c>
      <c r="AD6" s="88">
        <f t="shared" si="0"/>
        <v>0</v>
      </c>
      <c r="AE6" s="88">
        <f t="shared" si="0"/>
        <v>0</v>
      </c>
      <c r="AF6" s="88">
        <f t="shared" si="0"/>
        <v>0</v>
      </c>
      <c r="AG6" s="88">
        <f t="shared" si="0"/>
        <v>0</v>
      </c>
      <c r="AH6" s="88">
        <f t="shared" si="0"/>
        <v>0</v>
      </c>
      <c r="AI6" s="88">
        <f t="shared" si="0"/>
        <v>0</v>
      </c>
      <c r="AJ6" s="88">
        <f t="shared" si="0"/>
        <v>0</v>
      </c>
      <c r="AK6" s="88">
        <f t="shared" si="0"/>
        <v>0</v>
      </c>
      <c r="AL6" s="88">
        <f t="shared" si="0"/>
        <v>0</v>
      </c>
      <c r="AM6" s="88">
        <f t="shared" si="0"/>
        <v>0</v>
      </c>
      <c r="AN6" s="88">
        <f t="shared" si="0"/>
        <v>0</v>
      </c>
      <c r="AO6" s="88">
        <f t="shared" si="0"/>
        <v>0</v>
      </c>
      <c r="AP6" s="88">
        <f t="shared" si="0"/>
        <v>0</v>
      </c>
      <c r="AQ6" s="88">
        <f t="shared" si="0"/>
        <v>0</v>
      </c>
      <c r="AR6" s="88">
        <f t="shared" si="0"/>
        <v>0</v>
      </c>
      <c r="AS6" s="88">
        <f t="shared" si="0"/>
        <v>0</v>
      </c>
      <c r="AT6" s="88">
        <f t="shared" si="0"/>
        <v>0</v>
      </c>
      <c r="AU6" s="88">
        <f t="shared" si="0"/>
        <v>0</v>
      </c>
      <c r="AV6" s="88">
        <f t="shared" si="0"/>
        <v>0</v>
      </c>
      <c r="AW6" s="88">
        <f t="shared" si="0"/>
        <v>0</v>
      </c>
      <c r="AX6" s="88">
        <f t="shared" si="0"/>
        <v>0</v>
      </c>
      <c r="AY6" s="88">
        <f t="shared" si="0"/>
        <v>0</v>
      </c>
      <c r="AZ6" s="88">
        <f t="shared" si="0"/>
        <v>0</v>
      </c>
      <c r="BA6" s="88">
        <f t="shared" si="0"/>
        <v>0</v>
      </c>
      <c r="BB6" s="88">
        <f t="shared" si="0"/>
        <v>0</v>
      </c>
      <c r="BC6" s="88">
        <f t="shared" si="0"/>
        <v>0</v>
      </c>
      <c r="BD6" s="88">
        <f t="shared" si="0"/>
        <v>0</v>
      </c>
      <c r="BE6" s="88">
        <f t="shared" si="0"/>
        <v>0</v>
      </c>
      <c r="BF6" s="88">
        <f t="shared" si="0"/>
        <v>0</v>
      </c>
      <c r="BG6" s="88">
        <f t="shared" si="0"/>
        <v>0</v>
      </c>
      <c r="BH6" s="88">
        <f t="shared" si="0"/>
        <v>0</v>
      </c>
      <c r="BI6" s="88">
        <f t="shared" si="0"/>
        <v>0</v>
      </c>
      <c r="BJ6" s="88">
        <f t="shared" si="0"/>
        <v>0</v>
      </c>
      <c r="BK6" s="88">
        <f t="shared" si="0"/>
        <v>0</v>
      </c>
      <c r="BL6" s="88">
        <f t="shared" si="0"/>
        <v>0</v>
      </c>
      <c r="BM6" s="88">
        <f t="shared" si="0"/>
        <v>0</v>
      </c>
      <c r="BN6" s="88">
        <f t="shared" si="0"/>
        <v>0</v>
      </c>
      <c r="BO6" s="88">
        <f t="shared" si="0"/>
        <v>0</v>
      </c>
      <c r="BP6" s="88">
        <f t="shared" si="0"/>
        <v>0</v>
      </c>
      <c r="BQ6" s="88">
        <f t="shared" si="0"/>
        <v>0</v>
      </c>
      <c r="BR6" s="88">
        <f t="shared" si="0"/>
        <v>0</v>
      </c>
      <c r="BS6" s="88">
        <f t="shared" si="0"/>
        <v>0</v>
      </c>
      <c r="BT6" s="88">
        <f t="shared" si="0"/>
        <v>0</v>
      </c>
      <c r="BU6" s="88">
        <f t="shared" si="0"/>
        <v>0</v>
      </c>
      <c r="BV6" s="88">
        <f t="shared" si="0"/>
        <v>0</v>
      </c>
      <c r="BW6" s="88">
        <f t="shared" si="0"/>
        <v>0</v>
      </c>
      <c r="BX6" s="88">
        <f t="shared" ref="BX6:EI6" si="1">SUM(BY3:BY5)</f>
        <v>0</v>
      </c>
      <c r="BY6" s="88">
        <f t="shared" si="1"/>
        <v>0</v>
      </c>
      <c r="BZ6" s="88">
        <f t="shared" si="1"/>
        <v>0</v>
      </c>
      <c r="CA6" s="88">
        <f t="shared" si="1"/>
        <v>0</v>
      </c>
      <c r="CB6" s="88">
        <f t="shared" si="1"/>
        <v>0</v>
      </c>
      <c r="CC6" s="88">
        <f t="shared" si="1"/>
        <v>0</v>
      </c>
      <c r="CD6" s="88">
        <f t="shared" si="1"/>
        <v>0</v>
      </c>
      <c r="CE6" s="88">
        <f t="shared" si="1"/>
        <v>0</v>
      </c>
      <c r="CF6" s="88">
        <f t="shared" si="1"/>
        <v>0</v>
      </c>
      <c r="CG6" s="88">
        <f t="shared" si="1"/>
        <v>0</v>
      </c>
      <c r="CH6" s="88">
        <f t="shared" si="1"/>
        <v>0</v>
      </c>
      <c r="CI6" s="88">
        <f t="shared" si="1"/>
        <v>0</v>
      </c>
      <c r="CJ6" s="88">
        <f t="shared" si="1"/>
        <v>0</v>
      </c>
      <c r="CK6" s="88">
        <f t="shared" si="1"/>
        <v>0</v>
      </c>
      <c r="CL6" s="88">
        <f t="shared" si="1"/>
        <v>0</v>
      </c>
      <c r="CM6" s="88">
        <f t="shared" si="1"/>
        <v>0</v>
      </c>
      <c r="CN6" s="88">
        <f t="shared" si="1"/>
        <v>0</v>
      </c>
      <c r="CO6" s="88">
        <f t="shared" si="1"/>
        <v>0</v>
      </c>
      <c r="CP6" s="88">
        <f t="shared" si="1"/>
        <v>0</v>
      </c>
      <c r="CQ6" s="88">
        <f t="shared" si="1"/>
        <v>0</v>
      </c>
      <c r="CR6" s="88">
        <f t="shared" si="1"/>
        <v>0</v>
      </c>
      <c r="CS6" s="88">
        <f t="shared" si="1"/>
        <v>0</v>
      </c>
      <c r="CT6" s="88">
        <f t="shared" si="1"/>
        <v>0</v>
      </c>
      <c r="CU6" s="88">
        <f t="shared" si="1"/>
        <v>0</v>
      </c>
      <c r="CV6" s="88">
        <f t="shared" si="1"/>
        <v>0</v>
      </c>
      <c r="CW6" s="88">
        <f t="shared" si="1"/>
        <v>0</v>
      </c>
      <c r="CX6" s="88">
        <f t="shared" si="1"/>
        <v>0</v>
      </c>
      <c r="CY6" s="88">
        <f t="shared" si="1"/>
        <v>0</v>
      </c>
      <c r="CZ6" s="88">
        <f t="shared" si="1"/>
        <v>0</v>
      </c>
      <c r="DA6" s="88">
        <f t="shared" si="1"/>
        <v>0</v>
      </c>
      <c r="DB6" s="88">
        <f t="shared" si="1"/>
        <v>0</v>
      </c>
      <c r="DC6" s="88">
        <f t="shared" si="1"/>
        <v>0</v>
      </c>
      <c r="DD6" s="88">
        <f t="shared" si="1"/>
        <v>0</v>
      </c>
      <c r="DE6" s="88">
        <f t="shared" si="1"/>
        <v>0</v>
      </c>
      <c r="DF6" s="88">
        <f t="shared" si="1"/>
        <v>0</v>
      </c>
      <c r="DG6" s="88">
        <f t="shared" si="1"/>
        <v>0</v>
      </c>
      <c r="DH6" s="88">
        <f t="shared" si="1"/>
        <v>0</v>
      </c>
      <c r="DI6" s="88">
        <f t="shared" si="1"/>
        <v>0</v>
      </c>
      <c r="DJ6" s="88">
        <f t="shared" si="1"/>
        <v>0</v>
      </c>
      <c r="DK6" s="88">
        <f t="shared" si="1"/>
        <v>0</v>
      </c>
      <c r="DL6" s="88">
        <f t="shared" si="1"/>
        <v>0</v>
      </c>
      <c r="DM6" s="88">
        <f t="shared" si="1"/>
        <v>0</v>
      </c>
      <c r="DN6" s="88">
        <f t="shared" si="1"/>
        <v>0</v>
      </c>
      <c r="DO6" s="88">
        <f t="shared" si="1"/>
        <v>0</v>
      </c>
      <c r="DP6" s="88">
        <f t="shared" si="1"/>
        <v>0</v>
      </c>
      <c r="DQ6" s="88">
        <f t="shared" si="1"/>
        <v>0</v>
      </c>
      <c r="DR6" s="88">
        <f t="shared" si="1"/>
        <v>0</v>
      </c>
      <c r="DS6" s="88">
        <f t="shared" si="1"/>
        <v>0</v>
      </c>
      <c r="DT6" s="88">
        <f t="shared" si="1"/>
        <v>0</v>
      </c>
      <c r="DU6" s="88">
        <f t="shared" si="1"/>
        <v>0</v>
      </c>
      <c r="DV6" s="88">
        <f t="shared" si="1"/>
        <v>0</v>
      </c>
      <c r="DW6" s="88">
        <f t="shared" si="1"/>
        <v>0</v>
      </c>
      <c r="DX6" s="88">
        <f t="shared" si="1"/>
        <v>0</v>
      </c>
      <c r="DY6" s="88">
        <f t="shared" si="1"/>
        <v>0</v>
      </c>
      <c r="DZ6" s="88">
        <f t="shared" si="1"/>
        <v>0</v>
      </c>
      <c r="EA6" s="88">
        <f t="shared" si="1"/>
        <v>0</v>
      </c>
      <c r="EB6" s="88">
        <f t="shared" si="1"/>
        <v>0</v>
      </c>
      <c r="EC6" s="88">
        <f t="shared" si="1"/>
        <v>0</v>
      </c>
      <c r="ED6" s="88">
        <f t="shared" si="1"/>
        <v>0</v>
      </c>
      <c r="EE6" s="88">
        <f t="shared" si="1"/>
        <v>0</v>
      </c>
      <c r="EF6" s="88">
        <f t="shared" si="1"/>
        <v>0</v>
      </c>
      <c r="EG6" s="88">
        <f t="shared" si="1"/>
        <v>0</v>
      </c>
      <c r="EH6" s="88">
        <f t="shared" si="1"/>
        <v>0</v>
      </c>
      <c r="EI6" s="88">
        <f t="shared" si="1"/>
        <v>0</v>
      </c>
      <c r="EJ6" s="88">
        <f t="shared" ref="EJ6:GU6" si="2">SUM(EK3:EK5)</f>
        <v>0</v>
      </c>
      <c r="EK6" s="88">
        <f t="shared" si="2"/>
        <v>0</v>
      </c>
      <c r="EL6" s="88">
        <f t="shared" si="2"/>
        <v>0</v>
      </c>
      <c r="EM6" s="88">
        <f t="shared" si="2"/>
        <v>0</v>
      </c>
      <c r="EN6" s="88">
        <f t="shared" si="2"/>
        <v>0</v>
      </c>
      <c r="EO6" s="88">
        <f t="shared" si="2"/>
        <v>0</v>
      </c>
      <c r="EP6" s="88">
        <f t="shared" si="2"/>
        <v>0</v>
      </c>
      <c r="EQ6" s="88">
        <f t="shared" si="2"/>
        <v>0</v>
      </c>
      <c r="ER6" s="88">
        <f t="shared" si="2"/>
        <v>0</v>
      </c>
      <c r="ES6" s="88">
        <f t="shared" si="2"/>
        <v>0</v>
      </c>
      <c r="ET6" s="88">
        <f t="shared" si="2"/>
        <v>0</v>
      </c>
      <c r="EU6" s="88">
        <f t="shared" si="2"/>
        <v>0</v>
      </c>
      <c r="EV6" s="88">
        <f t="shared" si="2"/>
        <v>0</v>
      </c>
      <c r="EW6" s="88">
        <f t="shared" si="2"/>
        <v>0</v>
      </c>
      <c r="EX6" s="88">
        <f t="shared" si="2"/>
        <v>0</v>
      </c>
      <c r="EY6" s="88">
        <f t="shared" si="2"/>
        <v>0</v>
      </c>
      <c r="EZ6" s="88">
        <f t="shared" si="2"/>
        <v>0</v>
      </c>
      <c r="FA6" s="88">
        <f t="shared" si="2"/>
        <v>0</v>
      </c>
      <c r="FB6" s="88">
        <f t="shared" si="2"/>
        <v>0</v>
      </c>
      <c r="FC6" s="88">
        <f t="shared" si="2"/>
        <v>0</v>
      </c>
      <c r="FD6" s="88">
        <f t="shared" si="2"/>
        <v>0</v>
      </c>
      <c r="FE6" s="88">
        <f t="shared" si="2"/>
        <v>0</v>
      </c>
      <c r="FF6" s="88">
        <f t="shared" si="2"/>
        <v>0</v>
      </c>
      <c r="FG6" s="88">
        <f t="shared" si="2"/>
        <v>0</v>
      </c>
      <c r="FH6" s="88">
        <f t="shared" si="2"/>
        <v>0</v>
      </c>
      <c r="FI6" s="88">
        <f t="shared" si="2"/>
        <v>0</v>
      </c>
      <c r="FJ6" s="88">
        <f t="shared" si="2"/>
        <v>0</v>
      </c>
      <c r="FK6" s="88">
        <f t="shared" si="2"/>
        <v>0</v>
      </c>
      <c r="FL6" s="88">
        <f t="shared" si="2"/>
        <v>0</v>
      </c>
      <c r="FM6" s="88">
        <f t="shared" si="2"/>
        <v>0</v>
      </c>
      <c r="FN6" s="88">
        <f t="shared" si="2"/>
        <v>0</v>
      </c>
      <c r="FO6" s="88">
        <f t="shared" si="2"/>
        <v>0</v>
      </c>
      <c r="FP6" s="88">
        <f t="shared" si="2"/>
        <v>0</v>
      </c>
      <c r="FQ6" s="88">
        <f t="shared" si="2"/>
        <v>0</v>
      </c>
      <c r="FR6" s="88">
        <f t="shared" si="2"/>
        <v>0</v>
      </c>
      <c r="FS6" s="88">
        <f t="shared" si="2"/>
        <v>0</v>
      </c>
      <c r="FT6" s="88">
        <f t="shared" si="2"/>
        <v>0</v>
      </c>
      <c r="FU6" s="88">
        <f t="shared" si="2"/>
        <v>0</v>
      </c>
      <c r="FV6" s="88">
        <f t="shared" si="2"/>
        <v>0</v>
      </c>
      <c r="FW6" s="88">
        <f t="shared" si="2"/>
        <v>0</v>
      </c>
      <c r="FX6" s="88">
        <f t="shared" si="2"/>
        <v>0</v>
      </c>
      <c r="FY6" s="88">
        <f t="shared" si="2"/>
        <v>0</v>
      </c>
      <c r="FZ6" s="88">
        <f t="shared" si="2"/>
        <v>0</v>
      </c>
      <c r="GA6" s="88">
        <f t="shared" si="2"/>
        <v>0</v>
      </c>
      <c r="GB6" s="88">
        <f t="shared" si="2"/>
        <v>0</v>
      </c>
      <c r="GC6" s="88">
        <f t="shared" si="2"/>
        <v>0</v>
      </c>
      <c r="GD6" s="88">
        <f t="shared" si="2"/>
        <v>0</v>
      </c>
      <c r="GE6" s="88">
        <f t="shared" si="2"/>
        <v>0</v>
      </c>
      <c r="GF6" s="88">
        <f t="shared" si="2"/>
        <v>0</v>
      </c>
      <c r="GG6" s="88">
        <f t="shared" si="2"/>
        <v>0</v>
      </c>
      <c r="GH6" s="88">
        <f t="shared" si="2"/>
        <v>0</v>
      </c>
      <c r="GI6" s="88">
        <f t="shared" si="2"/>
        <v>0</v>
      </c>
      <c r="GJ6" s="88">
        <f t="shared" si="2"/>
        <v>0</v>
      </c>
      <c r="GK6" s="88">
        <f t="shared" si="2"/>
        <v>0</v>
      </c>
      <c r="GL6" s="88">
        <f t="shared" si="2"/>
        <v>0</v>
      </c>
      <c r="GM6" s="88">
        <f t="shared" si="2"/>
        <v>0</v>
      </c>
      <c r="GN6" s="88">
        <f t="shared" si="2"/>
        <v>0</v>
      </c>
      <c r="GO6" s="88">
        <f t="shared" si="2"/>
        <v>0</v>
      </c>
      <c r="GP6" s="88">
        <f t="shared" si="2"/>
        <v>0</v>
      </c>
      <c r="GQ6" s="88">
        <f t="shared" si="2"/>
        <v>0</v>
      </c>
      <c r="GR6" s="88">
        <f t="shared" si="2"/>
        <v>0</v>
      </c>
      <c r="GS6" s="88">
        <f t="shared" si="2"/>
        <v>0</v>
      </c>
      <c r="GT6" s="88">
        <f t="shared" si="2"/>
        <v>0</v>
      </c>
      <c r="GU6" s="88">
        <f t="shared" si="2"/>
        <v>0</v>
      </c>
      <c r="GV6" s="88">
        <f t="shared" ref="GV6:JG6" si="3">SUM(GW3:GW5)</f>
        <v>0</v>
      </c>
      <c r="GW6" s="88">
        <f t="shared" si="3"/>
        <v>0</v>
      </c>
      <c r="GX6" s="88">
        <f t="shared" si="3"/>
        <v>0</v>
      </c>
      <c r="GY6" s="88">
        <f t="shared" si="3"/>
        <v>0</v>
      </c>
      <c r="GZ6" s="88">
        <f t="shared" si="3"/>
        <v>0</v>
      </c>
      <c r="HA6" s="88">
        <f t="shared" si="3"/>
        <v>0</v>
      </c>
      <c r="HB6" s="88">
        <f t="shared" si="3"/>
        <v>0</v>
      </c>
      <c r="HC6" s="88">
        <f t="shared" si="3"/>
        <v>0</v>
      </c>
      <c r="HD6" s="88">
        <f t="shared" si="3"/>
        <v>0</v>
      </c>
      <c r="HE6" s="88">
        <f t="shared" si="3"/>
        <v>0</v>
      </c>
      <c r="HF6" s="88">
        <f t="shared" si="3"/>
        <v>0</v>
      </c>
      <c r="HG6" s="88">
        <f t="shared" si="3"/>
        <v>0</v>
      </c>
      <c r="HH6" s="88">
        <f t="shared" si="3"/>
        <v>0</v>
      </c>
      <c r="HI6" s="88">
        <f t="shared" si="3"/>
        <v>0</v>
      </c>
      <c r="HJ6" s="88">
        <f t="shared" si="3"/>
        <v>0</v>
      </c>
      <c r="HK6" s="88">
        <f t="shared" si="3"/>
        <v>0</v>
      </c>
      <c r="HL6" s="88">
        <f t="shared" si="3"/>
        <v>0</v>
      </c>
      <c r="HM6" s="88">
        <f t="shared" si="3"/>
        <v>0</v>
      </c>
      <c r="HN6" s="88">
        <f t="shared" si="3"/>
        <v>0</v>
      </c>
      <c r="HO6" s="88">
        <f t="shared" si="3"/>
        <v>0</v>
      </c>
      <c r="HP6" s="88">
        <f t="shared" si="3"/>
        <v>0</v>
      </c>
      <c r="HQ6" s="88">
        <f t="shared" si="3"/>
        <v>0</v>
      </c>
      <c r="HR6" s="88">
        <f t="shared" si="3"/>
        <v>0</v>
      </c>
      <c r="HS6" s="88">
        <f t="shared" si="3"/>
        <v>0</v>
      </c>
      <c r="HT6" s="88">
        <f t="shared" si="3"/>
        <v>0</v>
      </c>
      <c r="HU6" s="88">
        <f t="shared" si="3"/>
        <v>0</v>
      </c>
      <c r="HV6" s="88">
        <f t="shared" si="3"/>
        <v>0</v>
      </c>
      <c r="HW6" s="88">
        <f t="shared" si="3"/>
        <v>0</v>
      </c>
      <c r="HX6" s="88">
        <f t="shared" si="3"/>
        <v>0</v>
      </c>
      <c r="HY6" s="88">
        <f t="shared" si="3"/>
        <v>0</v>
      </c>
      <c r="HZ6" s="88">
        <f t="shared" si="3"/>
        <v>0</v>
      </c>
      <c r="IA6" s="88">
        <f t="shared" si="3"/>
        <v>0</v>
      </c>
      <c r="IB6" s="88">
        <f t="shared" si="3"/>
        <v>0</v>
      </c>
      <c r="IC6" s="88">
        <f t="shared" si="3"/>
        <v>0</v>
      </c>
      <c r="ID6" s="88">
        <f t="shared" si="3"/>
        <v>0</v>
      </c>
      <c r="IE6" s="88">
        <f t="shared" si="3"/>
        <v>0</v>
      </c>
      <c r="IF6" s="88">
        <f t="shared" si="3"/>
        <v>0</v>
      </c>
      <c r="IG6" s="88">
        <f t="shared" si="3"/>
        <v>0</v>
      </c>
      <c r="IH6" s="88">
        <f t="shared" si="3"/>
        <v>0</v>
      </c>
      <c r="II6" s="88">
        <f t="shared" si="3"/>
        <v>0</v>
      </c>
      <c r="IJ6" s="88">
        <f t="shared" si="3"/>
        <v>0</v>
      </c>
      <c r="IK6" s="88">
        <f t="shared" si="3"/>
        <v>0</v>
      </c>
      <c r="IL6" s="88">
        <f t="shared" si="3"/>
        <v>0</v>
      </c>
      <c r="IM6" s="88">
        <f t="shared" si="3"/>
        <v>0</v>
      </c>
      <c r="IN6" s="88">
        <f t="shared" si="3"/>
        <v>0</v>
      </c>
      <c r="IO6" s="88">
        <f t="shared" si="3"/>
        <v>0</v>
      </c>
      <c r="IP6" s="88">
        <f t="shared" si="3"/>
        <v>0</v>
      </c>
      <c r="IQ6" s="88">
        <f t="shared" si="3"/>
        <v>0</v>
      </c>
      <c r="IR6" s="88">
        <f t="shared" si="3"/>
        <v>0</v>
      </c>
      <c r="IS6" s="88">
        <f t="shared" si="3"/>
        <v>0</v>
      </c>
      <c r="IT6" s="88">
        <f t="shared" si="3"/>
        <v>0</v>
      </c>
      <c r="IU6" s="88">
        <f t="shared" si="3"/>
        <v>0</v>
      </c>
      <c r="IV6" s="88">
        <f t="shared" si="3"/>
        <v>0</v>
      </c>
      <c r="IW6" s="88">
        <f t="shared" si="3"/>
        <v>0</v>
      </c>
      <c r="IX6" s="88">
        <f t="shared" si="3"/>
        <v>0</v>
      </c>
      <c r="IY6" s="88">
        <f t="shared" si="3"/>
        <v>0</v>
      </c>
      <c r="IZ6" s="88">
        <f t="shared" si="3"/>
        <v>0</v>
      </c>
      <c r="JA6" s="88">
        <f t="shared" si="3"/>
        <v>0</v>
      </c>
      <c r="JB6" s="88">
        <f t="shared" si="3"/>
        <v>0</v>
      </c>
      <c r="JC6" s="88">
        <f t="shared" si="3"/>
        <v>0</v>
      </c>
      <c r="JD6" s="88">
        <f t="shared" si="3"/>
        <v>0</v>
      </c>
      <c r="JE6" s="88">
        <f t="shared" si="3"/>
        <v>0</v>
      </c>
      <c r="JF6" s="88">
        <f t="shared" si="3"/>
        <v>0</v>
      </c>
      <c r="JG6" s="88">
        <f t="shared" si="3"/>
        <v>0</v>
      </c>
      <c r="JH6" s="88">
        <f t="shared" ref="JH6:LS6" si="4">SUM(JI3:JI5)</f>
        <v>0</v>
      </c>
      <c r="JI6" s="88">
        <f t="shared" si="4"/>
        <v>0</v>
      </c>
      <c r="JJ6" s="88">
        <f t="shared" si="4"/>
        <v>0</v>
      </c>
      <c r="JK6" s="88">
        <f t="shared" si="4"/>
        <v>0</v>
      </c>
      <c r="JL6" s="88">
        <f t="shared" si="4"/>
        <v>0</v>
      </c>
      <c r="JM6" s="88">
        <f t="shared" si="4"/>
        <v>0</v>
      </c>
      <c r="JN6" s="88">
        <f t="shared" si="4"/>
        <v>0</v>
      </c>
      <c r="JO6" s="88">
        <f t="shared" si="4"/>
        <v>0</v>
      </c>
      <c r="JP6" s="88">
        <f t="shared" si="4"/>
        <v>0</v>
      </c>
      <c r="JQ6" s="88">
        <f t="shared" si="4"/>
        <v>0</v>
      </c>
      <c r="JR6" s="88">
        <f t="shared" si="4"/>
        <v>0</v>
      </c>
      <c r="JS6" s="88">
        <f t="shared" si="4"/>
        <v>0</v>
      </c>
      <c r="JT6" s="88">
        <f t="shared" si="4"/>
        <v>0</v>
      </c>
      <c r="JU6" s="88">
        <f t="shared" si="4"/>
        <v>0</v>
      </c>
      <c r="JV6" s="88">
        <f t="shared" si="4"/>
        <v>0</v>
      </c>
      <c r="JW6" s="88">
        <f t="shared" si="4"/>
        <v>0</v>
      </c>
      <c r="JX6" s="88">
        <f t="shared" si="4"/>
        <v>0</v>
      </c>
      <c r="JY6" s="88">
        <f t="shared" si="4"/>
        <v>0</v>
      </c>
      <c r="JZ6" s="88">
        <f t="shared" si="4"/>
        <v>0</v>
      </c>
      <c r="KA6" s="88">
        <f t="shared" si="4"/>
        <v>0</v>
      </c>
      <c r="KB6" s="88">
        <f t="shared" si="4"/>
        <v>0</v>
      </c>
      <c r="KC6" s="88">
        <f t="shared" si="4"/>
        <v>0</v>
      </c>
      <c r="KD6" s="88">
        <f t="shared" si="4"/>
        <v>0</v>
      </c>
      <c r="KE6" s="88">
        <f t="shared" si="4"/>
        <v>0</v>
      </c>
      <c r="KF6" s="88">
        <f t="shared" si="4"/>
        <v>0</v>
      </c>
      <c r="KG6" s="88">
        <f t="shared" si="4"/>
        <v>0</v>
      </c>
      <c r="KH6" s="88">
        <f t="shared" si="4"/>
        <v>0</v>
      </c>
      <c r="KI6" s="88">
        <f t="shared" si="4"/>
        <v>0</v>
      </c>
      <c r="KJ6" s="88">
        <f t="shared" si="4"/>
        <v>0</v>
      </c>
      <c r="KK6" s="88">
        <f t="shared" si="4"/>
        <v>0</v>
      </c>
      <c r="KL6" s="88">
        <f t="shared" si="4"/>
        <v>0</v>
      </c>
      <c r="KM6" s="88">
        <f t="shared" si="4"/>
        <v>0</v>
      </c>
      <c r="KN6" s="88">
        <f t="shared" si="4"/>
        <v>0</v>
      </c>
      <c r="KO6" s="88">
        <f t="shared" si="4"/>
        <v>0</v>
      </c>
      <c r="KP6" s="88">
        <f t="shared" si="4"/>
        <v>0</v>
      </c>
      <c r="KQ6" s="88">
        <f t="shared" si="4"/>
        <v>0</v>
      </c>
      <c r="KR6" s="88">
        <f t="shared" si="4"/>
        <v>0</v>
      </c>
      <c r="KS6" s="88">
        <f t="shared" si="4"/>
        <v>0</v>
      </c>
      <c r="KT6" s="88">
        <f t="shared" si="4"/>
        <v>0</v>
      </c>
      <c r="KU6" s="88">
        <f t="shared" si="4"/>
        <v>0</v>
      </c>
      <c r="KV6" s="88">
        <f t="shared" si="4"/>
        <v>0</v>
      </c>
      <c r="KW6" s="88">
        <f t="shared" si="4"/>
        <v>0</v>
      </c>
      <c r="KX6" s="88">
        <f t="shared" si="4"/>
        <v>0</v>
      </c>
      <c r="KY6" s="88">
        <f t="shared" si="4"/>
        <v>0</v>
      </c>
      <c r="KZ6" s="88">
        <f t="shared" si="4"/>
        <v>0</v>
      </c>
      <c r="LA6" s="88">
        <f t="shared" si="4"/>
        <v>0</v>
      </c>
      <c r="LB6" s="88">
        <f t="shared" si="4"/>
        <v>0</v>
      </c>
      <c r="LC6" s="88">
        <f t="shared" si="4"/>
        <v>0</v>
      </c>
      <c r="LD6" s="88">
        <f t="shared" si="4"/>
        <v>0</v>
      </c>
      <c r="LE6" s="88">
        <f t="shared" si="4"/>
        <v>0</v>
      </c>
      <c r="LF6" s="88">
        <f t="shared" si="4"/>
        <v>0</v>
      </c>
      <c r="LG6" s="88">
        <f t="shared" si="4"/>
        <v>0</v>
      </c>
      <c r="LH6" s="88">
        <f t="shared" si="4"/>
        <v>0</v>
      </c>
      <c r="LI6" s="88">
        <f t="shared" si="4"/>
        <v>0</v>
      </c>
      <c r="LJ6" s="88">
        <f t="shared" si="4"/>
        <v>0</v>
      </c>
      <c r="LK6" s="88">
        <f t="shared" si="4"/>
        <v>0</v>
      </c>
      <c r="LL6" s="88">
        <f t="shared" si="4"/>
        <v>0</v>
      </c>
      <c r="LM6" s="88">
        <f t="shared" si="4"/>
        <v>0</v>
      </c>
      <c r="LN6" s="88">
        <f t="shared" si="4"/>
        <v>0</v>
      </c>
      <c r="LO6" s="88">
        <f t="shared" si="4"/>
        <v>0</v>
      </c>
      <c r="LP6" s="88">
        <f t="shared" si="4"/>
        <v>0</v>
      </c>
      <c r="LQ6" s="88">
        <f t="shared" si="4"/>
        <v>0</v>
      </c>
      <c r="LR6" s="88">
        <f t="shared" si="4"/>
        <v>0</v>
      </c>
      <c r="LS6" s="88">
        <f t="shared" si="4"/>
        <v>0</v>
      </c>
      <c r="LT6" s="88">
        <f t="shared" ref="LT6:OE6" si="5">SUM(LU3:LU5)</f>
        <v>0</v>
      </c>
      <c r="LU6" s="88">
        <f t="shared" si="5"/>
        <v>0</v>
      </c>
      <c r="LV6" s="88">
        <f t="shared" si="5"/>
        <v>0</v>
      </c>
      <c r="LW6" s="88">
        <f t="shared" si="5"/>
        <v>0</v>
      </c>
      <c r="LX6" s="88">
        <f t="shared" si="5"/>
        <v>0</v>
      </c>
      <c r="LY6" s="88">
        <f t="shared" si="5"/>
        <v>0</v>
      </c>
      <c r="LZ6" s="88">
        <f t="shared" si="5"/>
        <v>0</v>
      </c>
      <c r="MA6" s="88">
        <f t="shared" si="5"/>
        <v>0</v>
      </c>
      <c r="MB6" s="88">
        <f t="shared" si="5"/>
        <v>0</v>
      </c>
      <c r="MC6" s="88">
        <f t="shared" si="5"/>
        <v>0</v>
      </c>
      <c r="MD6" s="88">
        <f t="shared" si="5"/>
        <v>0</v>
      </c>
      <c r="ME6" s="88">
        <f t="shared" si="5"/>
        <v>0</v>
      </c>
      <c r="MF6" s="88">
        <f t="shared" si="5"/>
        <v>0</v>
      </c>
      <c r="MG6" s="88">
        <f t="shared" si="5"/>
        <v>0</v>
      </c>
      <c r="MH6" s="88">
        <f t="shared" si="5"/>
        <v>0</v>
      </c>
      <c r="MI6" s="88">
        <f t="shared" si="5"/>
        <v>0</v>
      </c>
      <c r="MJ6" s="88">
        <f t="shared" si="5"/>
        <v>0</v>
      </c>
      <c r="MK6" s="88">
        <f t="shared" si="5"/>
        <v>0</v>
      </c>
      <c r="ML6" s="88">
        <f t="shared" si="5"/>
        <v>0</v>
      </c>
      <c r="MM6" s="88">
        <f t="shared" si="5"/>
        <v>0</v>
      </c>
      <c r="MN6" s="88">
        <f t="shared" si="5"/>
        <v>0</v>
      </c>
      <c r="MO6" s="88">
        <f t="shared" si="5"/>
        <v>0</v>
      </c>
      <c r="MP6" s="88">
        <f t="shared" si="5"/>
        <v>0</v>
      </c>
      <c r="MQ6" s="88">
        <f t="shared" si="5"/>
        <v>0</v>
      </c>
      <c r="MR6" s="88">
        <f t="shared" si="5"/>
        <v>0</v>
      </c>
      <c r="MS6" s="88">
        <f t="shared" si="5"/>
        <v>0</v>
      </c>
      <c r="MT6" s="88">
        <f t="shared" si="5"/>
        <v>0</v>
      </c>
      <c r="MU6" s="88">
        <f t="shared" si="5"/>
        <v>0</v>
      </c>
      <c r="MV6" s="88">
        <f t="shared" si="5"/>
        <v>0</v>
      </c>
      <c r="MW6" s="88">
        <f t="shared" si="5"/>
        <v>0</v>
      </c>
      <c r="MX6" s="88">
        <f t="shared" si="5"/>
        <v>0</v>
      </c>
      <c r="MY6" s="88">
        <f t="shared" si="5"/>
        <v>0</v>
      </c>
      <c r="MZ6" s="88">
        <f t="shared" si="5"/>
        <v>0</v>
      </c>
      <c r="NA6" s="88">
        <f t="shared" si="5"/>
        <v>0</v>
      </c>
      <c r="NB6" s="88">
        <f t="shared" si="5"/>
        <v>0</v>
      </c>
      <c r="NC6" s="88">
        <f t="shared" si="5"/>
        <v>0</v>
      </c>
      <c r="ND6" s="88">
        <f t="shared" si="5"/>
        <v>0</v>
      </c>
      <c r="NE6" s="88">
        <f t="shared" si="5"/>
        <v>0</v>
      </c>
      <c r="NF6" s="88">
        <f t="shared" si="5"/>
        <v>0</v>
      </c>
      <c r="NG6" s="88">
        <f t="shared" si="5"/>
        <v>0</v>
      </c>
      <c r="NH6" s="88">
        <f t="shared" si="5"/>
        <v>0</v>
      </c>
      <c r="NI6" s="88">
        <f t="shared" si="5"/>
        <v>0</v>
      </c>
      <c r="NJ6" s="88">
        <f t="shared" si="5"/>
        <v>0</v>
      </c>
      <c r="NK6" s="88">
        <f t="shared" si="5"/>
        <v>0</v>
      </c>
      <c r="NL6" s="88">
        <f t="shared" si="5"/>
        <v>0</v>
      </c>
      <c r="NM6" s="88">
        <f t="shared" si="5"/>
        <v>0</v>
      </c>
      <c r="NN6" s="88">
        <f t="shared" si="5"/>
        <v>0</v>
      </c>
      <c r="NO6" s="88">
        <f t="shared" si="5"/>
        <v>0</v>
      </c>
      <c r="NP6" s="88">
        <f t="shared" si="5"/>
        <v>0</v>
      </c>
      <c r="NQ6" s="88">
        <f t="shared" si="5"/>
        <v>0</v>
      </c>
      <c r="NR6" s="88">
        <f t="shared" si="5"/>
        <v>0</v>
      </c>
      <c r="NS6" s="88">
        <f t="shared" si="5"/>
        <v>0</v>
      </c>
      <c r="NT6" s="88">
        <f t="shared" si="5"/>
        <v>0</v>
      </c>
      <c r="NU6" s="88">
        <f t="shared" si="5"/>
        <v>0</v>
      </c>
      <c r="NV6" s="88">
        <f t="shared" si="5"/>
        <v>0</v>
      </c>
      <c r="NW6" s="88">
        <f t="shared" si="5"/>
        <v>0</v>
      </c>
      <c r="NX6" s="88">
        <f t="shared" si="5"/>
        <v>0</v>
      </c>
      <c r="NY6" s="88">
        <f t="shared" si="5"/>
        <v>0</v>
      </c>
      <c r="NZ6" s="88">
        <f t="shared" si="5"/>
        <v>0</v>
      </c>
      <c r="OA6" s="88">
        <f t="shared" si="5"/>
        <v>0</v>
      </c>
      <c r="OB6" s="88">
        <f t="shared" si="5"/>
        <v>0</v>
      </c>
      <c r="OC6" s="88">
        <f t="shared" si="5"/>
        <v>0</v>
      </c>
      <c r="OD6" s="88">
        <f t="shared" si="5"/>
        <v>0</v>
      </c>
      <c r="OE6" s="88">
        <f t="shared" si="5"/>
        <v>0</v>
      </c>
      <c r="OF6" s="88">
        <f t="shared" ref="OF6:QQ6" si="6">SUM(OG3:OG5)</f>
        <v>0</v>
      </c>
      <c r="OG6" s="88">
        <f t="shared" si="6"/>
        <v>0</v>
      </c>
      <c r="OH6" s="88">
        <f t="shared" si="6"/>
        <v>0</v>
      </c>
      <c r="OI6" s="88">
        <f t="shared" si="6"/>
        <v>0</v>
      </c>
      <c r="OJ6" s="88">
        <f t="shared" si="6"/>
        <v>0</v>
      </c>
      <c r="OK6" s="88">
        <f t="shared" si="6"/>
        <v>0</v>
      </c>
      <c r="OL6" s="88">
        <f t="shared" si="6"/>
        <v>0</v>
      </c>
      <c r="OM6" s="88">
        <f t="shared" si="6"/>
        <v>0</v>
      </c>
      <c r="ON6" s="88">
        <f t="shared" si="6"/>
        <v>0</v>
      </c>
      <c r="OO6" s="88">
        <f t="shared" si="6"/>
        <v>0</v>
      </c>
      <c r="OP6" s="88">
        <f t="shared" si="6"/>
        <v>0</v>
      </c>
      <c r="OQ6" s="88">
        <f t="shared" si="6"/>
        <v>0</v>
      </c>
      <c r="OR6" s="88">
        <f t="shared" si="6"/>
        <v>0</v>
      </c>
      <c r="OS6" s="88">
        <f t="shared" si="6"/>
        <v>0</v>
      </c>
      <c r="OT6" s="88">
        <f t="shared" si="6"/>
        <v>0</v>
      </c>
      <c r="OU6" s="88">
        <f t="shared" si="6"/>
        <v>0</v>
      </c>
      <c r="OV6" s="88">
        <f t="shared" si="6"/>
        <v>0</v>
      </c>
      <c r="OW6" s="88">
        <f t="shared" si="6"/>
        <v>0</v>
      </c>
      <c r="OX6" s="88">
        <f t="shared" si="6"/>
        <v>0</v>
      </c>
      <c r="OY6" s="88">
        <f t="shared" si="6"/>
        <v>0</v>
      </c>
      <c r="OZ6" s="88">
        <f t="shared" si="6"/>
        <v>0</v>
      </c>
      <c r="PA6" s="88">
        <f t="shared" si="6"/>
        <v>0</v>
      </c>
      <c r="PB6" s="88">
        <f t="shared" si="6"/>
        <v>0</v>
      </c>
      <c r="PC6" s="88">
        <f t="shared" si="6"/>
        <v>0</v>
      </c>
      <c r="PD6" s="88">
        <f t="shared" si="6"/>
        <v>0</v>
      </c>
      <c r="PE6" s="88">
        <f t="shared" si="6"/>
        <v>0</v>
      </c>
      <c r="PF6" s="88">
        <f t="shared" si="6"/>
        <v>0</v>
      </c>
      <c r="PG6" s="88">
        <f t="shared" si="6"/>
        <v>0</v>
      </c>
      <c r="PH6" s="88">
        <f t="shared" si="6"/>
        <v>0</v>
      </c>
      <c r="PI6" s="88">
        <f t="shared" si="6"/>
        <v>0</v>
      </c>
      <c r="PJ6" s="88">
        <f t="shared" si="6"/>
        <v>0</v>
      </c>
      <c r="PK6" s="88">
        <f t="shared" si="6"/>
        <v>0</v>
      </c>
      <c r="PL6" s="88">
        <f t="shared" si="6"/>
        <v>0</v>
      </c>
      <c r="PM6" s="88">
        <f t="shared" si="6"/>
        <v>0</v>
      </c>
      <c r="PN6" s="88">
        <f t="shared" si="6"/>
        <v>0</v>
      </c>
      <c r="PO6" s="88">
        <f t="shared" si="6"/>
        <v>0</v>
      </c>
      <c r="PP6" s="88">
        <f t="shared" si="6"/>
        <v>0</v>
      </c>
      <c r="PQ6" s="88">
        <f t="shared" si="6"/>
        <v>0</v>
      </c>
      <c r="PR6" s="88">
        <f t="shared" si="6"/>
        <v>0</v>
      </c>
      <c r="PS6" s="88">
        <f t="shared" si="6"/>
        <v>0</v>
      </c>
      <c r="PT6" s="88">
        <f t="shared" si="6"/>
        <v>0</v>
      </c>
      <c r="PU6" s="88">
        <f t="shared" si="6"/>
        <v>0</v>
      </c>
      <c r="PV6" s="88">
        <f t="shared" si="6"/>
        <v>0</v>
      </c>
      <c r="PW6" s="88">
        <f t="shared" si="6"/>
        <v>0</v>
      </c>
      <c r="PX6" s="88">
        <f t="shared" si="6"/>
        <v>0</v>
      </c>
      <c r="PY6" s="88">
        <f t="shared" si="6"/>
        <v>0</v>
      </c>
      <c r="PZ6" s="88">
        <f t="shared" si="6"/>
        <v>0</v>
      </c>
      <c r="QA6" s="88">
        <f t="shared" si="6"/>
        <v>0</v>
      </c>
      <c r="QB6" s="88">
        <f t="shared" si="6"/>
        <v>0</v>
      </c>
      <c r="QC6" s="88">
        <f t="shared" si="6"/>
        <v>0</v>
      </c>
      <c r="QD6" s="88">
        <f t="shared" si="6"/>
        <v>0</v>
      </c>
      <c r="QE6" s="88">
        <f t="shared" si="6"/>
        <v>0</v>
      </c>
      <c r="QF6" s="88">
        <f t="shared" si="6"/>
        <v>0</v>
      </c>
      <c r="QG6" s="88">
        <f t="shared" si="6"/>
        <v>0</v>
      </c>
      <c r="QH6" s="88">
        <f t="shared" si="6"/>
        <v>0</v>
      </c>
      <c r="QI6" s="88">
        <f t="shared" si="6"/>
        <v>0</v>
      </c>
      <c r="QJ6" s="88">
        <f t="shared" si="6"/>
        <v>0</v>
      </c>
      <c r="QK6" s="88">
        <f t="shared" si="6"/>
        <v>0</v>
      </c>
      <c r="QL6" s="88">
        <f t="shared" si="6"/>
        <v>0</v>
      </c>
      <c r="QM6" s="88">
        <f t="shared" si="6"/>
        <v>0</v>
      </c>
      <c r="QN6" s="88">
        <f t="shared" si="6"/>
        <v>0</v>
      </c>
      <c r="QO6" s="88">
        <f t="shared" si="6"/>
        <v>0</v>
      </c>
      <c r="QP6" s="88">
        <f t="shared" si="6"/>
        <v>0</v>
      </c>
      <c r="QQ6" s="88">
        <f t="shared" si="6"/>
        <v>0</v>
      </c>
      <c r="QR6" s="88">
        <f t="shared" ref="QR6:TC6" si="7">SUM(QS3:QS5)</f>
        <v>0</v>
      </c>
      <c r="QS6" s="88">
        <f t="shared" si="7"/>
        <v>0</v>
      </c>
      <c r="QT6" s="88">
        <f t="shared" si="7"/>
        <v>0</v>
      </c>
      <c r="QU6" s="88">
        <f t="shared" si="7"/>
        <v>0</v>
      </c>
      <c r="QV6" s="88">
        <f t="shared" si="7"/>
        <v>0</v>
      </c>
      <c r="QW6" s="88">
        <f t="shared" si="7"/>
        <v>0</v>
      </c>
      <c r="QX6" s="88">
        <f t="shared" si="7"/>
        <v>0</v>
      </c>
      <c r="QY6" s="88">
        <f t="shared" si="7"/>
        <v>0</v>
      </c>
      <c r="QZ6" s="88">
        <f t="shared" si="7"/>
        <v>0</v>
      </c>
      <c r="RA6" s="88">
        <f t="shared" si="7"/>
        <v>0</v>
      </c>
      <c r="RB6" s="88">
        <f t="shared" si="7"/>
        <v>0</v>
      </c>
      <c r="RC6" s="88">
        <f t="shared" si="7"/>
        <v>0</v>
      </c>
      <c r="RD6" s="88">
        <f t="shared" si="7"/>
        <v>0</v>
      </c>
      <c r="RE6" s="88">
        <f t="shared" si="7"/>
        <v>0</v>
      </c>
      <c r="RF6" s="88">
        <f t="shared" si="7"/>
        <v>0</v>
      </c>
      <c r="RG6" s="88">
        <f t="shared" si="7"/>
        <v>0</v>
      </c>
      <c r="RH6" s="88">
        <f t="shared" si="7"/>
        <v>0</v>
      </c>
      <c r="RI6" s="88">
        <f t="shared" si="7"/>
        <v>0</v>
      </c>
      <c r="RJ6" s="88">
        <f t="shared" si="7"/>
        <v>0</v>
      </c>
      <c r="RK6" s="88">
        <f t="shared" si="7"/>
        <v>0</v>
      </c>
      <c r="RL6" s="88">
        <f t="shared" si="7"/>
        <v>0</v>
      </c>
      <c r="RM6" s="88">
        <f t="shared" si="7"/>
        <v>0</v>
      </c>
      <c r="RN6" s="88">
        <f t="shared" si="7"/>
        <v>0</v>
      </c>
      <c r="RO6" s="88">
        <f t="shared" si="7"/>
        <v>0</v>
      </c>
      <c r="RP6" s="88">
        <f t="shared" si="7"/>
        <v>0</v>
      </c>
      <c r="RQ6" s="88">
        <f t="shared" si="7"/>
        <v>0</v>
      </c>
      <c r="RR6" s="88">
        <f t="shared" si="7"/>
        <v>0</v>
      </c>
      <c r="RS6" s="88">
        <f t="shared" si="7"/>
        <v>0</v>
      </c>
      <c r="RT6" s="88">
        <f t="shared" si="7"/>
        <v>0</v>
      </c>
      <c r="RU6" s="88">
        <f t="shared" si="7"/>
        <v>0</v>
      </c>
      <c r="RV6" s="88">
        <f t="shared" si="7"/>
        <v>0</v>
      </c>
      <c r="RW6" s="88">
        <f t="shared" si="7"/>
        <v>0</v>
      </c>
      <c r="RX6" s="88">
        <f t="shared" si="7"/>
        <v>0</v>
      </c>
      <c r="RY6" s="88">
        <f t="shared" si="7"/>
        <v>0</v>
      </c>
      <c r="RZ6" s="88">
        <f t="shared" si="7"/>
        <v>0</v>
      </c>
      <c r="SA6" s="88">
        <f t="shared" si="7"/>
        <v>0</v>
      </c>
      <c r="SB6" s="88">
        <f t="shared" si="7"/>
        <v>0</v>
      </c>
      <c r="SC6" s="88">
        <f t="shared" si="7"/>
        <v>0</v>
      </c>
      <c r="SD6" s="88">
        <f t="shared" si="7"/>
        <v>0</v>
      </c>
      <c r="SE6" s="88">
        <f t="shared" si="7"/>
        <v>0</v>
      </c>
      <c r="SF6" s="88">
        <f t="shared" si="7"/>
        <v>0</v>
      </c>
      <c r="SG6" s="88">
        <f t="shared" si="7"/>
        <v>0</v>
      </c>
      <c r="SH6" s="88">
        <f t="shared" si="7"/>
        <v>0</v>
      </c>
      <c r="SI6" s="88">
        <f t="shared" si="7"/>
        <v>0</v>
      </c>
      <c r="SJ6" s="88">
        <f t="shared" si="7"/>
        <v>0</v>
      </c>
      <c r="SK6" s="88">
        <f t="shared" si="7"/>
        <v>0</v>
      </c>
      <c r="SL6" s="88">
        <f t="shared" si="7"/>
        <v>0</v>
      </c>
      <c r="SM6" s="88">
        <f t="shared" si="7"/>
        <v>0</v>
      </c>
      <c r="SN6" s="88">
        <f t="shared" si="7"/>
        <v>0</v>
      </c>
      <c r="SO6" s="88">
        <f t="shared" si="7"/>
        <v>0</v>
      </c>
      <c r="SP6" s="88">
        <f t="shared" si="7"/>
        <v>0</v>
      </c>
      <c r="SQ6" s="88">
        <f t="shared" si="7"/>
        <v>0</v>
      </c>
      <c r="SR6" s="88">
        <f t="shared" si="7"/>
        <v>0</v>
      </c>
      <c r="SS6" s="88">
        <f t="shared" si="7"/>
        <v>0</v>
      </c>
      <c r="ST6" s="88">
        <f t="shared" si="7"/>
        <v>0</v>
      </c>
      <c r="SU6" s="88">
        <f t="shared" si="7"/>
        <v>0</v>
      </c>
      <c r="SV6" s="88">
        <f t="shared" si="7"/>
        <v>0</v>
      </c>
      <c r="SW6" s="88">
        <f t="shared" si="7"/>
        <v>0</v>
      </c>
      <c r="SX6" s="88">
        <f t="shared" si="7"/>
        <v>0</v>
      </c>
      <c r="SY6" s="88">
        <f t="shared" si="7"/>
        <v>0</v>
      </c>
      <c r="SZ6" s="88">
        <f t="shared" si="7"/>
        <v>0</v>
      </c>
      <c r="TA6" s="88">
        <f t="shared" si="7"/>
        <v>0</v>
      </c>
      <c r="TB6" s="88">
        <f t="shared" si="7"/>
        <v>0</v>
      </c>
      <c r="TC6" s="88">
        <f t="shared" si="7"/>
        <v>0</v>
      </c>
      <c r="TD6" s="88">
        <f t="shared" ref="TD6:VO6" si="8">SUM(TE3:TE5)</f>
        <v>0</v>
      </c>
      <c r="TE6" s="88">
        <f t="shared" si="8"/>
        <v>0</v>
      </c>
      <c r="TF6" s="88">
        <f t="shared" si="8"/>
        <v>0</v>
      </c>
      <c r="TG6" s="88">
        <f t="shared" si="8"/>
        <v>0</v>
      </c>
      <c r="TH6" s="88">
        <f t="shared" si="8"/>
        <v>0</v>
      </c>
      <c r="TI6" s="88">
        <f t="shared" si="8"/>
        <v>0</v>
      </c>
      <c r="TJ6" s="88">
        <f t="shared" si="8"/>
        <v>0</v>
      </c>
      <c r="TK6" s="88">
        <f t="shared" si="8"/>
        <v>0</v>
      </c>
      <c r="TL6" s="88">
        <f t="shared" si="8"/>
        <v>0</v>
      </c>
      <c r="TM6" s="88">
        <f t="shared" si="8"/>
        <v>0</v>
      </c>
      <c r="TN6" s="88">
        <f t="shared" si="8"/>
        <v>0</v>
      </c>
      <c r="TO6" s="88">
        <f t="shared" si="8"/>
        <v>0</v>
      </c>
      <c r="TP6" s="88">
        <f t="shared" si="8"/>
        <v>0</v>
      </c>
      <c r="TQ6" s="88">
        <f t="shared" si="8"/>
        <v>0</v>
      </c>
      <c r="TR6" s="88">
        <f t="shared" si="8"/>
        <v>0</v>
      </c>
      <c r="TS6" s="88">
        <f t="shared" si="8"/>
        <v>0</v>
      </c>
      <c r="TT6" s="88">
        <f t="shared" si="8"/>
        <v>0</v>
      </c>
      <c r="TU6" s="88">
        <f t="shared" si="8"/>
        <v>0</v>
      </c>
      <c r="TV6" s="88">
        <f t="shared" si="8"/>
        <v>0</v>
      </c>
      <c r="TW6" s="88">
        <f t="shared" si="8"/>
        <v>0</v>
      </c>
      <c r="TX6" s="88">
        <f t="shared" si="8"/>
        <v>0</v>
      </c>
      <c r="TY6" s="88">
        <f t="shared" si="8"/>
        <v>0</v>
      </c>
      <c r="TZ6" s="88">
        <f t="shared" si="8"/>
        <v>0</v>
      </c>
      <c r="UA6" s="88">
        <f t="shared" si="8"/>
        <v>0</v>
      </c>
      <c r="UB6" s="88">
        <f t="shared" si="8"/>
        <v>0</v>
      </c>
      <c r="UC6" s="88">
        <f t="shared" si="8"/>
        <v>0</v>
      </c>
      <c r="UD6" s="88">
        <f t="shared" si="8"/>
        <v>0</v>
      </c>
      <c r="UE6" s="88">
        <f t="shared" si="8"/>
        <v>0</v>
      </c>
      <c r="UF6" s="88">
        <f t="shared" si="8"/>
        <v>0</v>
      </c>
      <c r="UG6" s="88">
        <f t="shared" si="8"/>
        <v>0</v>
      </c>
      <c r="UH6" s="88">
        <f t="shared" si="8"/>
        <v>0</v>
      </c>
      <c r="UI6" s="88">
        <f t="shared" si="8"/>
        <v>0</v>
      </c>
      <c r="UJ6" s="88">
        <f t="shared" si="8"/>
        <v>0</v>
      </c>
      <c r="UK6" s="88">
        <f t="shared" si="8"/>
        <v>0</v>
      </c>
      <c r="UL6" s="88">
        <f t="shared" si="8"/>
        <v>0</v>
      </c>
      <c r="UM6" s="88">
        <f t="shared" si="8"/>
        <v>0</v>
      </c>
      <c r="UN6" s="88">
        <f t="shared" si="8"/>
        <v>0</v>
      </c>
      <c r="UO6" s="88">
        <f t="shared" si="8"/>
        <v>0</v>
      </c>
      <c r="UP6" s="88">
        <f t="shared" si="8"/>
        <v>0</v>
      </c>
      <c r="UQ6" s="88">
        <f t="shared" si="8"/>
        <v>0</v>
      </c>
      <c r="UR6" s="88">
        <f t="shared" si="8"/>
        <v>0</v>
      </c>
      <c r="US6" s="88">
        <f t="shared" si="8"/>
        <v>0</v>
      </c>
      <c r="UT6" s="88">
        <f t="shared" si="8"/>
        <v>0</v>
      </c>
      <c r="UU6" s="88">
        <f t="shared" si="8"/>
        <v>0</v>
      </c>
      <c r="UV6" s="88">
        <f t="shared" si="8"/>
        <v>0</v>
      </c>
      <c r="UW6" s="88">
        <f t="shared" si="8"/>
        <v>0</v>
      </c>
      <c r="UX6" s="88">
        <f t="shared" si="8"/>
        <v>0</v>
      </c>
      <c r="UY6" s="88">
        <f t="shared" si="8"/>
        <v>0</v>
      </c>
      <c r="UZ6" s="88">
        <f t="shared" si="8"/>
        <v>0</v>
      </c>
      <c r="VA6" s="88">
        <f t="shared" si="8"/>
        <v>0</v>
      </c>
      <c r="VB6" s="88">
        <f t="shared" si="8"/>
        <v>0</v>
      </c>
      <c r="VC6" s="88">
        <f t="shared" si="8"/>
        <v>0</v>
      </c>
      <c r="VD6" s="88">
        <f t="shared" si="8"/>
        <v>0</v>
      </c>
      <c r="VE6" s="88">
        <f t="shared" si="8"/>
        <v>0</v>
      </c>
      <c r="VF6" s="88">
        <f t="shared" si="8"/>
        <v>0</v>
      </c>
      <c r="VG6" s="88">
        <f t="shared" si="8"/>
        <v>0</v>
      </c>
      <c r="VH6" s="88">
        <f t="shared" si="8"/>
        <v>0</v>
      </c>
      <c r="VI6" s="88">
        <f t="shared" si="8"/>
        <v>0</v>
      </c>
      <c r="VJ6" s="88">
        <f t="shared" si="8"/>
        <v>0</v>
      </c>
      <c r="VK6" s="88">
        <f t="shared" si="8"/>
        <v>0</v>
      </c>
      <c r="VL6" s="88">
        <f t="shared" si="8"/>
        <v>0</v>
      </c>
      <c r="VM6" s="88">
        <f t="shared" si="8"/>
        <v>0</v>
      </c>
      <c r="VN6" s="88">
        <f t="shared" si="8"/>
        <v>0</v>
      </c>
      <c r="VO6" s="88">
        <f t="shared" si="8"/>
        <v>0</v>
      </c>
      <c r="VP6" s="88">
        <f t="shared" ref="VP6:YA6" si="9">SUM(VQ3:VQ5)</f>
        <v>0</v>
      </c>
      <c r="VQ6" s="88">
        <f t="shared" si="9"/>
        <v>0</v>
      </c>
      <c r="VR6" s="88">
        <f t="shared" si="9"/>
        <v>0</v>
      </c>
      <c r="VS6" s="88">
        <f t="shared" si="9"/>
        <v>0</v>
      </c>
      <c r="VT6" s="88">
        <f t="shared" si="9"/>
        <v>0</v>
      </c>
      <c r="VU6" s="88">
        <f t="shared" si="9"/>
        <v>0</v>
      </c>
      <c r="VV6" s="88">
        <f t="shared" si="9"/>
        <v>0</v>
      </c>
      <c r="VW6" s="88">
        <f t="shared" si="9"/>
        <v>0</v>
      </c>
      <c r="VX6" s="88">
        <f t="shared" si="9"/>
        <v>0</v>
      </c>
      <c r="VY6" s="88">
        <f t="shared" si="9"/>
        <v>0</v>
      </c>
      <c r="VZ6" s="88">
        <f t="shared" si="9"/>
        <v>0</v>
      </c>
      <c r="WA6" s="88">
        <f t="shared" si="9"/>
        <v>0</v>
      </c>
      <c r="WB6" s="88">
        <f t="shared" si="9"/>
        <v>0</v>
      </c>
      <c r="WC6" s="88">
        <f t="shared" si="9"/>
        <v>0</v>
      </c>
      <c r="WD6" s="88">
        <f t="shared" si="9"/>
        <v>0</v>
      </c>
      <c r="WE6" s="88">
        <f t="shared" si="9"/>
        <v>0</v>
      </c>
      <c r="WF6" s="88">
        <f t="shared" si="9"/>
        <v>0</v>
      </c>
      <c r="WG6" s="88">
        <f t="shared" si="9"/>
        <v>0</v>
      </c>
      <c r="WH6" s="88">
        <f t="shared" si="9"/>
        <v>0</v>
      </c>
      <c r="WI6" s="88">
        <f t="shared" si="9"/>
        <v>0</v>
      </c>
      <c r="WJ6" s="88">
        <f t="shared" si="9"/>
        <v>0</v>
      </c>
      <c r="WK6" s="88">
        <f t="shared" si="9"/>
        <v>0</v>
      </c>
      <c r="WL6" s="88">
        <f t="shared" si="9"/>
        <v>0</v>
      </c>
      <c r="WM6" s="88">
        <f t="shared" si="9"/>
        <v>0</v>
      </c>
      <c r="WN6" s="88">
        <f t="shared" si="9"/>
        <v>0</v>
      </c>
      <c r="WO6" s="88">
        <f t="shared" si="9"/>
        <v>0</v>
      </c>
      <c r="WP6" s="88">
        <f t="shared" si="9"/>
        <v>0</v>
      </c>
      <c r="WQ6" s="88">
        <f t="shared" si="9"/>
        <v>0</v>
      </c>
      <c r="WR6" s="88">
        <f t="shared" si="9"/>
        <v>0</v>
      </c>
      <c r="WS6" s="88">
        <f t="shared" si="9"/>
        <v>0</v>
      </c>
      <c r="WT6" s="88">
        <f t="shared" si="9"/>
        <v>0</v>
      </c>
      <c r="WU6" s="88">
        <f t="shared" si="9"/>
        <v>0</v>
      </c>
      <c r="WV6" s="88">
        <f t="shared" si="9"/>
        <v>0</v>
      </c>
      <c r="WW6" s="88">
        <f t="shared" si="9"/>
        <v>0</v>
      </c>
      <c r="WX6" s="88">
        <f t="shared" si="9"/>
        <v>0</v>
      </c>
      <c r="WY6" s="88">
        <f t="shared" si="9"/>
        <v>0</v>
      </c>
      <c r="WZ6" s="88">
        <f t="shared" si="9"/>
        <v>0</v>
      </c>
      <c r="XA6" s="88">
        <f t="shared" si="9"/>
        <v>0</v>
      </c>
      <c r="XB6" s="88">
        <f t="shared" si="9"/>
        <v>0</v>
      </c>
      <c r="XC6" s="88">
        <f t="shared" si="9"/>
        <v>0</v>
      </c>
      <c r="XD6" s="88">
        <f t="shared" si="9"/>
        <v>0</v>
      </c>
      <c r="XE6" s="88">
        <f t="shared" si="9"/>
        <v>0</v>
      </c>
      <c r="XF6" s="88">
        <f t="shared" si="9"/>
        <v>0</v>
      </c>
      <c r="XG6" s="88">
        <f t="shared" si="9"/>
        <v>0</v>
      </c>
      <c r="XH6" s="88">
        <f t="shared" si="9"/>
        <v>0</v>
      </c>
      <c r="XI6" s="88">
        <f t="shared" si="9"/>
        <v>0</v>
      </c>
      <c r="XJ6" s="88">
        <f t="shared" si="9"/>
        <v>0</v>
      </c>
      <c r="XK6" s="88">
        <f t="shared" si="9"/>
        <v>0</v>
      </c>
      <c r="XL6" s="88">
        <f t="shared" si="9"/>
        <v>0</v>
      </c>
      <c r="XM6" s="88">
        <f t="shared" si="9"/>
        <v>0</v>
      </c>
      <c r="XN6" s="88">
        <f t="shared" si="9"/>
        <v>0</v>
      </c>
      <c r="XO6" s="88">
        <f t="shared" si="9"/>
        <v>0</v>
      </c>
      <c r="XP6" s="88">
        <f t="shared" si="9"/>
        <v>0</v>
      </c>
      <c r="XQ6" s="88">
        <f t="shared" si="9"/>
        <v>0</v>
      </c>
      <c r="XR6" s="88">
        <f t="shared" si="9"/>
        <v>0</v>
      </c>
      <c r="XS6" s="88">
        <f t="shared" si="9"/>
        <v>0</v>
      </c>
      <c r="XT6" s="88">
        <f t="shared" si="9"/>
        <v>0</v>
      </c>
      <c r="XU6" s="88">
        <f t="shared" si="9"/>
        <v>0</v>
      </c>
      <c r="XV6" s="88">
        <f t="shared" si="9"/>
        <v>0</v>
      </c>
      <c r="XW6" s="88">
        <f t="shared" si="9"/>
        <v>0</v>
      </c>
      <c r="XX6" s="88">
        <f t="shared" si="9"/>
        <v>0</v>
      </c>
      <c r="XY6" s="88">
        <f t="shared" si="9"/>
        <v>0</v>
      </c>
      <c r="XZ6" s="88">
        <f t="shared" si="9"/>
        <v>0</v>
      </c>
      <c r="YA6" s="88">
        <f t="shared" si="9"/>
        <v>0</v>
      </c>
      <c r="YB6" s="88">
        <f t="shared" ref="YB6:AAM6" si="10">SUM(YC3:YC5)</f>
        <v>0</v>
      </c>
      <c r="YC6" s="88">
        <f t="shared" si="10"/>
        <v>0</v>
      </c>
      <c r="YD6" s="88">
        <f t="shared" si="10"/>
        <v>0</v>
      </c>
      <c r="YE6" s="88">
        <f t="shared" si="10"/>
        <v>0</v>
      </c>
      <c r="YF6" s="88">
        <f t="shared" si="10"/>
        <v>0</v>
      </c>
      <c r="YG6" s="88">
        <f t="shared" si="10"/>
        <v>0</v>
      </c>
      <c r="YH6" s="88">
        <f t="shared" si="10"/>
        <v>0</v>
      </c>
      <c r="YI6" s="88">
        <f t="shared" si="10"/>
        <v>0</v>
      </c>
      <c r="YJ6" s="88">
        <f t="shared" si="10"/>
        <v>0</v>
      </c>
      <c r="YK6" s="88">
        <f t="shared" si="10"/>
        <v>0</v>
      </c>
      <c r="YL6" s="88">
        <f t="shared" si="10"/>
        <v>0</v>
      </c>
      <c r="YM6" s="88">
        <f t="shared" si="10"/>
        <v>0</v>
      </c>
      <c r="YN6" s="88">
        <f t="shared" si="10"/>
        <v>0</v>
      </c>
      <c r="YO6" s="88">
        <f t="shared" si="10"/>
        <v>0</v>
      </c>
      <c r="YP6" s="88">
        <f t="shared" si="10"/>
        <v>0</v>
      </c>
      <c r="YQ6" s="88">
        <f t="shared" si="10"/>
        <v>0</v>
      </c>
      <c r="YR6" s="88">
        <f t="shared" si="10"/>
        <v>0</v>
      </c>
      <c r="YS6" s="88">
        <f t="shared" si="10"/>
        <v>0</v>
      </c>
      <c r="YT6" s="88">
        <f t="shared" si="10"/>
        <v>0</v>
      </c>
      <c r="YU6" s="88">
        <f t="shared" si="10"/>
        <v>0</v>
      </c>
      <c r="YV6" s="88">
        <f t="shared" si="10"/>
        <v>0</v>
      </c>
      <c r="YW6" s="88">
        <f t="shared" si="10"/>
        <v>0</v>
      </c>
      <c r="YX6" s="88">
        <f t="shared" si="10"/>
        <v>0</v>
      </c>
      <c r="YY6" s="88">
        <f t="shared" si="10"/>
        <v>0</v>
      </c>
      <c r="YZ6" s="88">
        <f t="shared" si="10"/>
        <v>0</v>
      </c>
      <c r="ZA6" s="88">
        <f t="shared" si="10"/>
        <v>0</v>
      </c>
      <c r="ZB6" s="88">
        <f t="shared" si="10"/>
        <v>0</v>
      </c>
      <c r="ZC6" s="88">
        <f t="shared" si="10"/>
        <v>0</v>
      </c>
      <c r="ZD6" s="88">
        <f t="shared" si="10"/>
        <v>0</v>
      </c>
      <c r="ZE6" s="88">
        <f t="shared" si="10"/>
        <v>0</v>
      </c>
      <c r="ZF6" s="88">
        <f t="shared" si="10"/>
        <v>0</v>
      </c>
      <c r="ZG6" s="88">
        <f t="shared" si="10"/>
        <v>0</v>
      </c>
      <c r="ZH6" s="88">
        <f t="shared" si="10"/>
        <v>0</v>
      </c>
      <c r="ZI6" s="88">
        <f t="shared" si="10"/>
        <v>0</v>
      </c>
      <c r="ZJ6" s="88">
        <f t="shared" si="10"/>
        <v>0</v>
      </c>
      <c r="ZK6" s="88">
        <f t="shared" si="10"/>
        <v>0</v>
      </c>
      <c r="ZL6" s="88">
        <f t="shared" si="10"/>
        <v>0</v>
      </c>
      <c r="ZM6" s="88">
        <f t="shared" si="10"/>
        <v>0</v>
      </c>
      <c r="ZN6" s="88">
        <f t="shared" si="10"/>
        <v>0</v>
      </c>
      <c r="ZO6" s="88">
        <f t="shared" si="10"/>
        <v>0</v>
      </c>
      <c r="ZP6" s="88">
        <f t="shared" si="10"/>
        <v>0</v>
      </c>
      <c r="ZQ6" s="88">
        <f t="shared" si="10"/>
        <v>0</v>
      </c>
      <c r="ZR6" s="88">
        <f t="shared" si="10"/>
        <v>0</v>
      </c>
      <c r="ZS6" s="88">
        <f t="shared" si="10"/>
        <v>0</v>
      </c>
      <c r="ZT6" s="88">
        <f t="shared" si="10"/>
        <v>0</v>
      </c>
      <c r="ZU6" s="88">
        <f t="shared" si="10"/>
        <v>0</v>
      </c>
      <c r="ZV6" s="88">
        <f t="shared" si="10"/>
        <v>0</v>
      </c>
      <c r="ZW6" s="88">
        <f t="shared" si="10"/>
        <v>0</v>
      </c>
      <c r="ZX6" s="88">
        <f t="shared" si="10"/>
        <v>0</v>
      </c>
      <c r="ZY6" s="88">
        <f t="shared" si="10"/>
        <v>0</v>
      </c>
      <c r="ZZ6" s="88">
        <f t="shared" si="10"/>
        <v>0</v>
      </c>
      <c r="AAA6" s="88">
        <f t="shared" si="10"/>
        <v>0</v>
      </c>
      <c r="AAB6" s="88">
        <f t="shared" si="10"/>
        <v>0</v>
      </c>
      <c r="AAC6" s="88">
        <f t="shared" si="10"/>
        <v>0</v>
      </c>
      <c r="AAD6" s="88">
        <f t="shared" si="10"/>
        <v>0</v>
      </c>
      <c r="AAE6" s="88">
        <f t="shared" si="10"/>
        <v>0</v>
      </c>
      <c r="AAF6" s="88">
        <f t="shared" si="10"/>
        <v>0</v>
      </c>
      <c r="AAG6" s="88">
        <f t="shared" si="10"/>
        <v>0</v>
      </c>
      <c r="AAH6" s="88">
        <f t="shared" si="10"/>
        <v>0</v>
      </c>
      <c r="AAI6" s="88">
        <f t="shared" si="10"/>
        <v>0</v>
      </c>
      <c r="AAJ6" s="88">
        <f t="shared" si="10"/>
        <v>0</v>
      </c>
      <c r="AAK6" s="88">
        <f t="shared" si="10"/>
        <v>0</v>
      </c>
      <c r="AAL6" s="88">
        <f t="shared" si="10"/>
        <v>0</v>
      </c>
      <c r="AAM6" s="88">
        <f t="shared" si="10"/>
        <v>0</v>
      </c>
      <c r="AAN6" s="88">
        <f t="shared" ref="AAN6:ACY6" si="11">SUM(AAO3:AAO5)</f>
        <v>0</v>
      </c>
      <c r="AAO6" s="88">
        <f t="shared" si="11"/>
        <v>0</v>
      </c>
      <c r="AAP6" s="88">
        <f t="shared" si="11"/>
        <v>0</v>
      </c>
      <c r="AAQ6" s="88">
        <f t="shared" si="11"/>
        <v>0</v>
      </c>
      <c r="AAR6" s="88">
        <f t="shared" si="11"/>
        <v>0</v>
      </c>
      <c r="AAS6" s="88">
        <f t="shared" si="11"/>
        <v>0</v>
      </c>
      <c r="AAT6" s="88">
        <f t="shared" si="11"/>
        <v>0</v>
      </c>
      <c r="AAU6" s="88">
        <f t="shared" si="11"/>
        <v>0</v>
      </c>
      <c r="AAV6" s="88">
        <f t="shared" si="11"/>
        <v>0</v>
      </c>
      <c r="AAW6" s="88">
        <f t="shared" si="11"/>
        <v>0</v>
      </c>
      <c r="AAX6" s="88">
        <f t="shared" si="11"/>
        <v>0</v>
      </c>
      <c r="AAY6" s="88">
        <f t="shared" si="11"/>
        <v>0</v>
      </c>
      <c r="AAZ6" s="88">
        <f t="shared" si="11"/>
        <v>0</v>
      </c>
      <c r="ABA6" s="88">
        <f t="shared" si="11"/>
        <v>0</v>
      </c>
      <c r="ABB6" s="88">
        <f t="shared" si="11"/>
        <v>0</v>
      </c>
      <c r="ABC6" s="88">
        <f t="shared" si="11"/>
        <v>0</v>
      </c>
      <c r="ABD6" s="88">
        <f t="shared" si="11"/>
        <v>0</v>
      </c>
      <c r="ABE6" s="88">
        <f t="shared" si="11"/>
        <v>0</v>
      </c>
      <c r="ABF6" s="88">
        <f t="shared" si="11"/>
        <v>0</v>
      </c>
      <c r="ABG6" s="88">
        <f t="shared" si="11"/>
        <v>0</v>
      </c>
      <c r="ABH6" s="88">
        <f t="shared" si="11"/>
        <v>0</v>
      </c>
      <c r="ABI6" s="88">
        <f t="shared" si="11"/>
        <v>0</v>
      </c>
      <c r="ABJ6" s="88">
        <f t="shared" si="11"/>
        <v>0</v>
      </c>
      <c r="ABK6" s="88">
        <f t="shared" si="11"/>
        <v>0</v>
      </c>
      <c r="ABL6" s="88">
        <f t="shared" si="11"/>
        <v>0</v>
      </c>
      <c r="ABM6" s="88">
        <f t="shared" si="11"/>
        <v>0</v>
      </c>
      <c r="ABN6" s="88">
        <f t="shared" si="11"/>
        <v>0</v>
      </c>
      <c r="ABO6" s="88">
        <f t="shared" si="11"/>
        <v>0</v>
      </c>
      <c r="ABP6" s="88">
        <f t="shared" si="11"/>
        <v>0</v>
      </c>
      <c r="ABQ6" s="88">
        <f t="shared" si="11"/>
        <v>0</v>
      </c>
      <c r="ABR6" s="88">
        <f t="shared" si="11"/>
        <v>0</v>
      </c>
      <c r="ABS6" s="88">
        <f t="shared" si="11"/>
        <v>0</v>
      </c>
      <c r="ABT6" s="88">
        <f t="shared" si="11"/>
        <v>0</v>
      </c>
      <c r="ABU6" s="88">
        <f t="shared" si="11"/>
        <v>0</v>
      </c>
      <c r="ABV6" s="88">
        <f t="shared" si="11"/>
        <v>0</v>
      </c>
      <c r="ABW6" s="88">
        <f t="shared" si="11"/>
        <v>0</v>
      </c>
      <c r="ABX6" s="88">
        <f t="shared" si="11"/>
        <v>0</v>
      </c>
      <c r="ABY6" s="88">
        <f t="shared" si="11"/>
        <v>0</v>
      </c>
      <c r="ABZ6" s="88">
        <f t="shared" si="11"/>
        <v>0</v>
      </c>
      <c r="ACA6" s="88">
        <f t="shared" si="11"/>
        <v>0</v>
      </c>
      <c r="ACB6" s="88">
        <f t="shared" si="11"/>
        <v>0</v>
      </c>
      <c r="ACC6" s="88">
        <f t="shared" si="11"/>
        <v>0</v>
      </c>
      <c r="ACD6" s="88">
        <f t="shared" si="11"/>
        <v>0</v>
      </c>
      <c r="ACE6" s="88">
        <f t="shared" si="11"/>
        <v>0</v>
      </c>
      <c r="ACF6" s="88">
        <f t="shared" si="11"/>
        <v>0</v>
      </c>
      <c r="ACG6" s="88">
        <f t="shared" si="11"/>
        <v>0</v>
      </c>
      <c r="ACH6" s="88">
        <f t="shared" si="11"/>
        <v>0</v>
      </c>
      <c r="ACI6" s="88">
        <f t="shared" si="11"/>
        <v>0</v>
      </c>
      <c r="ACJ6" s="88">
        <f t="shared" si="11"/>
        <v>0</v>
      </c>
      <c r="ACK6" s="88">
        <f t="shared" si="11"/>
        <v>0</v>
      </c>
      <c r="ACL6" s="88">
        <f t="shared" si="11"/>
        <v>0</v>
      </c>
      <c r="ACM6" s="88">
        <f t="shared" si="11"/>
        <v>0</v>
      </c>
      <c r="ACN6" s="88">
        <f t="shared" si="11"/>
        <v>0</v>
      </c>
      <c r="ACO6" s="88">
        <f t="shared" si="11"/>
        <v>0</v>
      </c>
      <c r="ACP6" s="88">
        <f t="shared" si="11"/>
        <v>0</v>
      </c>
      <c r="ACQ6" s="88">
        <f t="shared" si="11"/>
        <v>0</v>
      </c>
      <c r="ACR6" s="88">
        <f t="shared" si="11"/>
        <v>0</v>
      </c>
      <c r="ACS6" s="88">
        <f t="shared" si="11"/>
        <v>0</v>
      </c>
      <c r="ACT6" s="88">
        <f t="shared" si="11"/>
        <v>0</v>
      </c>
      <c r="ACU6" s="88">
        <f t="shared" si="11"/>
        <v>0</v>
      </c>
      <c r="ACV6" s="88">
        <f t="shared" si="11"/>
        <v>0</v>
      </c>
      <c r="ACW6" s="88">
        <f t="shared" si="11"/>
        <v>0</v>
      </c>
      <c r="ACX6" s="88">
        <f t="shared" si="11"/>
        <v>0</v>
      </c>
      <c r="ACY6" s="88">
        <f t="shared" si="11"/>
        <v>0</v>
      </c>
      <c r="ACZ6" s="88">
        <f t="shared" ref="ACZ6:AFK6" si="12">SUM(ADA3:ADA5)</f>
        <v>0</v>
      </c>
      <c r="ADA6" s="88">
        <f t="shared" si="12"/>
        <v>0</v>
      </c>
      <c r="ADB6" s="88">
        <f t="shared" si="12"/>
        <v>0</v>
      </c>
      <c r="ADC6" s="88">
        <f t="shared" si="12"/>
        <v>0</v>
      </c>
      <c r="ADD6" s="88">
        <f t="shared" si="12"/>
        <v>0</v>
      </c>
      <c r="ADE6" s="88">
        <f t="shared" si="12"/>
        <v>0</v>
      </c>
      <c r="ADF6" s="88">
        <f t="shared" si="12"/>
        <v>0</v>
      </c>
      <c r="ADG6" s="88">
        <f t="shared" si="12"/>
        <v>0</v>
      </c>
      <c r="ADH6" s="88">
        <f t="shared" si="12"/>
        <v>0</v>
      </c>
      <c r="ADI6" s="88">
        <f t="shared" si="12"/>
        <v>0</v>
      </c>
      <c r="ADJ6" s="88">
        <f t="shared" si="12"/>
        <v>0</v>
      </c>
      <c r="ADK6" s="88">
        <f t="shared" si="12"/>
        <v>0</v>
      </c>
      <c r="ADL6" s="88">
        <f t="shared" si="12"/>
        <v>0</v>
      </c>
      <c r="ADM6" s="88">
        <f t="shared" si="12"/>
        <v>0</v>
      </c>
      <c r="ADN6" s="88">
        <f t="shared" si="12"/>
        <v>0</v>
      </c>
      <c r="ADO6" s="88">
        <f t="shared" si="12"/>
        <v>0</v>
      </c>
      <c r="ADP6" s="88">
        <f t="shared" si="12"/>
        <v>0</v>
      </c>
      <c r="ADQ6" s="88">
        <f t="shared" si="12"/>
        <v>0</v>
      </c>
      <c r="ADR6" s="88">
        <f t="shared" si="12"/>
        <v>0</v>
      </c>
      <c r="ADS6" s="88">
        <f t="shared" si="12"/>
        <v>0</v>
      </c>
      <c r="ADT6" s="88">
        <f t="shared" si="12"/>
        <v>0</v>
      </c>
      <c r="ADU6" s="88">
        <f t="shared" si="12"/>
        <v>0</v>
      </c>
      <c r="ADV6" s="88">
        <f t="shared" si="12"/>
        <v>0</v>
      </c>
      <c r="ADW6" s="88">
        <f t="shared" si="12"/>
        <v>0</v>
      </c>
      <c r="ADX6" s="88">
        <f t="shared" si="12"/>
        <v>0</v>
      </c>
      <c r="ADY6" s="88">
        <f t="shared" si="12"/>
        <v>0</v>
      </c>
      <c r="ADZ6" s="88">
        <f t="shared" si="12"/>
        <v>0</v>
      </c>
      <c r="AEA6" s="88">
        <f t="shared" si="12"/>
        <v>0</v>
      </c>
      <c r="AEB6" s="88">
        <f t="shared" si="12"/>
        <v>0</v>
      </c>
      <c r="AEC6" s="88">
        <f t="shared" si="12"/>
        <v>0</v>
      </c>
      <c r="AED6" s="88">
        <f t="shared" si="12"/>
        <v>0</v>
      </c>
      <c r="AEE6" s="88">
        <f t="shared" si="12"/>
        <v>0</v>
      </c>
      <c r="AEF6" s="88">
        <f t="shared" si="12"/>
        <v>0</v>
      </c>
      <c r="AEG6" s="88">
        <f t="shared" si="12"/>
        <v>0</v>
      </c>
      <c r="AEH6" s="88">
        <f t="shared" si="12"/>
        <v>0</v>
      </c>
      <c r="AEI6" s="88">
        <f t="shared" si="12"/>
        <v>0</v>
      </c>
      <c r="AEJ6" s="88">
        <f t="shared" si="12"/>
        <v>0</v>
      </c>
      <c r="AEK6" s="88">
        <f t="shared" si="12"/>
        <v>0</v>
      </c>
      <c r="AEL6" s="88">
        <f t="shared" si="12"/>
        <v>0</v>
      </c>
      <c r="AEM6" s="88">
        <f t="shared" si="12"/>
        <v>0</v>
      </c>
      <c r="AEN6" s="88">
        <f t="shared" si="12"/>
        <v>0</v>
      </c>
      <c r="AEO6" s="88">
        <f t="shared" si="12"/>
        <v>0</v>
      </c>
      <c r="AEP6" s="88">
        <f t="shared" si="12"/>
        <v>0</v>
      </c>
      <c r="AEQ6" s="88">
        <f t="shared" si="12"/>
        <v>0</v>
      </c>
      <c r="AER6" s="88">
        <f t="shared" si="12"/>
        <v>0</v>
      </c>
      <c r="AES6" s="88">
        <f t="shared" si="12"/>
        <v>0</v>
      </c>
      <c r="AET6" s="88">
        <f t="shared" si="12"/>
        <v>0</v>
      </c>
      <c r="AEU6" s="88">
        <f t="shared" si="12"/>
        <v>0</v>
      </c>
      <c r="AEV6" s="88">
        <f t="shared" si="12"/>
        <v>0</v>
      </c>
      <c r="AEW6" s="88">
        <f t="shared" si="12"/>
        <v>0</v>
      </c>
      <c r="AEX6" s="88">
        <f t="shared" si="12"/>
        <v>0</v>
      </c>
      <c r="AEY6" s="88">
        <f t="shared" si="12"/>
        <v>0</v>
      </c>
      <c r="AEZ6" s="88">
        <f t="shared" si="12"/>
        <v>0</v>
      </c>
      <c r="AFA6" s="88">
        <f t="shared" si="12"/>
        <v>0</v>
      </c>
      <c r="AFB6" s="88">
        <f t="shared" si="12"/>
        <v>0</v>
      </c>
      <c r="AFC6" s="88">
        <f t="shared" si="12"/>
        <v>0</v>
      </c>
      <c r="AFD6" s="88">
        <f t="shared" si="12"/>
        <v>0</v>
      </c>
      <c r="AFE6" s="88">
        <f t="shared" si="12"/>
        <v>0</v>
      </c>
      <c r="AFF6" s="88">
        <f t="shared" si="12"/>
        <v>0</v>
      </c>
      <c r="AFG6" s="88">
        <f t="shared" si="12"/>
        <v>0</v>
      </c>
      <c r="AFH6" s="88">
        <f t="shared" si="12"/>
        <v>0</v>
      </c>
      <c r="AFI6" s="88">
        <f t="shared" si="12"/>
        <v>0</v>
      </c>
      <c r="AFJ6" s="88">
        <f t="shared" si="12"/>
        <v>0</v>
      </c>
      <c r="AFK6" s="88">
        <f t="shared" si="12"/>
        <v>0</v>
      </c>
      <c r="AFL6" s="88">
        <f t="shared" ref="AFL6:AHW6" si="13">SUM(AFM3:AFM5)</f>
        <v>0</v>
      </c>
      <c r="AFM6" s="88">
        <f t="shared" si="13"/>
        <v>0</v>
      </c>
      <c r="AFN6" s="88">
        <f t="shared" si="13"/>
        <v>0</v>
      </c>
      <c r="AFO6" s="88">
        <f t="shared" si="13"/>
        <v>0</v>
      </c>
      <c r="AFP6" s="88">
        <f t="shared" si="13"/>
        <v>0</v>
      </c>
      <c r="AFQ6" s="88">
        <f t="shared" si="13"/>
        <v>0</v>
      </c>
      <c r="AFR6" s="88">
        <f t="shared" si="13"/>
        <v>0</v>
      </c>
      <c r="AFS6" s="88">
        <f t="shared" si="13"/>
        <v>0</v>
      </c>
      <c r="AFT6" s="88">
        <f t="shared" si="13"/>
        <v>0</v>
      </c>
      <c r="AFU6" s="88">
        <f t="shared" si="13"/>
        <v>0</v>
      </c>
      <c r="AFV6" s="88">
        <f t="shared" si="13"/>
        <v>0</v>
      </c>
      <c r="AFW6" s="88">
        <f t="shared" si="13"/>
        <v>0</v>
      </c>
      <c r="AFX6" s="88">
        <f t="shared" si="13"/>
        <v>0</v>
      </c>
      <c r="AFY6" s="88">
        <f t="shared" si="13"/>
        <v>0</v>
      </c>
      <c r="AFZ6" s="88">
        <f t="shared" si="13"/>
        <v>0</v>
      </c>
      <c r="AGA6" s="88">
        <f t="shared" si="13"/>
        <v>0</v>
      </c>
      <c r="AGB6" s="88">
        <f t="shared" si="13"/>
        <v>0</v>
      </c>
      <c r="AGC6" s="88">
        <f t="shared" si="13"/>
        <v>0</v>
      </c>
      <c r="AGD6" s="88">
        <f t="shared" si="13"/>
        <v>0</v>
      </c>
      <c r="AGE6" s="88">
        <f t="shared" si="13"/>
        <v>0</v>
      </c>
      <c r="AGF6" s="88">
        <f t="shared" si="13"/>
        <v>0</v>
      </c>
      <c r="AGG6" s="88">
        <f t="shared" si="13"/>
        <v>0</v>
      </c>
      <c r="AGH6" s="88">
        <f t="shared" si="13"/>
        <v>0</v>
      </c>
      <c r="AGI6" s="88">
        <f t="shared" si="13"/>
        <v>0</v>
      </c>
      <c r="AGJ6" s="88">
        <f t="shared" si="13"/>
        <v>0</v>
      </c>
      <c r="AGK6" s="88">
        <f t="shared" si="13"/>
        <v>0</v>
      </c>
      <c r="AGL6" s="88">
        <f t="shared" si="13"/>
        <v>0</v>
      </c>
      <c r="AGM6" s="88">
        <f t="shared" si="13"/>
        <v>0</v>
      </c>
      <c r="AGN6" s="88">
        <f t="shared" si="13"/>
        <v>0</v>
      </c>
      <c r="AGO6" s="88">
        <f t="shared" si="13"/>
        <v>0</v>
      </c>
      <c r="AGP6" s="88">
        <f t="shared" si="13"/>
        <v>0</v>
      </c>
      <c r="AGQ6" s="88">
        <f t="shared" si="13"/>
        <v>0</v>
      </c>
      <c r="AGR6" s="88">
        <f t="shared" si="13"/>
        <v>0</v>
      </c>
      <c r="AGS6" s="88">
        <f t="shared" si="13"/>
        <v>0</v>
      </c>
      <c r="AGT6" s="88">
        <f t="shared" si="13"/>
        <v>0</v>
      </c>
      <c r="AGU6" s="88">
        <f t="shared" si="13"/>
        <v>0</v>
      </c>
      <c r="AGV6" s="88">
        <f t="shared" si="13"/>
        <v>0</v>
      </c>
      <c r="AGW6" s="88">
        <f t="shared" si="13"/>
        <v>0</v>
      </c>
      <c r="AGX6" s="88">
        <f t="shared" si="13"/>
        <v>0</v>
      </c>
      <c r="AGY6" s="88">
        <f t="shared" si="13"/>
        <v>0</v>
      </c>
      <c r="AGZ6" s="88">
        <f t="shared" si="13"/>
        <v>0</v>
      </c>
      <c r="AHA6" s="88">
        <f t="shared" si="13"/>
        <v>0</v>
      </c>
      <c r="AHB6" s="88">
        <f t="shared" si="13"/>
        <v>0</v>
      </c>
      <c r="AHC6" s="88">
        <f t="shared" si="13"/>
        <v>0</v>
      </c>
      <c r="AHD6" s="88">
        <f t="shared" si="13"/>
        <v>0</v>
      </c>
      <c r="AHE6" s="88">
        <f t="shared" si="13"/>
        <v>0</v>
      </c>
      <c r="AHF6" s="88">
        <f t="shared" si="13"/>
        <v>0</v>
      </c>
      <c r="AHG6" s="88">
        <f t="shared" si="13"/>
        <v>0</v>
      </c>
      <c r="AHH6" s="88">
        <f t="shared" si="13"/>
        <v>0</v>
      </c>
      <c r="AHI6" s="88">
        <f t="shared" si="13"/>
        <v>0</v>
      </c>
      <c r="AHJ6" s="88">
        <f t="shared" si="13"/>
        <v>0</v>
      </c>
      <c r="AHK6" s="88">
        <f t="shared" si="13"/>
        <v>0</v>
      </c>
      <c r="AHL6" s="88">
        <f t="shared" si="13"/>
        <v>0</v>
      </c>
      <c r="AHM6" s="88">
        <f t="shared" si="13"/>
        <v>0</v>
      </c>
      <c r="AHN6" s="88">
        <f t="shared" si="13"/>
        <v>0</v>
      </c>
      <c r="AHO6" s="88">
        <f t="shared" si="13"/>
        <v>0</v>
      </c>
      <c r="AHP6" s="88">
        <f t="shared" si="13"/>
        <v>0</v>
      </c>
      <c r="AHQ6" s="88">
        <f t="shared" si="13"/>
        <v>0</v>
      </c>
      <c r="AHR6" s="88">
        <f t="shared" si="13"/>
        <v>0</v>
      </c>
      <c r="AHS6" s="88">
        <f t="shared" si="13"/>
        <v>0</v>
      </c>
      <c r="AHT6" s="88">
        <f t="shared" si="13"/>
        <v>0</v>
      </c>
      <c r="AHU6" s="88">
        <f t="shared" si="13"/>
        <v>0</v>
      </c>
      <c r="AHV6" s="88">
        <f t="shared" si="13"/>
        <v>0</v>
      </c>
      <c r="AHW6" s="88">
        <f t="shared" si="13"/>
        <v>0</v>
      </c>
      <c r="AHX6" s="88">
        <f t="shared" ref="AHX6:AKI6" si="14">SUM(AHY3:AHY5)</f>
        <v>0</v>
      </c>
      <c r="AHY6" s="88">
        <f t="shared" si="14"/>
        <v>0</v>
      </c>
      <c r="AHZ6" s="88">
        <f t="shared" si="14"/>
        <v>0</v>
      </c>
      <c r="AIA6" s="88">
        <f t="shared" si="14"/>
        <v>0</v>
      </c>
      <c r="AIB6" s="88">
        <f t="shared" si="14"/>
        <v>0</v>
      </c>
      <c r="AIC6" s="88">
        <f t="shared" si="14"/>
        <v>0</v>
      </c>
      <c r="AID6" s="88">
        <f t="shared" si="14"/>
        <v>0</v>
      </c>
      <c r="AIE6" s="88">
        <f t="shared" si="14"/>
        <v>0</v>
      </c>
      <c r="AIF6" s="88">
        <f t="shared" si="14"/>
        <v>0</v>
      </c>
      <c r="AIG6" s="88">
        <f t="shared" si="14"/>
        <v>0</v>
      </c>
      <c r="AIH6" s="88">
        <f t="shared" si="14"/>
        <v>0</v>
      </c>
      <c r="AII6" s="88">
        <f t="shared" si="14"/>
        <v>0</v>
      </c>
      <c r="AIJ6" s="88">
        <f t="shared" si="14"/>
        <v>0</v>
      </c>
      <c r="AIK6" s="88">
        <f t="shared" si="14"/>
        <v>0</v>
      </c>
      <c r="AIL6" s="88">
        <f t="shared" si="14"/>
        <v>0</v>
      </c>
      <c r="AIM6" s="88">
        <f t="shared" si="14"/>
        <v>0</v>
      </c>
      <c r="AIN6" s="88">
        <f t="shared" si="14"/>
        <v>0</v>
      </c>
      <c r="AIO6" s="88">
        <f t="shared" si="14"/>
        <v>0</v>
      </c>
      <c r="AIP6" s="88">
        <f t="shared" si="14"/>
        <v>0</v>
      </c>
      <c r="AIQ6" s="88">
        <f t="shared" si="14"/>
        <v>0</v>
      </c>
      <c r="AIR6" s="88">
        <f t="shared" si="14"/>
        <v>0</v>
      </c>
      <c r="AIS6" s="88">
        <f t="shared" si="14"/>
        <v>0</v>
      </c>
      <c r="AIT6" s="88">
        <f t="shared" si="14"/>
        <v>0</v>
      </c>
      <c r="AIU6" s="88">
        <f t="shared" si="14"/>
        <v>0</v>
      </c>
      <c r="AIV6" s="88">
        <f t="shared" si="14"/>
        <v>0</v>
      </c>
      <c r="AIW6" s="88">
        <f t="shared" si="14"/>
        <v>0</v>
      </c>
      <c r="AIX6" s="88">
        <f t="shared" si="14"/>
        <v>0</v>
      </c>
      <c r="AIY6" s="88">
        <f t="shared" si="14"/>
        <v>0</v>
      </c>
      <c r="AIZ6" s="88">
        <f t="shared" si="14"/>
        <v>0</v>
      </c>
      <c r="AJA6" s="88">
        <f t="shared" si="14"/>
        <v>0</v>
      </c>
      <c r="AJB6" s="88">
        <f t="shared" si="14"/>
        <v>0</v>
      </c>
      <c r="AJC6" s="88">
        <f t="shared" si="14"/>
        <v>0</v>
      </c>
      <c r="AJD6" s="88">
        <f t="shared" si="14"/>
        <v>0</v>
      </c>
      <c r="AJE6" s="88">
        <f t="shared" si="14"/>
        <v>0</v>
      </c>
      <c r="AJF6" s="88">
        <f t="shared" si="14"/>
        <v>0</v>
      </c>
      <c r="AJG6" s="88">
        <f t="shared" si="14"/>
        <v>0</v>
      </c>
      <c r="AJH6" s="88">
        <f t="shared" si="14"/>
        <v>0</v>
      </c>
      <c r="AJI6" s="88">
        <f t="shared" si="14"/>
        <v>0</v>
      </c>
      <c r="AJJ6" s="88">
        <f t="shared" si="14"/>
        <v>0</v>
      </c>
      <c r="AJK6" s="88">
        <f t="shared" si="14"/>
        <v>0</v>
      </c>
      <c r="AJL6" s="88">
        <f t="shared" si="14"/>
        <v>0</v>
      </c>
      <c r="AJM6" s="88">
        <f t="shared" si="14"/>
        <v>0</v>
      </c>
      <c r="AJN6" s="88">
        <f t="shared" si="14"/>
        <v>0</v>
      </c>
      <c r="AJO6" s="88">
        <f t="shared" si="14"/>
        <v>0</v>
      </c>
      <c r="AJP6" s="88">
        <f t="shared" si="14"/>
        <v>0</v>
      </c>
      <c r="AJQ6" s="88">
        <f t="shared" si="14"/>
        <v>0</v>
      </c>
      <c r="AJR6" s="88">
        <f t="shared" si="14"/>
        <v>0</v>
      </c>
      <c r="AJS6" s="88">
        <f t="shared" si="14"/>
        <v>0</v>
      </c>
      <c r="AJT6" s="88">
        <f t="shared" si="14"/>
        <v>0</v>
      </c>
      <c r="AJU6" s="88">
        <f t="shared" si="14"/>
        <v>0</v>
      </c>
      <c r="AJV6" s="88">
        <f t="shared" si="14"/>
        <v>0</v>
      </c>
      <c r="AJW6" s="88">
        <f t="shared" si="14"/>
        <v>0</v>
      </c>
      <c r="AJX6" s="88">
        <f t="shared" si="14"/>
        <v>0</v>
      </c>
      <c r="AJY6" s="88">
        <f t="shared" si="14"/>
        <v>0</v>
      </c>
      <c r="AJZ6" s="88">
        <f t="shared" si="14"/>
        <v>0</v>
      </c>
      <c r="AKA6" s="88">
        <f t="shared" si="14"/>
        <v>0</v>
      </c>
      <c r="AKB6" s="88">
        <f t="shared" si="14"/>
        <v>0</v>
      </c>
      <c r="AKC6" s="88">
        <f t="shared" si="14"/>
        <v>0</v>
      </c>
      <c r="AKD6" s="88">
        <f t="shared" si="14"/>
        <v>0</v>
      </c>
      <c r="AKE6" s="88">
        <f t="shared" si="14"/>
        <v>0</v>
      </c>
      <c r="AKF6" s="88">
        <f t="shared" si="14"/>
        <v>0</v>
      </c>
      <c r="AKG6" s="88">
        <f t="shared" si="14"/>
        <v>0</v>
      </c>
      <c r="AKH6" s="88">
        <f t="shared" si="14"/>
        <v>0</v>
      </c>
      <c r="AKI6" s="88">
        <f t="shared" si="14"/>
        <v>0</v>
      </c>
      <c r="AKJ6" s="88">
        <f t="shared" ref="AKJ6:AMU6" si="15">SUM(AKK3:AKK5)</f>
        <v>0</v>
      </c>
      <c r="AKK6" s="88">
        <f t="shared" si="15"/>
        <v>0</v>
      </c>
      <c r="AKL6" s="88">
        <f t="shared" si="15"/>
        <v>0</v>
      </c>
      <c r="AKM6" s="88">
        <f t="shared" si="15"/>
        <v>0</v>
      </c>
      <c r="AKN6" s="88">
        <f t="shared" si="15"/>
        <v>0</v>
      </c>
      <c r="AKO6" s="88">
        <f t="shared" si="15"/>
        <v>0</v>
      </c>
      <c r="AKP6" s="88">
        <f t="shared" si="15"/>
        <v>0</v>
      </c>
      <c r="AKQ6" s="88">
        <f t="shared" si="15"/>
        <v>0</v>
      </c>
      <c r="AKR6" s="88">
        <f t="shared" si="15"/>
        <v>0</v>
      </c>
      <c r="AKS6" s="88">
        <f t="shared" si="15"/>
        <v>0</v>
      </c>
      <c r="AKT6" s="88">
        <f t="shared" si="15"/>
        <v>0</v>
      </c>
      <c r="AKU6" s="88">
        <f t="shared" si="15"/>
        <v>0</v>
      </c>
      <c r="AKV6" s="88">
        <f t="shared" si="15"/>
        <v>0</v>
      </c>
      <c r="AKW6" s="88">
        <f t="shared" si="15"/>
        <v>0</v>
      </c>
      <c r="AKX6" s="88">
        <f t="shared" si="15"/>
        <v>0</v>
      </c>
      <c r="AKY6" s="88">
        <f t="shared" si="15"/>
        <v>0</v>
      </c>
      <c r="AKZ6" s="88">
        <f t="shared" si="15"/>
        <v>0</v>
      </c>
      <c r="ALA6" s="88">
        <f t="shared" si="15"/>
        <v>0</v>
      </c>
      <c r="ALB6" s="88">
        <f t="shared" si="15"/>
        <v>0</v>
      </c>
      <c r="ALC6" s="88">
        <f t="shared" si="15"/>
        <v>0</v>
      </c>
      <c r="ALD6" s="88">
        <f t="shared" si="15"/>
        <v>0</v>
      </c>
      <c r="ALE6" s="88">
        <f t="shared" si="15"/>
        <v>0</v>
      </c>
      <c r="ALF6" s="88">
        <f t="shared" si="15"/>
        <v>0</v>
      </c>
      <c r="ALG6" s="88">
        <f t="shared" si="15"/>
        <v>0</v>
      </c>
      <c r="ALH6" s="88">
        <f t="shared" si="15"/>
        <v>0</v>
      </c>
      <c r="ALI6" s="88">
        <f t="shared" si="15"/>
        <v>0</v>
      </c>
      <c r="ALJ6" s="88">
        <f t="shared" si="15"/>
        <v>0</v>
      </c>
      <c r="ALK6" s="88">
        <f t="shared" si="15"/>
        <v>0</v>
      </c>
      <c r="ALL6" s="88">
        <f t="shared" si="15"/>
        <v>0</v>
      </c>
      <c r="ALM6" s="88">
        <f t="shared" si="15"/>
        <v>0</v>
      </c>
      <c r="ALN6" s="88">
        <f t="shared" si="15"/>
        <v>0</v>
      </c>
      <c r="ALO6" s="88">
        <f t="shared" si="15"/>
        <v>0</v>
      </c>
      <c r="ALP6" s="88">
        <f t="shared" si="15"/>
        <v>0</v>
      </c>
      <c r="ALQ6" s="88">
        <f t="shared" si="15"/>
        <v>0</v>
      </c>
      <c r="ALR6" s="88">
        <f t="shared" si="15"/>
        <v>0</v>
      </c>
      <c r="ALS6" s="88">
        <f t="shared" si="15"/>
        <v>0</v>
      </c>
      <c r="ALT6" s="88">
        <f t="shared" si="15"/>
        <v>0</v>
      </c>
      <c r="ALU6" s="88">
        <f t="shared" si="15"/>
        <v>0</v>
      </c>
      <c r="ALV6" s="88">
        <f t="shared" si="15"/>
        <v>0</v>
      </c>
      <c r="ALW6" s="88">
        <f t="shared" si="15"/>
        <v>0</v>
      </c>
      <c r="ALX6" s="88">
        <f t="shared" si="15"/>
        <v>0</v>
      </c>
      <c r="ALY6" s="88">
        <f t="shared" si="15"/>
        <v>0</v>
      </c>
      <c r="ALZ6" s="88">
        <f t="shared" si="15"/>
        <v>0</v>
      </c>
      <c r="AMA6" s="88">
        <f t="shared" si="15"/>
        <v>0</v>
      </c>
      <c r="AMB6" s="88">
        <f t="shared" si="15"/>
        <v>0</v>
      </c>
      <c r="AMC6" s="88">
        <f t="shared" si="15"/>
        <v>0</v>
      </c>
      <c r="AMD6" s="88">
        <f t="shared" si="15"/>
        <v>0</v>
      </c>
      <c r="AME6" s="88">
        <f t="shared" si="15"/>
        <v>0</v>
      </c>
      <c r="AMF6" s="88">
        <f t="shared" si="15"/>
        <v>0</v>
      </c>
      <c r="AMG6" s="88">
        <f t="shared" si="15"/>
        <v>0</v>
      </c>
      <c r="AMH6" s="88">
        <f t="shared" si="15"/>
        <v>0</v>
      </c>
      <c r="AMI6" s="88">
        <f t="shared" si="15"/>
        <v>0</v>
      </c>
      <c r="AMJ6" s="88">
        <f t="shared" si="15"/>
        <v>0</v>
      </c>
      <c r="AMK6" s="88">
        <f t="shared" si="15"/>
        <v>0</v>
      </c>
      <c r="AML6" s="88">
        <f t="shared" si="15"/>
        <v>0</v>
      </c>
      <c r="AMM6" s="88">
        <f t="shared" si="15"/>
        <v>0</v>
      </c>
      <c r="AMN6" s="88">
        <f t="shared" si="15"/>
        <v>0</v>
      </c>
      <c r="AMO6" s="88">
        <f t="shared" si="15"/>
        <v>0</v>
      </c>
      <c r="AMP6" s="88">
        <f t="shared" si="15"/>
        <v>0</v>
      </c>
      <c r="AMQ6" s="88">
        <f t="shared" si="15"/>
        <v>0</v>
      </c>
      <c r="AMR6" s="88">
        <f t="shared" si="15"/>
        <v>0</v>
      </c>
      <c r="AMS6" s="88">
        <f t="shared" si="15"/>
        <v>0</v>
      </c>
      <c r="AMT6" s="88">
        <f t="shared" si="15"/>
        <v>0</v>
      </c>
      <c r="AMU6" s="88">
        <f t="shared" si="15"/>
        <v>0</v>
      </c>
      <c r="AMV6" s="88">
        <f t="shared" ref="AMV6:APG6" si="16">SUM(AMW3:AMW5)</f>
        <v>0</v>
      </c>
      <c r="AMW6" s="88">
        <f t="shared" si="16"/>
        <v>0</v>
      </c>
      <c r="AMX6" s="88">
        <f t="shared" si="16"/>
        <v>0</v>
      </c>
      <c r="AMY6" s="88">
        <f t="shared" si="16"/>
        <v>0</v>
      </c>
      <c r="AMZ6" s="88">
        <f t="shared" si="16"/>
        <v>0</v>
      </c>
      <c r="ANA6" s="88">
        <f t="shared" si="16"/>
        <v>0</v>
      </c>
      <c r="ANB6" s="88">
        <f t="shared" si="16"/>
        <v>0</v>
      </c>
      <c r="ANC6" s="88">
        <f t="shared" si="16"/>
        <v>0</v>
      </c>
      <c r="AND6" s="88">
        <f t="shared" si="16"/>
        <v>0</v>
      </c>
      <c r="ANE6" s="88">
        <f t="shared" si="16"/>
        <v>0</v>
      </c>
      <c r="ANF6" s="88">
        <f t="shared" si="16"/>
        <v>0</v>
      </c>
      <c r="ANG6" s="88">
        <f t="shared" si="16"/>
        <v>0</v>
      </c>
      <c r="ANH6" s="88">
        <f t="shared" si="16"/>
        <v>0</v>
      </c>
      <c r="ANI6" s="88">
        <f t="shared" si="16"/>
        <v>0</v>
      </c>
      <c r="ANJ6" s="88">
        <f t="shared" si="16"/>
        <v>0</v>
      </c>
      <c r="ANK6" s="88">
        <f t="shared" si="16"/>
        <v>0</v>
      </c>
      <c r="ANL6" s="88">
        <f t="shared" si="16"/>
        <v>0</v>
      </c>
      <c r="ANM6" s="88">
        <f t="shared" si="16"/>
        <v>0</v>
      </c>
      <c r="ANN6" s="88">
        <f t="shared" si="16"/>
        <v>0</v>
      </c>
      <c r="ANO6" s="88">
        <f t="shared" si="16"/>
        <v>0</v>
      </c>
      <c r="ANP6" s="88">
        <f t="shared" si="16"/>
        <v>0</v>
      </c>
      <c r="ANQ6" s="88">
        <f t="shared" si="16"/>
        <v>0</v>
      </c>
      <c r="ANR6" s="88">
        <f t="shared" si="16"/>
        <v>0</v>
      </c>
      <c r="ANS6" s="88">
        <f t="shared" si="16"/>
        <v>0</v>
      </c>
      <c r="ANT6" s="88">
        <f t="shared" si="16"/>
        <v>0</v>
      </c>
      <c r="ANU6" s="88">
        <f t="shared" si="16"/>
        <v>0</v>
      </c>
      <c r="ANV6" s="88">
        <f t="shared" si="16"/>
        <v>0</v>
      </c>
      <c r="ANW6" s="88">
        <f t="shared" si="16"/>
        <v>0</v>
      </c>
      <c r="ANX6" s="88">
        <f t="shared" si="16"/>
        <v>0</v>
      </c>
      <c r="ANY6" s="88">
        <f t="shared" si="16"/>
        <v>0</v>
      </c>
      <c r="ANZ6" s="88">
        <f t="shared" si="16"/>
        <v>0</v>
      </c>
      <c r="AOA6" s="88">
        <f t="shared" si="16"/>
        <v>0</v>
      </c>
      <c r="AOB6" s="88">
        <f t="shared" si="16"/>
        <v>0</v>
      </c>
      <c r="AOC6" s="88">
        <f t="shared" si="16"/>
        <v>0</v>
      </c>
      <c r="AOD6" s="88">
        <f t="shared" si="16"/>
        <v>0</v>
      </c>
      <c r="AOE6" s="88">
        <f t="shared" si="16"/>
        <v>0</v>
      </c>
      <c r="AOF6" s="88">
        <f t="shared" si="16"/>
        <v>0</v>
      </c>
      <c r="AOG6" s="88">
        <f t="shared" si="16"/>
        <v>0</v>
      </c>
      <c r="AOH6" s="88">
        <f t="shared" si="16"/>
        <v>0</v>
      </c>
      <c r="AOI6" s="88">
        <f t="shared" si="16"/>
        <v>0</v>
      </c>
      <c r="AOJ6" s="88">
        <f t="shared" si="16"/>
        <v>0</v>
      </c>
      <c r="AOK6" s="88">
        <f t="shared" si="16"/>
        <v>0</v>
      </c>
      <c r="AOL6" s="88">
        <f t="shared" si="16"/>
        <v>0</v>
      </c>
      <c r="AOM6" s="88">
        <f t="shared" si="16"/>
        <v>0</v>
      </c>
      <c r="AON6" s="88">
        <f t="shared" si="16"/>
        <v>0</v>
      </c>
      <c r="AOO6" s="88">
        <f t="shared" si="16"/>
        <v>0</v>
      </c>
      <c r="AOP6" s="88">
        <f t="shared" si="16"/>
        <v>0</v>
      </c>
      <c r="AOQ6" s="88">
        <f t="shared" si="16"/>
        <v>0</v>
      </c>
      <c r="AOR6" s="88">
        <f t="shared" si="16"/>
        <v>0</v>
      </c>
      <c r="AOS6" s="88">
        <f t="shared" si="16"/>
        <v>0</v>
      </c>
      <c r="AOT6" s="88">
        <f t="shared" si="16"/>
        <v>0</v>
      </c>
      <c r="AOU6" s="88">
        <f t="shared" si="16"/>
        <v>0</v>
      </c>
      <c r="AOV6" s="88">
        <f t="shared" si="16"/>
        <v>0</v>
      </c>
      <c r="AOW6" s="88">
        <f t="shared" si="16"/>
        <v>0</v>
      </c>
      <c r="AOX6" s="88">
        <f t="shared" si="16"/>
        <v>0</v>
      </c>
      <c r="AOY6" s="88">
        <f t="shared" si="16"/>
        <v>0</v>
      </c>
      <c r="AOZ6" s="88">
        <f t="shared" si="16"/>
        <v>0</v>
      </c>
      <c r="APA6" s="88">
        <f t="shared" si="16"/>
        <v>0</v>
      </c>
      <c r="APB6" s="88">
        <f t="shared" si="16"/>
        <v>0</v>
      </c>
      <c r="APC6" s="88">
        <f t="shared" si="16"/>
        <v>0</v>
      </c>
      <c r="APD6" s="88">
        <f t="shared" si="16"/>
        <v>0</v>
      </c>
      <c r="APE6" s="88">
        <f t="shared" si="16"/>
        <v>0</v>
      </c>
      <c r="APF6" s="88">
        <f t="shared" si="16"/>
        <v>0</v>
      </c>
      <c r="APG6" s="88">
        <f t="shared" si="16"/>
        <v>0</v>
      </c>
      <c r="APH6" s="88">
        <f t="shared" ref="APH6:ARS6" si="17">SUM(API3:API5)</f>
        <v>0</v>
      </c>
      <c r="API6" s="88">
        <f t="shared" si="17"/>
        <v>0</v>
      </c>
      <c r="APJ6" s="88">
        <f t="shared" si="17"/>
        <v>0</v>
      </c>
      <c r="APK6" s="88">
        <f t="shared" si="17"/>
        <v>0</v>
      </c>
      <c r="APL6" s="88">
        <f t="shared" si="17"/>
        <v>0</v>
      </c>
      <c r="APM6" s="88">
        <f t="shared" si="17"/>
        <v>0</v>
      </c>
      <c r="APN6" s="88">
        <f t="shared" si="17"/>
        <v>0</v>
      </c>
      <c r="APO6" s="88">
        <f t="shared" si="17"/>
        <v>0</v>
      </c>
      <c r="APP6" s="88">
        <f t="shared" si="17"/>
        <v>0</v>
      </c>
      <c r="APQ6" s="88">
        <f t="shared" si="17"/>
        <v>0</v>
      </c>
      <c r="APR6" s="88">
        <f t="shared" si="17"/>
        <v>0</v>
      </c>
      <c r="APS6" s="88">
        <f t="shared" si="17"/>
        <v>0</v>
      </c>
      <c r="APT6" s="88">
        <f t="shared" si="17"/>
        <v>0</v>
      </c>
      <c r="APU6" s="88">
        <f t="shared" si="17"/>
        <v>0</v>
      </c>
      <c r="APV6" s="88">
        <f t="shared" si="17"/>
        <v>0</v>
      </c>
      <c r="APW6" s="88">
        <f t="shared" si="17"/>
        <v>0</v>
      </c>
      <c r="APX6" s="88">
        <f t="shared" si="17"/>
        <v>0</v>
      </c>
      <c r="APY6" s="88">
        <f t="shared" si="17"/>
        <v>0</v>
      </c>
      <c r="APZ6" s="88">
        <f t="shared" si="17"/>
        <v>0</v>
      </c>
      <c r="AQA6" s="88">
        <f t="shared" si="17"/>
        <v>0</v>
      </c>
      <c r="AQB6" s="88">
        <f t="shared" si="17"/>
        <v>0</v>
      </c>
      <c r="AQC6" s="88">
        <f t="shared" si="17"/>
        <v>0</v>
      </c>
      <c r="AQD6" s="88">
        <f t="shared" si="17"/>
        <v>0</v>
      </c>
      <c r="AQE6" s="88">
        <f t="shared" si="17"/>
        <v>0</v>
      </c>
      <c r="AQF6" s="88">
        <f t="shared" si="17"/>
        <v>0</v>
      </c>
      <c r="AQG6" s="88">
        <f t="shared" si="17"/>
        <v>0</v>
      </c>
      <c r="AQH6" s="88">
        <f t="shared" si="17"/>
        <v>0</v>
      </c>
      <c r="AQI6" s="88">
        <f t="shared" si="17"/>
        <v>0</v>
      </c>
      <c r="AQJ6" s="88">
        <f t="shared" si="17"/>
        <v>0</v>
      </c>
      <c r="AQK6" s="88">
        <f t="shared" si="17"/>
        <v>0</v>
      </c>
      <c r="AQL6" s="88">
        <f t="shared" si="17"/>
        <v>0</v>
      </c>
      <c r="AQM6" s="88">
        <f t="shared" si="17"/>
        <v>0</v>
      </c>
      <c r="AQN6" s="88">
        <f t="shared" si="17"/>
        <v>0</v>
      </c>
      <c r="AQO6" s="88">
        <f t="shared" si="17"/>
        <v>0</v>
      </c>
      <c r="AQP6" s="88">
        <f t="shared" si="17"/>
        <v>0</v>
      </c>
      <c r="AQQ6" s="88">
        <f t="shared" si="17"/>
        <v>0</v>
      </c>
      <c r="AQR6" s="88">
        <f t="shared" si="17"/>
        <v>0</v>
      </c>
      <c r="AQS6" s="88">
        <f t="shared" si="17"/>
        <v>0</v>
      </c>
      <c r="AQT6" s="88">
        <f t="shared" si="17"/>
        <v>0</v>
      </c>
      <c r="AQU6" s="88">
        <f t="shared" si="17"/>
        <v>0</v>
      </c>
      <c r="AQV6" s="88">
        <f t="shared" si="17"/>
        <v>0</v>
      </c>
      <c r="AQW6" s="88">
        <f t="shared" si="17"/>
        <v>0</v>
      </c>
      <c r="AQX6" s="88">
        <f t="shared" si="17"/>
        <v>0</v>
      </c>
      <c r="AQY6" s="88">
        <f t="shared" si="17"/>
        <v>0</v>
      </c>
      <c r="AQZ6" s="88">
        <f t="shared" si="17"/>
        <v>0</v>
      </c>
      <c r="ARA6" s="88">
        <f t="shared" si="17"/>
        <v>0</v>
      </c>
      <c r="ARB6" s="88">
        <f t="shared" si="17"/>
        <v>0</v>
      </c>
      <c r="ARC6" s="88">
        <f t="shared" si="17"/>
        <v>0</v>
      </c>
      <c r="ARD6" s="88">
        <f t="shared" si="17"/>
        <v>0</v>
      </c>
      <c r="ARE6" s="88">
        <f t="shared" si="17"/>
        <v>0</v>
      </c>
      <c r="ARF6" s="88">
        <f t="shared" si="17"/>
        <v>0</v>
      </c>
      <c r="ARG6" s="88">
        <f t="shared" si="17"/>
        <v>0</v>
      </c>
      <c r="ARH6" s="88">
        <f t="shared" si="17"/>
        <v>0</v>
      </c>
      <c r="ARI6" s="88">
        <f t="shared" si="17"/>
        <v>0</v>
      </c>
      <c r="ARJ6" s="88">
        <f t="shared" si="17"/>
        <v>0</v>
      </c>
      <c r="ARK6" s="88">
        <f t="shared" si="17"/>
        <v>0</v>
      </c>
      <c r="ARL6" s="88">
        <f t="shared" si="17"/>
        <v>0</v>
      </c>
      <c r="ARM6" s="88">
        <f t="shared" si="17"/>
        <v>0</v>
      </c>
      <c r="ARN6" s="88">
        <f t="shared" si="17"/>
        <v>0</v>
      </c>
      <c r="ARO6" s="88">
        <f t="shared" si="17"/>
        <v>0</v>
      </c>
      <c r="ARP6" s="88">
        <f t="shared" si="17"/>
        <v>0</v>
      </c>
      <c r="ARQ6" s="88">
        <f t="shared" si="17"/>
        <v>0</v>
      </c>
      <c r="ARR6" s="88">
        <f t="shared" si="17"/>
        <v>0</v>
      </c>
      <c r="ARS6" s="88">
        <f t="shared" si="17"/>
        <v>0</v>
      </c>
      <c r="ART6" s="88">
        <f t="shared" ref="ART6:AUE6" si="18">SUM(ARU3:ARU5)</f>
        <v>0</v>
      </c>
      <c r="ARU6" s="88">
        <f t="shared" si="18"/>
        <v>0</v>
      </c>
      <c r="ARV6" s="88">
        <f t="shared" si="18"/>
        <v>0</v>
      </c>
      <c r="ARW6" s="88">
        <f t="shared" si="18"/>
        <v>0</v>
      </c>
      <c r="ARX6" s="88">
        <f t="shared" si="18"/>
        <v>0</v>
      </c>
      <c r="ARY6" s="88">
        <f t="shared" si="18"/>
        <v>0</v>
      </c>
      <c r="ARZ6" s="88">
        <f t="shared" si="18"/>
        <v>0</v>
      </c>
      <c r="ASA6" s="88">
        <f t="shared" si="18"/>
        <v>0</v>
      </c>
      <c r="ASB6" s="88">
        <f t="shared" si="18"/>
        <v>0</v>
      </c>
      <c r="ASC6" s="88">
        <f t="shared" si="18"/>
        <v>0</v>
      </c>
      <c r="ASD6" s="88">
        <f t="shared" si="18"/>
        <v>0</v>
      </c>
      <c r="ASE6" s="88">
        <f t="shared" si="18"/>
        <v>0</v>
      </c>
      <c r="ASF6" s="88">
        <f t="shared" si="18"/>
        <v>0</v>
      </c>
      <c r="ASG6" s="88">
        <f t="shared" si="18"/>
        <v>0</v>
      </c>
      <c r="ASH6" s="88">
        <f t="shared" si="18"/>
        <v>0</v>
      </c>
      <c r="ASI6" s="88">
        <f t="shared" si="18"/>
        <v>0</v>
      </c>
      <c r="ASJ6" s="88">
        <f t="shared" si="18"/>
        <v>0</v>
      </c>
      <c r="ASK6" s="88">
        <f t="shared" si="18"/>
        <v>0</v>
      </c>
      <c r="ASL6" s="88">
        <f t="shared" si="18"/>
        <v>0</v>
      </c>
      <c r="ASM6" s="88">
        <f t="shared" si="18"/>
        <v>0</v>
      </c>
      <c r="ASN6" s="88">
        <f t="shared" si="18"/>
        <v>0</v>
      </c>
      <c r="ASO6" s="88">
        <f t="shared" si="18"/>
        <v>0</v>
      </c>
      <c r="ASP6" s="88">
        <f t="shared" si="18"/>
        <v>0</v>
      </c>
      <c r="ASQ6" s="88">
        <f t="shared" si="18"/>
        <v>0</v>
      </c>
      <c r="ASR6" s="88">
        <f t="shared" si="18"/>
        <v>0</v>
      </c>
      <c r="ASS6" s="88">
        <f t="shared" si="18"/>
        <v>0</v>
      </c>
      <c r="AST6" s="88">
        <f t="shared" si="18"/>
        <v>0</v>
      </c>
      <c r="ASU6" s="88">
        <f t="shared" si="18"/>
        <v>0</v>
      </c>
      <c r="ASV6" s="88">
        <f t="shared" si="18"/>
        <v>0</v>
      </c>
      <c r="ASW6" s="88">
        <f t="shared" si="18"/>
        <v>0</v>
      </c>
      <c r="ASX6" s="88">
        <f t="shared" si="18"/>
        <v>0</v>
      </c>
      <c r="ASY6" s="88">
        <f t="shared" si="18"/>
        <v>0</v>
      </c>
      <c r="ASZ6" s="88">
        <f t="shared" si="18"/>
        <v>0</v>
      </c>
      <c r="ATA6" s="88">
        <f t="shared" si="18"/>
        <v>0</v>
      </c>
      <c r="ATB6" s="88">
        <f t="shared" si="18"/>
        <v>0</v>
      </c>
      <c r="ATC6" s="88">
        <f t="shared" si="18"/>
        <v>0</v>
      </c>
      <c r="ATD6" s="88">
        <f t="shared" si="18"/>
        <v>0</v>
      </c>
      <c r="ATE6" s="88">
        <f t="shared" si="18"/>
        <v>0</v>
      </c>
      <c r="ATF6" s="88">
        <f t="shared" si="18"/>
        <v>0</v>
      </c>
      <c r="ATG6" s="88">
        <f t="shared" si="18"/>
        <v>0</v>
      </c>
      <c r="ATH6" s="88">
        <f t="shared" si="18"/>
        <v>0</v>
      </c>
      <c r="ATI6" s="88">
        <f t="shared" si="18"/>
        <v>0</v>
      </c>
      <c r="ATJ6" s="88">
        <f t="shared" si="18"/>
        <v>0</v>
      </c>
      <c r="ATK6" s="88">
        <f t="shared" si="18"/>
        <v>0</v>
      </c>
      <c r="ATL6" s="88">
        <f t="shared" si="18"/>
        <v>0</v>
      </c>
      <c r="ATM6" s="88">
        <f t="shared" si="18"/>
        <v>0</v>
      </c>
      <c r="ATN6" s="88">
        <f t="shared" si="18"/>
        <v>0</v>
      </c>
      <c r="ATO6" s="88">
        <f t="shared" si="18"/>
        <v>0</v>
      </c>
      <c r="ATP6" s="88">
        <f t="shared" si="18"/>
        <v>0</v>
      </c>
      <c r="ATQ6" s="88">
        <f t="shared" si="18"/>
        <v>0</v>
      </c>
      <c r="ATR6" s="88">
        <f t="shared" si="18"/>
        <v>0</v>
      </c>
      <c r="ATS6" s="88">
        <f t="shared" si="18"/>
        <v>0</v>
      </c>
      <c r="ATT6" s="88">
        <f t="shared" si="18"/>
        <v>0</v>
      </c>
      <c r="ATU6" s="88">
        <f t="shared" si="18"/>
        <v>0</v>
      </c>
      <c r="ATV6" s="88">
        <f t="shared" si="18"/>
        <v>0</v>
      </c>
      <c r="ATW6" s="88">
        <f t="shared" si="18"/>
        <v>0</v>
      </c>
      <c r="ATX6" s="88">
        <f t="shared" si="18"/>
        <v>0</v>
      </c>
      <c r="ATY6" s="88">
        <f t="shared" si="18"/>
        <v>0</v>
      </c>
      <c r="ATZ6" s="88">
        <f t="shared" si="18"/>
        <v>0</v>
      </c>
      <c r="AUA6" s="88">
        <f t="shared" si="18"/>
        <v>0</v>
      </c>
      <c r="AUB6" s="88">
        <f t="shared" si="18"/>
        <v>0</v>
      </c>
      <c r="AUC6" s="88">
        <f t="shared" si="18"/>
        <v>0</v>
      </c>
      <c r="AUD6" s="88">
        <f t="shared" si="18"/>
        <v>0</v>
      </c>
      <c r="AUE6" s="88">
        <f t="shared" si="18"/>
        <v>0</v>
      </c>
      <c r="AUF6" s="88">
        <f t="shared" ref="AUF6:AWQ6" si="19">SUM(AUG3:AUG5)</f>
        <v>0</v>
      </c>
      <c r="AUG6" s="88">
        <f t="shared" si="19"/>
        <v>0</v>
      </c>
      <c r="AUH6" s="88">
        <f t="shared" si="19"/>
        <v>0</v>
      </c>
      <c r="AUI6" s="88">
        <f t="shared" si="19"/>
        <v>0</v>
      </c>
      <c r="AUJ6" s="88">
        <f t="shared" si="19"/>
        <v>0</v>
      </c>
      <c r="AUK6" s="88">
        <f t="shared" si="19"/>
        <v>0</v>
      </c>
      <c r="AUL6" s="88">
        <f t="shared" si="19"/>
        <v>0</v>
      </c>
      <c r="AUM6" s="88">
        <f t="shared" si="19"/>
        <v>0</v>
      </c>
      <c r="AUN6" s="88">
        <f t="shared" si="19"/>
        <v>0</v>
      </c>
      <c r="AUO6" s="88">
        <f t="shared" si="19"/>
        <v>0</v>
      </c>
      <c r="AUP6" s="88">
        <f t="shared" si="19"/>
        <v>0</v>
      </c>
      <c r="AUQ6" s="88">
        <f t="shared" si="19"/>
        <v>0</v>
      </c>
      <c r="AUR6" s="88">
        <f t="shared" si="19"/>
        <v>0</v>
      </c>
      <c r="AUS6" s="88">
        <f t="shared" si="19"/>
        <v>0</v>
      </c>
      <c r="AUT6" s="88">
        <f t="shared" si="19"/>
        <v>0</v>
      </c>
      <c r="AUU6" s="88">
        <f t="shared" si="19"/>
        <v>0</v>
      </c>
      <c r="AUV6" s="88">
        <f t="shared" si="19"/>
        <v>0</v>
      </c>
      <c r="AUW6" s="88">
        <f t="shared" si="19"/>
        <v>0</v>
      </c>
      <c r="AUX6" s="88">
        <f t="shared" si="19"/>
        <v>0</v>
      </c>
      <c r="AUY6" s="88">
        <f t="shared" si="19"/>
        <v>0</v>
      </c>
      <c r="AUZ6" s="88">
        <f t="shared" si="19"/>
        <v>0</v>
      </c>
      <c r="AVA6" s="88">
        <f t="shared" si="19"/>
        <v>0</v>
      </c>
      <c r="AVB6" s="88">
        <f t="shared" si="19"/>
        <v>0</v>
      </c>
      <c r="AVC6" s="88">
        <f t="shared" si="19"/>
        <v>0</v>
      </c>
      <c r="AVD6" s="88">
        <f t="shared" si="19"/>
        <v>0</v>
      </c>
      <c r="AVE6" s="88">
        <f t="shared" si="19"/>
        <v>0</v>
      </c>
      <c r="AVF6" s="88">
        <f t="shared" si="19"/>
        <v>0</v>
      </c>
      <c r="AVG6" s="88">
        <f t="shared" si="19"/>
        <v>0</v>
      </c>
      <c r="AVH6" s="88">
        <f t="shared" si="19"/>
        <v>0</v>
      </c>
      <c r="AVI6" s="88">
        <f t="shared" si="19"/>
        <v>0</v>
      </c>
      <c r="AVJ6" s="88">
        <f t="shared" si="19"/>
        <v>0</v>
      </c>
      <c r="AVK6" s="88">
        <f t="shared" si="19"/>
        <v>0</v>
      </c>
      <c r="AVL6" s="88">
        <f t="shared" si="19"/>
        <v>0</v>
      </c>
      <c r="AVM6" s="88">
        <f t="shared" si="19"/>
        <v>0</v>
      </c>
      <c r="AVN6" s="88">
        <f t="shared" si="19"/>
        <v>0</v>
      </c>
      <c r="AVO6" s="88">
        <f t="shared" si="19"/>
        <v>0</v>
      </c>
      <c r="AVP6" s="88">
        <f t="shared" si="19"/>
        <v>0</v>
      </c>
      <c r="AVQ6" s="88">
        <f t="shared" si="19"/>
        <v>0</v>
      </c>
      <c r="AVR6" s="88">
        <f t="shared" si="19"/>
        <v>0</v>
      </c>
      <c r="AVS6" s="88">
        <f t="shared" si="19"/>
        <v>0</v>
      </c>
      <c r="AVT6" s="88">
        <f t="shared" si="19"/>
        <v>0</v>
      </c>
      <c r="AVU6" s="88">
        <f t="shared" si="19"/>
        <v>0</v>
      </c>
      <c r="AVV6" s="88">
        <f t="shared" si="19"/>
        <v>0</v>
      </c>
      <c r="AVW6" s="88">
        <f t="shared" si="19"/>
        <v>0</v>
      </c>
      <c r="AVX6" s="88">
        <f t="shared" si="19"/>
        <v>0</v>
      </c>
      <c r="AVY6" s="88">
        <f t="shared" si="19"/>
        <v>0</v>
      </c>
      <c r="AVZ6" s="88">
        <f t="shared" si="19"/>
        <v>0</v>
      </c>
      <c r="AWA6" s="88">
        <f t="shared" si="19"/>
        <v>0</v>
      </c>
      <c r="AWB6" s="88">
        <f t="shared" si="19"/>
        <v>0</v>
      </c>
      <c r="AWC6" s="88">
        <f t="shared" si="19"/>
        <v>0</v>
      </c>
      <c r="AWD6" s="88">
        <f t="shared" si="19"/>
        <v>0</v>
      </c>
      <c r="AWE6" s="88">
        <f t="shared" si="19"/>
        <v>0</v>
      </c>
      <c r="AWF6" s="88">
        <f t="shared" si="19"/>
        <v>0</v>
      </c>
      <c r="AWG6" s="88">
        <f t="shared" si="19"/>
        <v>0</v>
      </c>
      <c r="AWH6" s="88">
        <f t="shared" si="19"/>
        <v>0</v>
      </c>
      <c r="AWI6" s="88">
        <f t="shared" si="19"/>
        <v>0</v>
      </c>
      <c r="AWJ6" s="88">
        <f t="shared" si="19"/>
        <v>0</v>
      </c>
      <c r="AWK6" s="88">
        <f t="shared" si="19"/>
        <v>0</v>
      </c>
      <c r="AWL6" s="88">
        <f t="shared" si="19"/>
        <v>0</v>
      </c>
      <c r="AWM6" s="88">
        <f t="shared" si="19"/>
        <v>0</v>
      </c>
      <c r="AWN6" s="88">
        <f t="shared" si="19"/>
        <v>0</v>
      </c>
      <c r="AWO6" s="88">
        <f t="shared" si="19"/>
        <v>0</v>
      </c>
      <c r="AWP6" s="88">
        <f t="shared" si="19"/>
        <v>0</v>
      </c>
      <c r="AWQ6" s="88">
        <f t="shared" si="19"/>
        <v>0</v>
      </c>
      <c r="AWR6" s="88">
        <f t="shared" ref="AWR6:AZC6" si="20">SUM(AWS3:AWS5)</f>
        <v>0</v>
      </c>
      <c r="AWS6" s="88">
        <f t="shared" si="20"/>
        <v>0</v>
      </c>
      <c r="AWT6" s="88">
        <f t="shared" si="20"/>
        <v>0</v>
      </c>
      <c r="AWU6" s="88">
        <f t="shared" si="20"/>
        <v>0</v>
      </c>
      <c r="AWV6" s="88">
        <f t="shared" si="20"/>
        <v>0</v>
      </c>
      <c r="AWW6" s="88">
        <f t="shared" si="20"/>
        <v>0</v>
      </c>
      <c r="AWX6" s="88">
        <f t="shared" si="20"/>
        <v>0</v>
      </c>
      <c r="AWY6" s="88">
        <f t="shared" si="20"/>
        <v>0</v>
      </c>
      <c r="AWZ6" s="88">
        <f t="shared" si="20"/>
        <v>0</v>
      </c>
      <c r="AXA6" s="88">
        <f t="shared" si="20"/>
        <v>0</v>
      </c>
      <c r="AXB6" s="88">
        <f t="shared" si="20"/>
        <v>0</v>
      </c>
      <c r="AXC6" s="88">
        <f t="shared" si="20"/>
        <v>0</v>
      </c>
      <c r="AXD6" s="88">
        <f t="shared" si="20"/>
        <v>0</v>
      </c>
      <c r="AXE6" s="88">
        <f t="shared" si="20"/>
        <v>0</v>
      </c>
      <c r="AXF6" s="88">
        <f t="shared" si="20"/>
        <v>0</v>
      </c>
      <c r="AXG6" s="88">
        <f t="shared" si="20"/>
        <v>0</v>
      </c>
      <c r="AXH6" s="88">
        <f t="shared" si="20"/>
        <v>0</v>
      </c>
      <c r="AXI6" s="88">
        <f t="shared" si="20"/>
        <v>0</v>
      </c>
      <c r="AXJ6" s="88">
        <f t="shared" si="20"/>
        <v>0</v>
      </c>
      <c r="AXK6" s="88">
        <f t="shared" si="20"/>
        <v>0</v>
      </c>
      <c r="AXL6" s="88">
        <f t="shared" si="20"/>
        <v>0</v>
      </c>
      <c r="AXM6" s="88">
        <f t="shared" si="20"/>
        <v>0</v>
      </c>
      <c r="AXN6" s="88">
        <f t="shared" si="20"/>
        <v>0</v>
      </c>
      <c r="AXO6" s="88">
        <f t="shared" si="20"/>
        <v>0</v>
      </c>
      <c r="AXP6" s="88">
        <f t="shared" si="20"/>
        <v>0</v>
      </c>
      <c r="AXQ6" s="88">
        <f t="shared" si="20"/>
        <v>0</v>
      </c>
      <c r="AXR6" s="88">
        <f t="shared" si="20"/>
        <v>0</v>
      </c>
      <c r="AXS6" s="88">
        <f t="shared" si="20"/>
        <v>0</v>
      </c>
      <c r="AXT6" s="88">
        <f t="shared" si="20"/>
        <v>0</v>
      </c>
      <c r="AXU6" s="88">
        <f t="shared" si="20"/>
        <v>0</v>
      </c>
      <c r="AXV6" s="88">
        <f t="shared" si="20"/>
        <v>0</v>
      </c>
      <c r="AXW6" s="88">
        <f t="shared" si="20"/>
        <v>0</v>
      </c>
      <c r="AXX6" s="88">
        <f t="shared" si="20"/>
        <v>0</v>
      </c>
      <c r="AXY6" s="88">
        <f t="shared" si="20"/>
        <v>0</v>
      </c>
      <c r="AXZ6" s="88">
        <f t="shared" si="20"/>
        <v>0</v>
      </c>
      <c r="AYA6" s="88">
        <f t="shared" si="20"/>
        <v>0</v>
      </c>
      <c r="AYB6" s="88">
        <f t="shared" si="20"/>
        <v>0</v>
      </c>
      <c r="AYC6" s="88">
        <f t="shared" si="20"/>
        <v>0</v>
      </c>
      <c r="AYD6" s="88">
        <f t="shared" si="20"/>
        <v>0</v>
      </c>
      <c r="AYE6" s="88">
        <f t="shared" si="20"/>
        <v>0</v>
      </c>
      <c r="AYF6" s="88">
        <f t="shared" si="20"/>
        <v>0</v>
      </c>
      <c r="AYG6" s="88">
        <f t="shared" si="20"/>
        <v>0</v>
      </c>
      <c r="AYH6" s="88">
        <f t="shared" si="20"/>
        <v>0</v>
      </c>
      <c r="AYI6" s="88">
        <f t="shared" si="20"/>
        <v>0</v>
      </c>
      <c r="AYJ6" s="88">
        <f t="shared" si="20"/>
        <v>0</v>
      </c>
      <c r="AYK6" s="88">
        <f t="shared" si="20"/>
        <v>0</v>
      </c>
      <c r="AYL6" s="88">
        <f t="shared" si="20"/>
        <v>0</v>
      </c>
      <c r="AYM6" s="88">
        <f t="shared" si="20"/>
        <v>0</v>
      </c>
      <c r="AYN6" s="88">
        <f t="shared" si="20"/>
        <v>0</v>
      </c>
      <c r="AYO6" s="88">
        <f t="shared" si="20"/>
        <v>0</v>
      </c>
      <c r="AYP6" s="88">
        <f t="shared" si="20"/>
        <v>0</v>
      </c>
      <c r="AYQ6" s="88">
        <f t="shared" si="20"/>
        <v>0</v>
      </c>
      <c r="AYR6" s="88">
        <f t="shared" si="20"/>
        <v>0</v>
      </c>
      <c r="AYS6" s="88">
        <f t="shared" si="20"/>
        <v>0</v>
      </c>
      <c r="AYT6" s="88">
        <f t="shared" si="20"/>
        <v>0</v>
      </c>
      <c r="AYU6" s="88">
        <f t="shared" si="20"/>
        <v>0</v>
      </c>
      <c r="AYV6" s="88">
        <f t="shared" si="20"/>
        <v>0</v>
      </c>
      <c r="AYW6" s="88">
        <f t="shared" si="20"/>
        <v>0</v>
      </c>
      <c r="AYX6" s="88">
        <f t="shared" si="20"/>
        <v>0</v>
      </c>
      <c r="AYY6" s="88">
        <f t="shared" si="20"/>
        <v>0</v>
      </c>
      <c r="AYZ6" s="88">
        <f t="shared" si="20"/>
        <v>0</v>
      </c>
      <c r="AZA6" s="88">
        <f t="shared" si="20"/>
        <v>0</v>
      </c>
      <c r="AZB6" s="88">
        <f t="shared" si="20"/>
        <v>0</v>
      </c>
      <c r="AZC6" s="88">
        <f t="shared" si="20"/>
        <v>0</v>
      </c>
      <c r="AZD6" s="88">
        <f t="shared" ref="AZD6:BBO6" si="21">SUM(AZE3:AZE5)</f>
        <v>0</v>
      </c>
      <c r="AZE6" s="88">
        <f t="shared" si="21"/>
        <v>0</v>
      </c>
      <c r="AZF6" s="88">
        <f t="shared" si="21"/>
        <v>0</v>
      </c>
      <c r="AZG6" s="88">
        <f t="shared" si="21"/>
        <v>0</v>
      </c>
      <c r="AZH6" s="88">
        <f t="shared" si="21"/>
        <v>0</v>
      </c>
      <c r="AZI6" s="88">
        <f t="shared" si="21"/>
        <v>0</v>
      </c>
      <c r="AZJ6" s="88">
        <f t="shared" si="21"/>
        <v>0</v>
      </c>
      <c r="AZK6" s="88">
        <f t="shared" si="21"/>
        <v>0</v>
      </c>
      <c r="AZL6" s="88">
        <f t="shared" si="21"/>
        <v>0</v>
      </c>
      <c r="AZM6" s="88">
        <f t="shared" si="21"/>
        <v>0</v>
      </c>
      <c r="AZN6" s="88">
        <f t="shared" si="21"/>
        <v>0</v>
      </c>
      <c r="AZO6" s="88">
        <f t="shared" si="21"/>
        <v>0</v>
      </c>
      <c r="AZP6" s="88">
        <f t="shared" si="21"/>
        <v>0</v>
      </c>
      <c r="AZQ6" s="88">
        <f t="shared" si="21"/>
        <v>0</v>
      </c>
      <c r="AZR6" s="88">
        <f t="shared" si="21"/>
        <v>0</v>
      </c>
      <c r="AZS6" s="88">
        <f t="shared" si="21"/>
        <v>0</v>
      </c>
      <c r="AZT6" s="88">
        <f t="shared" si="21"/>
        <v>0</v>
      </c>
      <c r="AZU6" s="88">
        <f t="shared" si="21"/>
        <v>0</v>
      </c>
      <c r="AZV6" s="88">
        <f t="shared" si="21"/>
        <v>0</v>
      </c>
      <c r="AZW6" s="88">
        <f t="shared" si="21"/>
        <v>0</v>
      </c>
      <c r="AZX6" s="88">
        <f t="shared" si="21"/>
        <v>0</v>
      </c>
      <c r="AZY6" s="88">
        <f t="shared" si="21"/>
        <v>0</v>
      </c>
      <c r="AZZ6" s="88">
        <f t="shared" si="21"/>
        <v>0</v>
      </c>
      <c r="BAA6" s="88">
        <f t="shared" si="21"/>
        <v>0</v>
      </c>
      <c r="BAB6" s="88">
        <f t="shared" si="21"/>
        <v>0</v>
      </c>
      <c r="BAC6" s="88">
        <f t="shared" si="21"/>
        <v>0</v>
      </c>
      <c r="BAD6" s="88">
        <f t="shared" si="21"/>
        <v>0</v>
      </c>
      <c r="BAE6" s="88">
        <f t="shared" si="21"/>
        <v>0</v>
      </c>
      <c r="BAF6" s="88">
        <f t="shared" si="21"/>
        <v>0</v>
      </c>
      <c r="BAG6" s="88">
        <f t="shared" si="21"/>
        <v>0</v>
      </c>
      <c r="BAH6" s="88">
        <f t="shared" si="21"/>
        <v>0</v>
      </c>
      <c r="BAI6" s="88">
        <f t="shared" si="21"/>
        <v>0</v>
      </c>
      <c r="BAJ6" s="88">
        <f t="shared" si="21"/>
        <v>0</v>
      </c>
      <c r="BAK6" s="88">
        <f t="shared" si="21"/>
        <v>0</v>
      </c>
      <c r="BAL6" s="88">
        <f t="shared" si="21"/>
        <v>0</v>
      </c>
      <c r="BAM6" s="88">
        <f t="shared" si="21"/>
        <v>0</v>
      </c>
      <c r="BAN6" s="88">
        <f t="shared" si="21"/>
        <v>0</v>
      </c>
      <c r="BAO6" s="88">
        <f t="shared" si="21"/>
        <v>0</v>
      </c>
      <c r="BAP6" s="88">
        <f t="shared" si="21"/>
        <v>0</v>
      </c>
      <c r="BAQ6" s="88">
        <f t="shared" si="21"/>
        <v>0</v>
      </c>
      <c r="BAR6" s="88">
        <f t="shared" si="21"/>
        <v>0</v>
      </c>
      <c r="BAS6" s="88">
        <f t="shared" si="21"/>
        <v>0</v>
      </c>
      <c r="BAT6" s="88">
        <f t="shared" si="21"/>
        <v>0</v>
      </c>
      <c r="BAU6" s="88">
        <f t="shared" si="21"/>
        <v>0</v>
      </c>
      <c r="BAV6" s="88">
        <f t="shared" si="21"/>
        <v>0</v>
      </c>
      <c r="BAW6" s="88">
        <f t="shared" si="21"/>
        <v>0</v>
      </c>
      <c r="BAX6" s="88">
        <f t="shared" si="21"/>
        <v>0</v>
      </c>
      <c r="BAY6" s="88">
        <f t="shared" si="21"/>
        <v>0</v>
      </c>
      <c r="BAZ6" s="88">
        <f t="shared" si="21"/>
        <v>0</v>
      </c>
      <c r="BBA6" s="88">
        <f t="shared" si="21"/>
        <v>0</v>
      </c>
      <c r="BBB6" s="88">
        <f t="shared" si="21"/>
        <v>0</v>
      </c>
      <c r="BBC6" s="88">
        <f t="shared" si="21"/>
        <v>0</v>
      </c>
      <c r="BBD6" s="88">
        <f t="shared" si="21"/>
        <v>0</v>
      </c>
      <c r="BBE6" s="88">
        <f t="shared" si="21"/>
        <v>0</v>
      </c>
      <c r="BBF6" s="88">
        <f t="shared" si="21"/>
        <v>0</v>
      </c>
      <c r="BBG6" s="88">
        <f t="shared" si="21"/>
        <v>0</v>
      </c>
      <c r="BBH6" s="88">
        <f t="shared" si="21"/>
        <v>0</v>
      </c>
      <c r="BBI6" s="88">
        <f t="shared" si="21"/>
        <v>0</v>
      </c>
      <c r="BBJ6" s="88">
        <f t="shared" si="21"/>
        <v>0</v>
      </c>
      <c r="BBK6" s="88">
        <f t="shared" si="21"/>
        <v>0</v>
      </c>
      <c r="BBL6" s="88">
        <f t="shared" si="21"/>
        <v>0</v>
      </c>
      <c r="BBM6" s="88">
        <f t="shared" si="21"/>
        <v>0</v>
      </c>
      <c r="BBN6" s="88">
        <f t="shared" si="21"/>
        <v>0</v>
      </c>
      <c r="BBO6" s="88">
        <f t="shared" si="21"/>
        <v>0</v>
      </c>
      <c r="BBP6" s="88">
        <f t="shared" ref="BBP6:BEA6" si="22">SUM(BBQ3:BBQ5)</f>
        <v>0</v>
      </c>
      <c r="BBQ6" s="88">
        <f t="shared" si="22"/>
        <v>0</v>
      </c>
      <c r="BBR6" s="88">
        <f t="shared" si="22"/>
        <v>0</v>
      </c>
      <c r="BBS6" s="88">
        <f t="shared" si="22"/>
        <v>0</v>
      </c>
      <c r="BBT6" s="88">
        <f t="shared" si="22"/>
        <v>0</v>
      </c>
      <c r="BBU6" s="88">
        <f t="shared" si="22"/>
        <v>0</v>
      </c>
      <c r="BBV6" s="88">
        <f t="shared" si="22"/>
        <v>0</v>
      </c>
      <c r="BBW6" s="88">
        <f t="shared" si="22"/>
        <v>0</v>
      </c>
      <c r="BBX6" s="88">
        <f t="shared" si="22"/>
        <v>0</v>
      </c>
      <c r="BBY6" s="88">
        <f t="shared" si="22"/>
        <v>0</v>
      </c>
      <c r="BBZ6" s="88">
        <f t="shared" si="22"/>
        <v>0</v>
      </c>
      <c r="BCA6" s="88">
        <f t="shared" si="22"/>
        <v>0</v>
      </c>
      <c r="BCB6" s="88">
        <f t="shared" si="22"/>
        <v>0</v>
      </c>
      <c r="BCC6" s="88">
        <f t="shared" si="22"/>
        <v>0</v>
      </c>
      <c r="BCD6" s="88">
        <f t="shared" si="22"/>
        <v>0</v>
      </c>
      <c r="BCE6" s="88">
        <f t="shared" si="22"/>
        <v>0</v>
      </c>
      <c r="BCF6" s="88">
        <f t="shared" si="22"/>
        <v>0</v>
      </c>
      <c r="BCG6" s="88">
        <f t="shared" si="22"/>
        <v>0</v>
      </c>
      <c r="BCH6" s="88">
        <f t="shared" si="22"/>
        <v>0</v>
      </c>
      <c r="BCI6" s="88">
        <f t="shared" si="22"/>
        <v>0</v>
      </c>
      <c r="BCJ6" s="88">
        <f t="shared" si="22"/>
        <v>0</v>
      </c>
      <c r="BCK6" s="88">
        <f t="shared" si="22"/>
        <v>0</v>
      </c>
      <c r="BCL6" s="88">
        <f t="shared" si="22"/>
        <v>0</v>
      </c>
      <c r="BCM6" s="88">
        <f t="shared" si="22"/>
        <v>0</v>
      </c>
      <c r="BCN6" s="88">
        <f t="shared" si="22"/>
        <v>0</v>
      </c>
      <c r="BCO6" s="88">
        <f t="shared" si="22"/>
        <v>0</v>
      </c>
      <c r="BCP6" s="88">
        <f t="shared" si="22"/>
        <v>0</v>
      </c>
      <c r="BCQ6" s="88">
        <f t="shared" si="22"/>
        <v>0</v>
      </c>
      <c r="BCR6" s="88">
        <f t="shared" si="22"/>
        <v>0</v>
      </c>
      <c r="BCS6" s="88">
        <f t="shared" si="22"/>
        <v>0</v>
      </c>
      <c r="BCT6" s="88">
        <f t="shared" si="22"/>
        <v>0</v>
      </c>
      <c r="BCU6" s="88">
        <f t="shared" si="22"/>
        <v>0</v>
      </c>
      <c r="BCV6" s="88">
        <f t="shared" si="22"/>
        <v>0</v>
      </c>
      <c r="BCW6" s="88">
        <f t="shared" si="22"/>
        <v>0</v>
      </c>
      <c r="BCX6" s="88">
        <f t="shared" si="22"/>
        <v>0</v>
      </c>
      <c r="BCY6" s="88">
        <f t="shared" si="22"/>
        <v>0</v>
      </c>
      <c r="BCZ6" s="88">
        <f t="shared" si="22"/>
        <v>0</v>
      </c>
      <c r="BDA6" s="88">
        <f t="shared" si="22"/>
        <v>0</v>
      </c>
      <c r="BDB6" s="88">
        <f t="shared" si="22"/>
        <v>0</v>
      </c>
      <c r="BDC6" s="88">
        <f t="shared" si="22"/>
        <v>0</v>
      </c>
      <c r="BDD6" s="88">
        <f t="shared" si="22"/>
        <v>0</v>
      </c>
      <c r="BDE6" s="88">
        <f t="shared" si="22"/>
        <v>0</v>
      </c>
      <c r="BDF6" s="88">
        <f t="shared" si="22"/>
        <v>0</v>
      </c>
      <c r="BDG6" s="88">
        <f t="shared" si="22"/>
        <v>0</v>
      </c>
      <c r="BDH6" s="88">
        <f t="shared" si="22"/>
        <v>0</v>
      </c>
      <c r="BDI6" s="88">
        <f t="shared" si="22"/>
        <v>0</v>
      </c>
      <c r="BDJ6" s="88">
        <f t="shared" si="22"/>
        <v>0</v>
      </c>
      <c r="BDK6" s="88">
        <f t="shared" si="22"/>
        <v>0</v>
      </c>
      <c r="BDL6" s="88">
        <f t="shared" si="22"/>
        <v>0</v>
      </c>
      <c r="BDM6" s="88">
        <f t="shared" si="22"/>
        <v>0</v>
      </c>
      <c r="BDN6" s="88">
        <f t="shared" si="22"/>
        <v>0</v>
      </c>
      <c r="BDO6" s="88">
        <f t="shared" si="22"/>
        <v>0</v>
      </c>
      <c r="BDP6" s="88">
        <f t="shared" si="22"/>
        <v>0</v>
      </c>
      <c r="BDQ6" s="88">
        <f t="shared" si="22"/>
        <v>0</v>
      </c>
      <c r="BDR6" s="88">
        <f t="shared" si="22"/>
        <v>0</v>
      </c>
      <c r="BDS6" s="88">
        <f t="shared" si="22"/>
        <v>0</v>
      </c>
      <c r="BDT6" s="88">
        <f t="shared" si="22"/>
        <v>0</v>
      </c>
      <c r="BDU6" s="88">
        <f t="shared" si="22"/>
        <v>0</v>
      </c>
      <c r="BDV6" s="88">
        <f t="shared" si="22"/>
        <v>0</v>
      </c>
      <c r="BDW6" s="88">
        <f t="shared" si="22"/>
        <v>0</v>
      </c>
      <c r="BDX6" s="88">
        <f t="shared" si="22"/>
        <v>0</v>
      </c>
      <c r="BDY6" s="88">
        <f t="shared" si="22"/>
        <v>0</v>
      </c>
      <c r="BDZ6" s="88">
        <f t="shared" si="22"/>
        <v>0</v>
      </c>
      <c r="BEA6" s="88">
        <f t="shared" si="22"/>
        <v>0</v>
      </c>
      <c r="BEB6" s="88">
        <f t="shared" ref="BEB6:BGM6" si="23">SUM(BEC3:BEC5)</f>
        <v>0</v>
      </c>
      <c r="BEC6" s="88">
        <f t="shared" si="23"/>
        <v>0</v>
      </c>
      <c r="BED6" s="88">
        <f t="shared" si="23"/>
        <v>0</v>
      </c>
      <c r="BEE6" s="88">
        <f t="shared" si="23"/>
        <v>0</v>
      </c>
      <c r="BEF6" s="88">
        <f t="shared" si="23"/>
        <v>0</v>
      </c>
      <c r="BEG6" s="88">
        <f t="shared" si="23"/>
        <v>0</v>
      </c>
      <c r="BEH6" s="88">
        <f t="shared" si="23"/>
        <v>0</v>
      </c>
      <c r="BEI6" s="88">
        <f t="shared" si="23"/>
        <v>0</v>
      </c>
      <c r="BEJ6" s="88">
        <f t="shared" si="23"/>
        <v>0</v>
      </c>
      <c r="BEK6" s="88">
        <f t="shared" si="23"/>
        <v>0</v>
      </c>
      <c r="BEL6" s="88">
        <f t="shared" si="23"/>
        <v>0</v>
      </c>
      <c r="BEM6" s="88">
        <f t="shared" si="23"/>
        <v>0</v>
      </c>
      <c r="BEN6" s="88">
        <f t="shared" si="23"/>
        <v>0</v>
      </c>
      <c r="BEO6" s="88">
        <f t="shared" si="23"/>
        <v>0</v>
      </c>
      <c r="BEP6" s="88">
        <f t="shared" si="23"/>
        <v>0</v>
      </c>
      <c r="BEQ6" s="88">
        <f t="shared" si="23"/>
        <v>0</v>
      </c>
      <c r="BER6" s="88">
        <f t="shared" si="23"/>
        <v>0</v>
      </c>
      <c r="BES6" s="88">
        <f t="shared" si="23"/>
        <v>0</v>
      </c>
      <c r="BET6" s="88">
        <f t="shared" si="23"/>
        <v>0</v>
      </c>
      <c r="BEU6" s="88">
        <f t="shared" si="23"/>
        <v>0</v>
      </c>
      <c r="BEV6" s="88">
        <f t="shared" si="23"/>
        <v>0</v>
      </c>
      <c r="BEW6" s="88">
        <f t="shared" si="23"/>
        <v>0</v>
      </c>
      <c r="BEX6" s="88">
        <f t="shared" si="23"/>
        <v>0</v>
      </c>
      <c r="BEY6" s="88">
        <f t="shared" si="23"/>
        <v>0</v>
      </c>
      <c r="BEZ6" s="88">
        <f t="shared" si="23"/>
        <v>0</v>
      </c>
      <c r="BFA6" s="88">
        <f t="shared" si="23"/>
        <v>0</v>
      </c>
      <c r="BFB6" s="88">
        <f t="shared" si="23"/>
        <v>0</v>
      </c>
      <c r="BFC6" s="88">
        <f t="shared" si="23"/>
        <v>0</v>
      </c>
      <c r="BFD6" s="88">
        <f t="shared" si="23"/>
        <v>0</v>
      </c>
      <c r="BFE6" s="88">
        <f t="shared" si="23"/>
        <v>0</v>
      </c>
      <c r="BFF6" s="88">
        <f t="shared" si="23"/>
        <v>0</v>
      </c>
      <c r="BFG6" s="88">
        <f t="shared" si="23"/>
        <v>0</v>
      </c>
      <c r="BFH6" s="88">
        <f t="shared" si="23"/>
        <v>0</v>
      </c>
      <c r="BFI6" s="88">
        <f t="shared" si="23"/>
        <v>0</v>
      </c>
      <c r="BFJ6" s="88">
        <f t="shared" si="23"/>
        <v>0</v>
      </c>
      <c r="BFK6" s="88">
        <f t="shared" si="23"/>
        <v>0</v>
      </c>
      <c r="BFL6" s="88">
        <f t="shared" si="23"/>
        <v>0</v>
      </c>
      <c r="BFM6" s="88">
        <f t="shared" si="23"/>
        <v>0</v>
      </c>
      <c r="BFN6" s="88">
        <f t="shared" si="23"/>
        <v>0</v>
      </c>
      <c r="BFO6" s="88">
        <f t="shared" si="23"/>
        <v>0</v>
      </c>
      <c r="BFP6" s="88">
        <f t="shared" si="23"/>
        <v>0</v>
      </c>
      <c r="BFQ6" s="88">
        <f t="shared" si="23"/>
        <v>0</v>
      </c>
      <c r="BFR6" s="88">
        <f t="shared" si="23"/>
        <v>0</v>
      </c>
      <c r="BFS6" s="88">
        <f t="shared" si="23"/>
        <v>0</v>
      </c>
      <c r="BFT6" s="88">
        <f t="shared" si="23"/>
        <v>0</v>
      </c>
      <c r="BFU6" s="88">
        <f t="shared" si="23"/>
        <v>0</v>
      </c>
      <c r="BFV6" s="88">
        <f t="shared" si="23"/>
        <v>0</v>
      </c>
      <c r="BFW6" s="88">
        <f t="shared" si="23"/>
        <v>0</v>
      </c>
      <c r="BFX6" s="88">
        <f t="shared" si="23"/>
        <v>0</v>
      </c>
      <c r="BFY6" s="88">
        <f t="shared" si="23"/>
        <v>0</v>
      </c>
      <c r="BFZ6" s="88">
        <f t="shared" si="23"/>
        <v>0</v>
      </c>
      <c r="BGA6" s="88">
        <f t="shared" si="23"/>
        <v>0</v>
      </c>
      <c r="BGB6" s="88">
        <f t="shared" si="23"/>
        <v>0</v>
      </c>
      <c r="BGC6" s="88">
        <f t="shared" si="23"/>
        <v>0</v>
      </c>
      <c r="BGD6" s="88">
        <f t="shared" si="23"/>
        <v>0</v>
      </c>
      <c r="BGE6" s="88">
        <f t="shared" si="23"/>
        <v>0</v>
      </c>
      <c r="BGF6" s="88">
        <f t="shared" si="23"/>
        <v>0</v>
      </c>
      <c r="BGG6" s="88">
        <f t="shared" si="23"/>
        <v>0</v>
      </c>
      <c r="BGH6" s="88">
        <f t="shared" si="23"/>
        <v>0</v>
      </c>
      <c r="BGI6" s="88">
        <f t="shared" si="23"/>
        <v>0</v>
      </c>
      <c r="BGJ6" s="88">
        <f t="shared" si="23"/>
        <v>0</v>
      </c>
      <c r="BGK6" s="88">
        <f t="shared" si="23"/>
        <v>0</v>
      </c>
      <c r="BGL6" s="88">
        <f t="shared" si="23"/>
        <v>0</v>
      </c>
      <c r="BGM6" s="88">
        <f t="shared" si="23"/>
        <v>0</v>
      </c>
      <c r="BGN6" s="88">
        <f t="shared" ref="BGN6:BIY6" si="24">SUM(BGO3:BGO5)</f>
        <v>0</v>
      </c>
      <c r="BGO6" s="88">
        <f t="shared" si="24"/>
        <v>0</v>
      </c>
      <c r="BGP6" s="88">
        <f t="shared" si="24"/>
        <v>0</v>
      </c>
      <c r="BGQ6" s="88">
        <f t="shared" si="24"/>
        <v>0</v>
      </c>
      <c r="BGR6" s="88">
        <f t="shared" si="24"/>
        <v>0</v>
      </c>
      <c r="BGS6" s="88">
        <f t="shared" si="24"/>
        <v>0</v>
      </c>
      <c r="BGT6" s="88">
        <f t="shared" si="24"/>
        <v>0</v>
      </c>
      <c r="BGU6" s="88">
        <f t="shared" si="24"/>
        <v>0</v>
      </c>
      <c r="BGV6" s="88">
        <f t="shared" si="24"/>
        <v>0</v>
      </c>
      <c r="BGW6" s="88">
        <f t="shared" si="24"/>
        <v>0</v>
      </c>
      <c r="BGX6" s="88">
        <f t="shared" si="24"/>
        <v>0</v>
      </c>
      <c r="BGY6" s="88">
        <f t="shared" si="24"/>
        <v>0</v>
      </c>
      <c r="BGZ6" s="88">
        <f t="shared" si="24"/>
        <v>0</v>
      </c>
      <c r="BHA6" s="88">
        <f t="shared" si="24"/>
        <v>0</v>
      </c>
      <c r="BHB6" s="88">
        <f t="shared" si="24"/>
        <v>0</v>
      </c>
      <c r="BHC6" s="88">
        <f t="shared" si="24"/>
        <v>0</v>
      </c>
      <c r="BHD6" s="88">
        <f t="shared" si="24"/>
        <v>0</v>
      </c>
      <c r="BHE6" s="88">
        <f t="shared" si="24"/>
        <v>0</v>
      </c>
      <c r="BHF6" s="88">
        <f t="shared" si="24"/>
        <v>0</v>
      </c>
      <c r="BHG6" s="88">
        <f t="shared" si="24"/>
        <v>0</v>
      </c>
      <c r="BHH6" s="88">
        <f t="shared" si="24"/>
        <v>0</v>
      </c>
      <c r="BHI6" s="88">
        <f t="shared" si="24"/>
        <v>0</v>
      </c>
      <c r="BHJ6" s="88">
        <f t="shared" si="24"/>
        <v>0</v>
      </c>
      <c r="BHK6" s="88">
        <f t="shared" si="24"/>
        <v>0</v>
      </c>
      <c r="BHL6" s="88">
        <f t="shared" si="24"/>
        <v>0</v>
      </c>
      <c r="BHM6" s="88">
        <f t="shared" si="24"/>
        <v>0</v>
      </c>
      <c r="BHN6" s="88">
        <f t="shared" si="24"/>
        <v>0</v>
      </c>
      <c r="BHO6" s="88">
        <f t="shared" si="24"/>
        <v>0</v>
      </c>
      <c r="BHP6" s="88">
        <f t="shared" si="24"/>
        <v>0</v>
      </c>
      <c r="BHQ6" s="88">
        <f t="shared" si="24"/>
        <v>0</v>
      </c>
      <c r="BHR6" s="88">
        <f t="shared" si="24"/>
        <v>0</v>
      </c>
      <c r="BHS6" s="88">
        <f t="shared" si="24"/>
        <v>0</v>
      </c>
      <c r="BHT6" s="88">
        <f t="shared" si="24"/>
        <v>0</v>
      </c>
      <c r="BHU6" s="88">
        <f t="shared" si="24"/>
        <v>0</v>
      </c>
      <c r="BHV6" s="88">
        <f t="shared" si="24"/>
        <v>0</v>
      </c>
      <c r="BHW6" s="88">
        <f t="shared" si="24"/>
        <v>0</v>
      </c>
      <c r="BHX6" s="88">
        <f t="shared" si="24"/>
        <v>0</v>
      </c>
      <c r="BHY6" s="88">
        <f t="shared" si="24"/>
        <v>0</v>
      </c>
      <c r="BHZ6" s="88">
        <f t="shared" si="24"/>
        <v>0</v>
      </c>
      <c r="BIA6" s="88">
        <f t="shared" si="24"/>
        <v>0</v>
      </c>
      <c r="BIB6" s="88">
        <f t="shared" si="24"/>
        <v>0</v>
      </c>
      <c r="BIC6" s="88">
        <f t="shared" si="24"/>
        <v>0</v>
      </c>
      <c r="BID6" s="88">
        <f t="shared" si="24"/>
        <v>0</v>
      </c>
      <c r="BIE6" s="88">
        <f t="shared" si="24"/>
        <v>0</v>
      </c>
      <c r="BIF6" s="88">
        <f t="shared" si="24"/>
        <v>0</v>
      </c>
      <c r="BIG6" s="88">
        <f t="shared" si="24"/>
        <v>0</v>
      </c>
      <c r="BIH6" s="88">
        <f t="shared" si="24"/>
        <v>0</v>
      </c>
      <c r="BII6" s="88">
        <f t="shared" si="24"/>
        <v>0</v>
      </c>
      <c r="BIJ6" s="88">
        <f t="shared" si="24"/>
        <v>0</v>
      </c>
      <c r="BIK6" s="88">
        <f t="shared" si="24"/>
        <v>0</v>
      </c>
      <c r="BIL6" s="88">
        <f t="shared" si="24"/>
        <v>0</v>
      </c>
      <c r="BIM6" s="88">
        <f t="shared" si="24"/>
        <v>0</v>
      </c>
      <c r="BIN6" s="88">
        <f t="shared" si="24"/>
        <v>0</v>
      </c>
      <c r="BIO6" s="88">
        <f t="shared" si="24"/>
        <v>0</v>
      </c>
      <c r="BIP6" s="88">
        <f t="shared" si="24"/>
        <v>0</v>
      </c>
      <c r="BIQ6" s="88">
        <f t="shared" si="24"/>
        <v>0</v>
      </c>
      <c r="BIR6" s="88">
        <f t="shared" si="24"/>
        <v>0</v>
      </c>
      <c r="BIS6" s="88">
        <f t="shared" si="24"/>
        <v>0</v>
      </c>
      <c r="BIT6" s="88">
        <f t="shared" si="24"/>
        <v>0</v>
      </c>
      <c r="BIU6" s="88">
        <f t="shared" si="24"/>
        <v>0</v>
      </c>
      <c r="BIV6" s="88">
        <f t="shared" si="24"/>
        <v>0</v>
      </c>
      <c r="BIW6" s="88">
        <f t="shared" si="24"/>
        <v>0</v>
      </c>
      <c r="BIX6" s="88">
        <f t="shared" si="24"/>
        <v>0</v>
      </c>
      <c r="BIY6" s="88">
        <f t="shared" si="24"/>
        <v>0</v>
      </c>
      <c r="BIZ6" s="88">
        <f t="shared" ref="BIZ6:BLK6" si="25">SUM(BJA3:BJA5)</f>
        <v>0</v>
      </c>
      <c r="BJA6" s="88">
        <f t="shared" si="25"/>
        <v>0</v>
      </c>
      <c r="BJB6" s="88">
        <f t="shared" si="25"/>
        <v>0</v>
      </c>
      <c r="BJC6" s="88">
        <f t="shared" si="25"/>
        <v>0</v>
      </c>
      <c r="BJD6" s="88">
        <f t="shared" si="25"/>
        <v>0</v>
      </c>
      <c r="BJE6" s="88">
        <f t="shared" si="25"/>
        <v>0</v>
      </c>
      <c r="BJF6" s="88">
        <f t="shared" si="25"/>
        <v>0</v>
      </c>
      <c r="BJG6" s="88">
        <f t="shared" si="25"/>
        <v>0</v>
      </c>
      <c r="BJH6" s="88">
        <f t="shared" si="25"/>
        <v>0</v>
      </c>
      <c r="BJI6" s="88">
        <f t="shared" si="25"/>
        <v>0</v>
      </c>
      <c r="BJJ6" s="88">
        <f t="shared" si="25"/>
        <v>0</v>
      </c>
      <c r="BJK6" s="88">
        <f t="shared" si="25"/>
        <v>0</v>
      </c>
      <c r="BJL6" s="88">
        <f t="shared" si="25"/>
        <v>0</v>
      </c>
      <c r="BJM6" s="88">
        <f t="shared" si="25"/>
        <v>0</v>
      </c>
      <c r="BJN6" s="88">
        <f t="shared" si="25"/>
        <v>0</v>
      </c>
      <c r="BJO6" s="88">
        <f t="shared" si="25"/>
        <v>0</v>
      </c>
      <c r="BJP6" s="88">
        <f t="shared" si="25"/>
        <v>0</v>
      </c>
      <c r="BJQ6" s="88">
        <f t="shared" si="25"/>
        <v>0</v>
      </c>
      <c r="BJR6" s="88">
        <f t="shared" si="25"/>
        <v>0</v>
      </c>
      <c r="BJS6" s="88">
        <f t="shared" si="25"/>
        <v>0</v>
      </c>
      <c r="BJT6" s="88">
        <f t="shared" si="25"/>
        <v>0</v>
      </c>
      <c r="BJU6" s="88">
        <f t="shared" si="25"/>
        <v>0</v>
      </c>
      <c r="BJV6" s="88">
        <f t="shared" si="25"/>
        <v>0</v>
      </c>
      <c r="BJW6" s="88">
        <f t="shared" si="25"/>
        <v>0</v>
      </c>
      <c r="BJX6" s="88">
        <f t="shared" si="25"/>
        <v>0</v>
      </c>
      <c r="BJY6" s="88">
        <f t="shared" si="25"/>
        <v>0</v>
      </c>
      <c r="BJZ6" s="88">
        <f t="shared" si="25"/>
        <v>0</v>
      </c>
      <c r="BKA6" s="88">
        <f t="shared" si="25"/>
        <v>0</v>
      </c>
      <c r="BKB6" s="88">
        <f t="shared" si="25"/>
        <v>0</v>
      </c>
      <c r="BKC6" s="88">
        <f t="shared" si="25"/>
        <v>0</v>
      </c>
      <c r="BKD6" s="88">
        <f t="shared" si="25"/>
        <v>0</v>
      </c>
      <c r="BKE6" s="88">
        <f t="shared" si="25"/>
        <v>0</v>
      </c>
      <c r="BKF6" s="88">
        <f t="shared" si="25"/>
        <v>0</v>
      </c>
      <c r="BKG6" s="88">
        <f t="shared" si="25"/>
        <v>0</v>
      </c>
      <c r="BKH6" s="88">
        <f t="shared" si="25"/>
        <v>0</v>
      </c>
      <c r="BKI6" s="88">
        <f t="shared" si="25"/>
        <v>0</v>
      </c>
      <c r="BKJ6" s="88">
        <f t="shared" si="25"/>
        <v>0</v>
      </c>
      <c r="BKK6" s="88">
        <f t="shared" si="25"/>
        <v>0</v>
      </c>
      <c r="BKL6" s="88">
        <f t="shared" si="25"/>
        <v>0</v>
      </c>
      <c r="BKM6" s="88">
        <f t="shared" si="25"/>
        <v>0</v>
      </c>
      <c r="BKN6" s="88">
        <f t="shared" si="25"/>
        <v>0</v>
      </c>
      <c r="BKO6" s="88">
        <f t="shared" si="25"/>
        <v>0</v>
      </c>
      <c r="BKP6" s="88">
        <f t="shared" si="25"/>
        <v>0</v>
      </c>
      <c r="BKQ6" s="88">
        <f t="shared" si="25"/>
        <v>0</v>
      </c>
      <c r="BKR6" s="88">
        <f t="shared" si="25"/>
        <v>0</v>
      </c>
      <c r="BKS6" s="88">
        <f t="shared" si="25"/>
        <v>0</v>
      </c>
      <c r="BKT6" s="88">
        <f t="shared" si="25"/>
        <v>0</v>
      </c>
      <c r="BKU6" s="88">
        <f t="shared" si="25"/>
        <v>0</v>
      </c>
      <c r="BKV6" s="88">
        <f t="shared" si="25"/>
        <v>0</v>
      </c>
      <c r="BKW6" s="88">
        <f t="shared" si="25"/>
        <v>0</v>
      </c>
      <c r="BKX6" s="88">
        <f t="shared" si="25"/>
        <v>0</v>
      </c>
      <c r="BKY6" s="88">
        <f t="shared" si="25"/>
        <v>0</v>
      </c>
      <c r="BKZ6" s="88">
        <f t="shared" si="25"/>
        <v>0</v>
      </c>
      <c r="BLA6" s="88">
        <f t="shared" si="25"/>
        <v>0</v>
      </c>
      <c r="BLB6" s="88">
        <f t="shared" si="25"/>
        <v>0</v>
      </c>
      <c r="BLC6" s="88">
        <f t="shared" si="25"/>
        <v>0</v>
      </c>
      <c r="BLD6" s="88">
        <f t="shared" si="25"/>
        <v>0</v>
      </c>
      <c r="BLE6" s="88">
        <f t="shared" si="25"/>
        <v>0</v>
      </c>
      <c r="BLF6" s="88">
        <f t="shared" si="25"/>
        <v>0</v>
      </c>
      <c r="BLG6" s="88">
        <f t="shared" si="25"/>
        <v>0</v>
      </c>
      <c r="BLH6" s="88">
        <f t="shared" si="25"/>
        <v>0</v>
      </c>
      <c r="BLI6" s="88">
        <f t="shared" si="25"/>
        <v>0</v>
      </c>
      <c r="BLJ6" s="88">
        <f t="shared" si="25"/>
        <v>0</v>
      </c>
      <c r="BLK6" s="88">
        <f t="shared" si="25"/>
        <v>0</v>
      </c>
      <c r="BLL6" s="88">
        <f t="shared" ref="BLL6:BNW6" si="26">SUM(BLM3:BLM5)</f>
        <v>0</v>
      </c>
      <c r="BLM6" s="88">
        <f t="shared" si="26"/>
        <v>0</v>
      </c>
      <c r="BLN6" s="88">
        <f t="shared" si="26"/>
        <v>0</v>
      </c>
      <c r="BLO6" s="88">
        <f t="shared" si="26"/>
        <v>0</v>
      </c>
      <c r="BLP6" s="88">
        <f t="shared" si="26"/>
        <v>0</v>
      </c>
      <c r="BLQ6" s="88">
        <f t="shared" si="26"/>
        <v>0</v>
      </c>
      <c r="BLR6" s="88">
        <f t="shared" si="26"/>
        <v>0</v>
      </c>
      <c r="BLS6" s="88">
        <f t="shared" si="26"/>
        <v>0</v>
      </c>
      <c r="BLT6" s="88">
        <f t="shared" si="26"/>
        <v>0</v>
      </c>
      <c r="BLU6" s="88">
        <f t="shared" si="26"/>
        <v>0</v>
      </c>
      <c r="BLV6" s="88">
        <f t="shared" si="26"/>
        <v>0</v>
      </c>
      <c r="BLW6" s="88">
        <f t="shared" si="26"/>
        <v>0</v>
      </c>
      <c r="BLX6" s="88">
        <f t="shared" si="26"/>
        <v>0</v>
      </c>
      <c r="BLY6" s="88">
        <f t="shared" si="26"/>
        <v>0</v>
      </c>
      <c r="BLZ6" s="88">
        <f t="shared" si="26"/>
        <v>0</v>
      </c>
      <c r="BMA6" s="88">
        <f t="shared" si="26"/>
        <v>0</v>
      </c>
      <c r="BMB6" s="88">
        <f t="shared" si="26"/>
        <v>0</v>
      </c>
      <c r="BMC6" s="88">
        <f t="shared" si="26"/>
        <v>0</v>
      </c>
      <c r="BMD6" s="88">
        <f t="shared" si="26"/>
        <v>0</v>
      </c>
      <c r="BME6" s="88">
        <f t="shared" si="26"/>
        <v>0</v>
      </c>
      <c r="BMF6" s="88">
        <f t="shared" si="26"/>
        <v>0</v>
      </c>
      <c r="BMG6" s="88">
        <f t="shared" si="26"/>
        <v>0</v>
      </c>
      <c r="BMH6" s="88">
        <f t="shared" si="26"/>
        <v>0</v>
      </c>
      <c r="BMI6" s="88">
        <f t="shared" si="26"/>
        <v>0</v>
      </c>
      <c r="BMJ6" s="88">
        <f t="shared" si="26"/>
        <v>0</v>
      </c>
      <c r="BMK6" s="88">
        <f t="shared" si="26"/>
        <v>0</v>
      </c>
      <c r="BML6" s="88">
        <f t="shared" si="26"/>
        <v>0</v>
      </c>
      <c r="BMM6" s="88">
        <f t="shared" si="26"/>
        <v>0</v>
      </c>
      <c r="BMN6" s="88">
        <f t="shared" si="26"/>
        <v>0</v>
      </c>
      <c r="BMO6" s="88">
        <f t="shared" si="26"/>
        <v>0</v>
      </c>
      <c r="BMP6" s="88">
        <f t="shared" si="26"/>
        <v>0</v>
      </c>
      <c r="BMQ6" s="88">
        <f t="shared" si="26"/>
        <v>0</v>
      </c>
      <c r="BMR6" s="88">
        <f t="shared" si="26"/>
        <v>0</v>
      </c>
      <c r="BMS6" s="88">
        <f t="shared" si="26"/>
        <v>0</v>
      </c>
      <c r="BMT6" s="88">
        <f t="shared" si="26"/>
        <v>0</v>
      </c>
      <c r="BMU6" s="88">
        <f t="shared" si="26"/>
        <v>0</v>
      </c>
      <c r="BMV6" s="88">
        <f t="shared" si="26"/>
        <v>0</v>
      </c>
      <c r="BMW6" s="88">
        <f t="shared" si="26"/>
        <v>0</v>
      </c>
      <c r="BMX6" s="88">
        <f t="shared" si="26"/>
        <v>0</v>
      </c>
      <c r="BMY6" s="88">
        <f t="shared" si="26"/>
        <v>0</v>
      </c>
      <c r="BMZ6" s="88">
        <f t="shared" si="26"/>
        <v>0</v>
      </c>
      <c r="BNA6" s="88">
        <f t="shared" si="26"/>
        <v>0</v>
      </c>
      <c r="BNB6" s="88">
        <f t="shared" si="26"/>
        <v>0</v>
      </c>
      <c r="BNC6" s="88">
        <f t="shared" si="26"/>
        <v>0</v>
      </c>
      <c r="BND6" s="88">
        <f t="shared" si="26"/>
        <v>0</v>
      </c>
      <c r="BNE6" s="88">
        <f t="shared" si="26"/>
        <v>0</v>
      </c>
      <c r="BNF6" s="88">
        <f t="shared" si="26"/>
        <v>0</v>
      </c>
      <c r="BNG6" s="88">
        <f t="shared" si="26"/>
        <v>0</v>
      </c>
      <c r="BNH6" s="88">
        <f t="shared" si="26"/>
        <v>0</v>
      </c>
      <c r="BNI6" s="88">
        <f t="shared" si="26"/>
        <v>0</v>
      </c>
      <c r="BNJ6" s="88">
        <f t="shared" si="26"/>
        <v>0</v>
      </c>
      <c r="BNK6" s="88">
        <f t="shared" si="26"/>
        <v>0</v>
      </c>
      <c r="BNL6" s="88">
        <f t="shared" si="26"/>
        <v>0</v>
      </c>
      <c r="BNM6" s="88">
        <f t="shared" si="26"/>
        <v>0</v>
      </c>
      <c r="BNN6" s="88">
        <f t="shared" si="26"/>
        <v>0</v>
      </c>
      <c r="BNO6" s="88">
        <f t="shared" si="26"/>
        <v>0</v>
      </c>
      <c r="BNP6" s="88">
        <f t="shared" si="26"/>
        <v>0</v>
      </c>
      <c r="BNQ6" s="88">
        <f t="shared" si="26"/>
        <v>0</v>
      </c>
      <c r="BNR6" s="88">
        <f t="shared" si="26"/>
        <v>0</v>
      </c>
      <c r="BNS6" s="88">
        <f t="shared" si="26"/>
        <v>0</v>
      </c>
      <c r="BNT6" s="88">
        <f t="shared" si="26"/>
        <v>0</v>
      </c>
      <c r="BNU6" s="88">
        <f t="shared" si="26"/>
        <v>0</v>
      </c>
      <c r="BNV6" s="88">
        <f t="shared" si="26"/>
        <v>0</v>
      </c>
      <c r="BNW6" s="88">
        <f t="shared" si="26"/>
        <v>0</v>
      </c>
      <c r="BNX6" s="88">
        <f t="shared" ref="BNX6:BQI6" si="27">SUM(BNY3:BNY5)</f>
        <v>0</v>
      </c>
      <c r="BNY6" s="88">
        <f t="shared" si="27"/>
        <v>0</v>
      </c>
      <c r="BNZ6" s="88">
        <f t="shared" si="27"/>
        <v>0</v>
      </c>
      <c r="BOA6" s="88">
        <f t="shared" si="27"/>
        <v>0</v>
      </c>
      <c r="BOB6" s="88">
        <f t="shared" si="27"/>
        <v>0</v>
      </c>
      <c r="BOC6" s="88">
        <f t="shared" si="27"/>
        <v>0</v>
      </c>
      <c r="BOD6" s="88">
        <f t="shared" si="27"/>
        <v>0</v>
      </c>
      <c r="BOE6" s="88">
        <f t="shared" si="27"/>
        <v>0</v>
      </c>
      <c r="BOF6" s="88">
        <f t="shared" si="27"/>
        <v>0</v>
      </c>
      <c r="BOG6" s="88">
        <f t="shared" si="27"/>
        <v>0</v>
      </c>
      <c r="BOH6" s="88">
        <f t="shared" si="27"/>
        <v>0</v>
      </c>
      <c r="BOI6" s="88">
        <f t="shared" si="27"/>
        <v>0</v>
      </c>
      <c r="BOJ6" s="88">
        <f t="shared" si="27"/>
        <v>0</v>
      </c>
      <c r="BOK6" s="88">
        <f t="shared" si="27"/>
        <v>0</v>
      </c>
      <c r="BOL6" s="88">
        <f t="shared" si="27"/>
        <v>0</v>
      </c>
      <c r="BOM6" s="88">
        <f t="shared" si="27"/>
        <v>0</v>
      </c>
      <c r="BON6" s="88">
        <f t="shared" si="27"/>
        <v>0</v>
      </c>
      <c r="BOO6" s="88">
        <f t="shared" si="27"/>
        <v>0</v>
      </c>
      <c r="BOP6" s="88">
        <f t="shared" si="27"/>
        <v>0</v>
      </c>
      <c r="BOQ6" s="88">
        <f t="shared" si="27"/>
        <v>0</v>
      </c>
      <c r="BOR6" s="88">
        <f t="shared" si="27"/>
        <v>0</v>
      </c>
      <c r="BOS6" s="88">
        <f t="shared" si="27"/>
        <v>0</v>
      </c>
      <c r="BOT6" s="88">
        <f t="shared" si="27"/>
        <v>0</v>
      </c>
      <c r="BOU6" s="88">
        <f t="shared" si="27"/>
        <v>0</v>
      </c>
      <c r="BOV6" s="88">
        <f t="shared" si="27"/>
        <v>0</v>
      </c>
      <c r="BOW6" s="88">
        <f t="shared" si="27"/>
        <v>0</v>
      </c>
      <c r="BOX6" s="88">
        <f t="shared" si="27"/>
        <v>0</v>
      </c>
      <c r="BOY6" s="88">
        <f t="shared" si="27"/>
        <v>0</v>
      </c>
      <c r="BOZ6" s="88">
        <f t="shared" si="27"/>
        <v>0</v>
      </c>
      <c r="BPA6" s="88">
        <f t="shared" si="27"/>
        <v>0</v>
      </c>
      <c r="BPB6" s="88">
        <f t="shared" si="27"/>
        <v>0</v>
      </c>
      <c r="BPC6" s="88">
        <f t="shared" si="27"/>
        <v>0</v>
      </c>
      <c r="BPD6" s="88">
        <f t="shared" si="27"/>
        <v>0</v>
      </c>
      <c r="BPE6" s="88">
        <f t="shared" si="27"/>
        <v>0</v>
      </c>
      <c r="BPF6" s="88">
        <f t="shared" si="27"/>
        <v>0</v>
      </c>
      <c r="BPG6" s="88">
        <f t="shared" si="27"/>
        <v>0</v>
      </c>
      <c r="BPH6" s="88">
        <f t="shared" si="27"/>
        <v>0</v>
      </c>
      <c r="BPI6" s="88">
        <f t="shared" si="27"/>
        <v>0</v>
      </c>
      <c r="BPJ6" s="88">
        <f t="shared" si="27"/>
        <v>0</v>
      </c>
      <c r="BPK6" s="88">
        <f t="shared" si="27"/>
        <v>0</v>
      </c>
      <c r="BPL6" s="88">
        <f t="shared" si="27"/>
        <v>0</v>
      </c>
      <c r="BPM6" s="88">
        <f t="shared" si="27"/>
        <v>0</v>
      </c>
      <c r="BPN6" s="88">
        <f t="shared" si="27"/>
        <v>0</v>
      </c>
      <c r="BPO6" s="88">
        <f t="shared" si="27"/>
        <v>0</v>
      </c>
      <c r="BPP6" s="88">
        <f t="shared" si="27"/>
        <v>0</v>
      </c>
      <c r="BPQ6" s="88">
        <f t="shared" si="27"/>
        <v>0</v>
      </c>
      <c r="BPR6" s="88">
        <f t="shared" si="27"/>
        <v>0</v>
      </c>
      <c r="BPS6" s="88">
        <f t="shared" si="27"/>
        <v>0</v>
      </c>
      <c r="BPT6" s="88">
        <f t="shared" si="27"/>
        <v>0</v>
      </c>
      <c r="BPU6" s="88">
        <f t="shared" si="27"/>
        <v>0</v>
      </c>
      <c r="BPV6" s="88">
        <f t="shared" si="27"/>
        <v>0</v>
      </c>
      <c r="BPW6" s="88">
        <f t="shared" si="27"/>
        <v>0</v>
      </c>
      <c r="BPX6" s="88">
        <f t="shared" si="27"/>
        <v>0</v>
      </c>
      <c r="BPY6" s="88">
        <f t="shared" si="27"/>
        <v>0</v>
      </c>
      <c r="BPZ6" s="88">
        <f t="shared" si="27"/>
        <v>0</v>
      </c>
      <c r="BQA6" s="88">
        <f t="shared" si="27"/>
        <v>0</v>
      </c>
      <c r="BQB6" s="88">
        <f t="shared" si="27"/>
        <v>0</v>
      </c>
      <c r="BQC6" s="88">
        <f t="shared" si="27"/>
        <v>0</v>
      </c>
      <c r="BQD6" s="88">
        <f t="shared" si="27"/>
        <v>0</v>
      </c>
      <c r="BQE6" s="88">
        <f t="shared" si="27"/>
        <v>0</v>
      </c>
      <c r="BQF6" s="88">
        <f t="shared" si="27"/>
        <v>0</v>
      </c>
      <c r="BQG6" s="88">
        <f t="shared" si="27"/>
        <v>0</v>
      </c>
      <c r="BQH6" s="88">
        <f t="shared" si="27"/>
        <v>0</v>
      </c>
      <c r="BQI6" s="88">
        <f t="shared" si="27"/>
        <v>0</v>
      </c>
      <c r="BQJ6" s="88">
        <f t="shared" ref="BQJ6:BSU6" si="28">SUM(BQK3:BQK5)</f>
        <v>0</v>
      </c>
      <c r="BQK6" s="88">
        <f t="shared" si="28"/>
        <v>0</v>
      </c>
      <c r="BQL6" s="88">
        <f t="shared" si="28"/>
        <v>0</v>
      </c>
      <c r="BQM6" s="88">
        <f t="shared" si="28"/>
        <v>0</v>
      </c>
      <c r="BQN6" s="88">
        <f t="shared" si="28"/>
        <v>0</v>
      </c>
      <c r="BQO6" s="88">
        <f t="shared" si="28"/>
        <v>0</v>
      </c>
      <c r="BQP6" s="88">
        <f t="shared" si="28"/>
        <v>0</v>
      </c>
      <c r="BQQ6" s="88">
        <f t="shared" si="28"/>
        <v>0</v>
      </c>
      <c r="BQR6" s="88">
        <f t="shared" si="28"/>
        <v>0</v>
      </c>
      <c r="BQS6" s="88">
        <f t="shared" si="28"/>
        <v>0</v>
      </c>
      <c r="BQT6" s="88">
        <f t="shared" si="28"/>
        <v>0</v>
      </c>
      <c r="BQU6" s="88">
        <f t="shared" si="28"/>
        <v>0</v>
      </c>
      <c r="BQV6" s="88">
        <f t="shared" si="28"/>
        <v>0</v>
      </c>
      <c r="BQW6" s="88">
        <f t="shared" si="28"/>
        <v>0</v>
      </c>
      <c r="BQX6" s="88">
        <f t="shared" si="28"/>
        <v>0</v>
      </c>
      <c r="BQY6" s="88">
        <f t="shared" si="28"/>
        <v>0</v>
      </c>
      <c r="BQZ6" s="88">
        <f t="shared" si="28"/>
        <v>0</v>
      </c>
      <c r="BRA6" s="88">
        <f t="shared" si="28"/>
        <v>0</v>
      </c>
      <c r="BRB6" s="88">
        <f t="shared" si="28"/>
        <v>0</v>
      </c>
      <c r="BRC6" s="88">
        <f t="shared" si="28"/>
        <v>0</v>
      </c>
      <c r="BRD6" s="88">
        <f t="shared" si="28"/>
        <v>0</v>
      </c>
      <c r="BRE6" s="88">
        <f t="shared" si="28"/>
        <v>0</v>
      </c>
      <c r="BRF6" s="88">
        <f t="shared" si="28"/>
        <v>0</v>
      </c>
      <c r="BRG6" s="88">
        <f t="shared" si="28"/>
        <v>0</v>
      </c>
      <c r="BRH6" s="88">
        <f t="shared" si="28"/>
        <v>0</v>
      </c>
      <c r="BRI6" s="88">
        <f t="shared" si="28"/>
        <v>0</v>
      </c>
      <c r="BRJ6" s="88">
        <f t="shared" si="28"/>
        <v>0</v>
      </c>
      <c r="BRK6" s="88">
        <f t="shared" si="28"/>
        <v>0</v>
      </c>
      <c r="BRL6" s="88">
        <f t="shared" si="28"/>
        <v>0</v>
      </c>
      <c r="BRM6" s="88">
        <f t="shared" si="28"/>
        <v>0</v>
      </c>
      <c r="BRN6" s="88">
        <f t="shared" si="28"/>
        <v>0</v>
      </c>
      <c r="BRO6" s="88">
        <f t="shared" si="28"/>
        <v>0</v>
      </c>
      <c r="BRP6" s="88">
        <f t="shared" si="28"/>
        <v>0</v>
      </c>
      <c r="BRQ6" s="88">
        <f t="shared" si="28"/>
        <v>0</v>
      </c>
      <c r="BRR6" s="88">
        <f t="shared" si="28"/>
        <v>0</v>
      </c>
      <c r="BRS6" s="88">
        <f t="shared" si="28"/>
        <v>0</v>
      </c>
      <c r="BRT6" s="88">
        <f t="shared" si="28"/>
        <v>0</v>
      </c>
      <c r="BRU6" s="88">
        <f t="shared" si="28"/>
        <v>0</v>
      </c>
      <c r="BRV6" s="88">
        <f t="shared" si="28"/>
        <v>0</v>
      </c>
      <c r="BRW6" s="88">
        <f t="shared" si="28"/>
        <v>0</v>
      </c>
      <c r="BRX6" s="88">
        <f t="shared" si="28"/>
        <v>0</v>
      </c>
      <c r="BRY6" s="88">
        <f t="shared" si="28"/>
        <v>0</v>
      </c>
      <c r="BRZ6" s="88">
        <f t="shared" si="28"/>
        <v>0</v>
      </c>
      <c r="BSA6" s="88">
        <f t="shared" si="28"/>
        <v>0</v>
      </c>
      <c r="BSB6" s="88">
        <f t="shared" si="28"/>
        <v>0</v>
      </c>
      <c r="BSC6" s="88">
        <f t="shared" si="28"/>
        <v>0</v>
      </c>
      <c r="BSD6" s="88">
        <f t="shared" si="28"/>
        <v>0</v>
      </c>
      <c r="BSE6" s="88">
        <f t="shared" si="28"/>
        <v>0</v>
      </c>
      <c r="BSF6" s="88">
        <f t="shared" si="28"/>
        <v>0</v>
      </c>
      <c r="BSG6" s="88">
        <f t="shared" si="28"/>
        <v>0</v>
      </c>
      <c r="BSH6" s="88">
        <f t="shared" si="28"/>
        <v>0</v>
      </c>
      <c r="BSI6" s="88">
        <f t="shared" si="28"/>
        <v>0</v>
      </c>
      <c r="BSJ6" s="88">
        <f t="shared" si="28"/>
        <v>0</v>
      </c>
      <c r="BSK6" s="88">
        <f t="shared" si="28"/>
        <v>0</v>
      </c>
      <c r="BSL6" s="88">
        <f t="shared" si="28"/>
        <v>0</v>
      </c>
      <c r="BSM6" s="88">
        <f t="shared" si="28"/>
        <v>0</v>
      </c>
      <c r="BSN6" s="88">
        <f t="shared" si="28"/>
        <v>0</v>
      </c>
      <c r="BSO6" s="88">
        <f t="shared" si="28"/>
        <v>0</v>
      </c>
      <c r="BSP6" s="88">
        <f t="shared" si="28"/>
        <v>0</v>
      </c>
      <c r="BSQ6" s="88">
        <f t="shared" si="28"/>
        <v>0</v>
      </c>
      <c r="BSR6" s="88">
        <f t="shared" si="28"/>
        <v>0</v>
      </c>
      <c r="BSS6" s="88">
        <f t="shared" si="28"/>
        <v>0</v>
      </c>
      <c r="BST6" s="88">
        <f t="shared" si="28"/>
        <v>0</v>
      </c>
      <c r="BSU6" s="88">
        <f t="shared" si="28"/>
        <v>0</v>
      </c>
      <c r="BSV6" s="88">
        <f t="shared" ref="BSV6:BVG6" si="29">SUM(BSW3:BSW5)</f>
        <v>0</v>
      </c>
      <c r="BSW6" s="88">
        <f t="shared" si="29"/>
        <v>0</v>
      </c>
      <c r="BSX6" s="88">
        <f t="shared" si="29"/>
        <v>0</v>
      </c>
      <c r="BSY6" s="88">
        <f t="shared" si="29"/>
        <v>0</v>
      </c>
      <c r="BSZ6" s="88">
        <f t="shared" si="29"/>
        <v>0</v>
      </c>
      <c r="BTA6" s="88">
        <f t="shared" si="29"/>
        <v>0</v>
      </c>
      <c r="BTB6" s="88">
        <f t="shared" si="29"/>
        <v>0</v>
      </c>
      <c r="BTC6" s="88">
        <f t="shared" si="29"/>
        <v>0</v>
      </c>
      <c r="BTD6" s="88">
        <f t="shared" si="29"/>
        <v>0</v>
      </c>
      <c r="BTE6" s="88">
        <f t="shared" si="29"/>
        <v>0</v>
      </c>
      <c r="BTF6" s="88">
        <f t="shared" si="29"/>
        <v>0</v>
      </c>
      <c r="BTG6" s="88">
        <f t="shared" si="29"/>
        <v>0</v>
      </c>
      <c r="BTH6" s="88">
        <f t="shared" si="29"/>
        <v>0</v>
      </c>
      <c r="BTI6" s="88">
        <f t="shared" si="29"/>
        <v>0</v>
      </c>
      <c r="BTJ6" s="88">
        <f t="shared" si="29"/>
        <v>0</v>
      </c>
      <c r="BTK6" s="88">
        <f t="shared" si="29"/>
        <v>0</v>
      </c>
      <c r="BTL6" s="88">
        <f t="shared" si="29"/>
        <v>0</v>
      </c>
      <c r="BTM6" s="88">
        <f t="shared" si="29"/>
        <v>0</v>
      </c>
      <c r="BTN6" s="88">
        <f t="shared" si="29"/>
        <v>0</v>
      </c>
      <c r="BTO6" s="88">
        <f t="shared" si="29"/>
        <v>0</v>
      </c>
      <c r="BTP6" s="88">
        <f t="shared" si="29"/>
        <v>0</v>
      </c>
      <c r="BTQ6" s="88">
        <f t="shared" si="29"/>
        <v>0</v>
      </c>
      <c r="BTR6" s="88">
        <f t="shared" si="29"/>
        <v>0</v>
      </c>
      <c r="BTS6" s="88">
        <f t="shared" si="29"/>
        <v>0</v>
      </c>
      <c r="BTT6" s="88">
        <f t="shared" si="29"/>
        <v>0</v>
      </c>
      <c r="BTU6" s="88">
        <f t="shared" si="29"/>
        <v>0</v>
      </c>
      <c r="BTV6" s="88">
        <f t="shared" si="29"/>
        <v>0</v>
      </c>
      <c r="BTW6" s="88">
        <f t="shared" si="29"/>
        <v>0</v>
      </c>
      <c r="BTX6" s="88">
        <f t="shared" si="29"/>
        <v>0</v>
      </c>
      <c r="BTY6" s="88">
        <f t="shared" si="29"/>
        <v>0</v>
      </c>
      <c r="BTZ6" s="88">
        <f t="shared" si="29"/>
        <v>0</v>
      </c>
      <c r="BUA6" s="88">
        <f t="shared" si="29"/>
        <v>0</v>
      </c>
      <c r="BUB6" s="88">
        <f t="shared" si="29"/>
        <v>0</v>
      </c>
      <c r="BUC6" s="88">
        <f t="shared" si="29"/>
        <v>0</v>
      </c>
      <c r="BUD6" s="88">
        <f t="shared" si="29"/>
        <v>0</v>
      </c>
      <c r="BUE6" s="88">
        <f t="shared" si="29"/>
        <v>0</v>
      </c>
      <c r="BUF6" s="88">
        <f t="shared" si="29"/>
        <v>0</v>
      </c>
      <c r="BUG6" s="88">
        <f t="shared" si="29"/>
        <v>0</v>
      </c>
      <c r="BUH6" s="88">
        <f t="shared" si="29"/>
        <v>0</v>
      </c>
      <c r="BUI6" s="88">
        <f t="shared" si="29"/>
        <v>0</v>
      </c>
      <c r="BUJ6" s="88">
        <f t="shared" si="29"/>
        <v>0</v>
      </c>
      <c r="BUK6" s="88">
        <f t="shared" si="29"/>
        <v>0</v>
      </c>
      <c r="BUL6" s="88">
        <f t="shared" si="29"/>
        <v>0</v>
      </c>
      <c r="BUM6" s="88">
        <f t="shared" si="29"/>
        <v>0</v>
      </c>
      <c r="BUN6" s="88">
        <f t="shared" si="29"/>
        <v>0</v>
      </c>
      <c r="BUO6" s="88">
        <f t="shared" si="29"/>
        <v>0</v>
      </c>
      <c r="BUP6" s="88">
        <f t="shared" si="29"/>
        <v>0</v>
      </c>
      <c r="BUQ6" s="88">
        <f t="shared" si="29"/>
        <v>0</v>
      </c>
      <c r="BUR6" s="88">
        <f t="shared" si="29"/>
        <v>0</v>
      </c>
      <c r="BUS6" s="88">
        <f t="shared" si="29"/>
        <v>0</v>
      </c>
      <c r="BUT6" s="88">
        <f t="shared" si="29"/>
        <v>0</v>
      </c>
      <c r="BUU6" s="88">
        <f t="shared" si="29"/>
        <v>0</v>
      </c>
      <c r="BUV6" s="88">
        <f t="shared" si="29"/>
        <v>0</v>
      </c>
      <c r="BUW6" s="88">
        <f t="shared" si="29"/>
        <v>0</v>
      </c>
      <c r="BUX6" s="88">
        <f t="shared" si="29"/>
        <v>0</v>
      </c>
      <c r="BUY6" s="88">
        <f t="shared" si="29"/>
        <v>0</v>
      </c>
      <c r="BUZ6" s="88">
        <f t="shared" si="29"/>
        <v>0</v>
      </c>
      <c r="BVA6" s="88">
        <f t="shared" si="29"/>
        <v>0</v>
      </c>
      <c r="BVB6" s="88">
        <f t="shared" si="29"/>
        <v>0</v>
      </c>
      <c r="BVC6" s="88">
        <f t="shared" si="29"/>
        <v>0</v>
      </c>
      <c r="BVD6" s="88">
        <f t="shared" si="29"/>
        <v>0</v>
      </c>
      <c r="BVE6" s="88">
        <f t="shared" si="29"/>
        <v>0</v>
      </c>
      <c r="BVF6" s="88">
        <f t="shared" si="29"/>
        <v>0</v>
      </c>
      <c r="BVG6" s="88">
        <f t="shared" si="29"/>
        <v>0</v>
      </c>
      <c r="BVH6" s="88">
        <f t="shared" ref="BVH6:BXS6" si="30">SUM(BVI3:BVI5)</f>
        <v>0</v>
      </c>
      <c r="BVI6" s="88">
        <f t="shared" si="30"/>
        <v>0</v>
      </c>
      <c r="BVJ6" s="88">
        <f t="shared" si="30"/>
        <v>0</v>
      </c>
      <c r="BVK6" s="88">
        <f t="shared" si="30"/>
        <v>0</v>
      </c>
      <c r="BVL6" s="88">
        <f t="shared" si="30"/>
        <v>0</v>
      </c>
      <c r="BVM6" s="88">
        <f t="shared" si="30"/>
        <v>0</v>
      </c>
      <c r="BVN6" s="88">
        <f t="shared" si="30"/>
        <v>0</v>
      </c>
      <c r="BVO6" s="88">
        <f t="shared" si="30"/>
        <v>0</v>
      </c>
      <c r="BVP6" s="88">
        <f t="shared" si="30"/>
        <v>0</v>
      </c>
      <c r="BVQ6" s="88">
        <f t="shared" si="30"/>
        <v>0</v>
      </c>
      <c r="BVR6" s="88">
        <f t="shared" si="30"/>
        <v>0</v>
      </c>
      <c r="BVS6" s="88">
        <f t="shared" si="30"/>
        <v>0</v>
      </c>
      <c r="BVT6" s="88">
        <f t="shared" si="30"/>
        <v>0</v>
      </c>
      <c r="BVU6" s="88">
        <f t="shared" si="30"/>
        <v>0</v>
      </c>
      <c r="BVV6" s="88">
        <f t="shared" si="30"/>
        <v>0</v>
      </c>
      <c r="BVW6" s="88">
        <f t="shared" si="30"/>
        <v>0</v>
      </c>
      <c r="BVX6" s="88">
        <f t="shared" si="30"/>
        <v>0</v>
      </c>
      <c r="BVY6" s="88">
        <f t="shared" si="30"/>
        <v>0</v>
      </c>
      <c r="BVZ6" s="88">
        <f t="shared" si="30"/>
        <v>0</v>
      </c>
      <c r="BWA6" s="88">
        <f t="shared" si="30"/>
        <v>0</v>
      </c>
      <c r="BWB6" s="88">
        <f t="shared" si="30"/>
        <v>0</v>
      </c>
      <c r="BWC6" s="88">
        <f t="shared" si="30"/>
        <v>0</v>
      </c>
      <c r="BWD6" s="88">
        <f t="shared" si="30"/>
        <v>0</v>
      </c>
      <c r="BWE6" s="88">
        <f t="shared" si="30"/>
        <v>0</v>
      </c>
      <c r="BWF6" s="88">
        <f t="shared" si="30"/>
        <v>0</v>
      </c>
      <c r="BWG6" s="88">
        <f t="shared" si="30"/>
        <v>0</v>
      </c>
      <c r="BWH6" s="88">
        <f t="shared" si="30"/>
        <v>0</v>
      </c>
      <c r="BWI6" s="88">
        <f t="shared" si="30"/>
        <v>0</v>
      </c>
      <c r="BWJ6" s="88">
        <f t="shared" si="30"/>
        <v>0</v>
      </c>
      <c r="BWK6" s="88">
        <f t="shared" si="30"/>
        <v>0</v>
      </c>
      <c r="BWL6" s="88">
        <f t="shared" si="30"/>
        <v>0</v>
      </c>
      <c r="BWM6" s="88">
        <f t="shared" si="30"/>
        <v>0</v>
      </c>
      <c r="BWN6" s="88">
        <f t="shared" si="30"/>
        <v>0</v>
      </c>
      <c r="BWO6" s="88">
        <f t="shared" si="30"/>
        <v>0</v>
      </c>
      <c r="BWP6" s="88">
        <f t="shared" si="30"/>
        <v>0</v>
      </c>
      <c r="BWQ6" s="88">
        <f t="shared" si="30"/>
        <v>0</v>
      </c>
      <c r="BWR6" s="88">
        <f t="shared" si="30"/>
        <v>0</v>
      </c>
      <c r="BWS6" s="88">
        <f t="shared" si="30"/>
        <v>0</v>
      </c>
      <c r="BWT6" s="88">
        <f t="shared" si="30"/>
        <v>0</v>
      </c>
      <c r="BWU6" s="88">
        <f t="shared" si="30"/>
        <v>0</v>
      </c>
      <c r="BWV6" s="88">
        <f t="shared" si="30"/>
        <v>0</v>
      </c>
      <c r="BWW6" s="88">
        <f t="shared" si="30"/>
        <v>0</v>
      </c>
      <c r="BWX6" s="88">
        <f t="shared" si="30"/>
        <v>0</v>
      </c>
      <c r="BWY6" s="88">
        <f t="shared" si="30"/>
        <v>0</v>
      </c>
      <c r="BWZ6" s="88">
        <f t="shared" si="30"/>
        <v>0</v>
      </c>
      <c r="BXA6" s="88">
        <f t="shared" si="30"/>
        <v>0</v>
      </c>
      <c r="BXB6" s="88">
        <f t="shared" si="30"/>
        <v>0</v>
      </c>
      <c r="BXC6" s="88">
        <f t="shared" si="30"/>
        <v>0</v>
      </c>
      <c r="BXD6" s="88">
        <f t="shared" si="30"/>
        <v>0</v>
      </c>
      <c r="BXE6" s="88">
        <f t="shared" si="30"/>
        <v>0</v>
      </c>
      <c r="BXF6" s="88">
        <f t="shared" si="30"/>
        <v>0</v>
      </c>
      <c r="BXG6" s="88">
        <f t="shared" si="30"/>
        <v>0</v>
      </c>
      <c r="BXH6" s="88">
        <f t="shared" si="30"/>
        <v>0</v>
      </c>
      <c r="BXI6" s="88">
        <f t="shared" si="30"/>
        <v>0</v>
      </c>
      <c r="BXJ6" s="88">
        <f t="shared" si="30"/>
        <v>0</v>
      </c>
      <c r="BXK6" s="88">
        <f t="shared" si="30"/>
        <v>0</v>
      </c>
      <c r="BXL6" s="88">
        <f t="shared" si="30"/>
        <v>0</v>
      </c>
      <c r="BXM6" s="88">
        <f t="shared" si="30"/>
        <v>0</v>
      </c>
      <c r="BXN6" s="88">
        <f t="shared" si="30"/>
        <v>0</v>
      </c>
      <c r="BXO6" s="88">
        <f t="shared" si="30"/>
        <v>0</v>
      </c>
      <c r="BXP6" s="88">
        <f t="shared" si="30"/>
        <v>0</v>
      </c>
      <c r="BXQ6" s="88">
        <f t="shared" si="30"/>
        <v>0</v>
      </c>
      <c r="BXR6" s="88">
        <f t="shared" si="30"/>
        <v>0</v>
      </c>
      <c r="BXS6" s="88">
        <f t="shared" si="30"/>
        <v>0</v>
      </c>
      <c r="BXT6" s="88">
        <f t="shared" ref="BXT6:CAE6" si="31">SUM(BXU3:BXU5)</f>
        <v>0</v>
      </c>
      <c r="BXU6" s="88">
        <f t="shared" si="31"/>
        <v>0</v>
      </c>
      <c r="BXV6" s="88">
        <f t="shared" si="31"/>
        <v>0</v>
      </c>
      <c r="BXW6" s="88">
        <f t="shared" si="31"/>
        <v>0</v>
      </c>
      <c r="BXX6" s="88">
        <f t="shared" si="31"/>
        <v>0</v>
      </c>
      <c r="BXY6" s="88">
        <f t="shared" si="31"/>
        <v>0</v>
      </c>
      <c r="BXZ6" s="88">
        <f t="shared" si="31"/>
        <v>0</v>
      </c>
      <c r="BYA6" s="88">
        <f t="shared" si="31"/>
        <v>0</v>
      </c>
      <c r="BYB6" s="88">
        <f t="shared" si="31"/>
        <v>0</v>
      </c>
      <c r="BYC6" s="88">
        <f t="shared" si="31"/>
        <v>0</v>
      </c>
      <c r="BYD6" s="88">
        <f t="shared" si="31"/>
        <v>0</v>
      </c>
      <c r="BYE6" s="88">
        <f t="shared" si="31"/>
        <v>0</v>
      </c>
      <c r="BYF6" s="88">
        <f t="shared" si="31"/>
        <v>0</v>
      </c>
      <c r="BYG6" s="88">
        <f t="shared" si="31"/>
        <v>0</v>
      </c>
      <c r="BYH6" s="88">
        <f t="shared" si="31"/>
        <v>0</v>
      </c>
      <c r="BYI6" s="88">
        <f t="shared" si="31"/>
        <v>0</v>
      </c>
      <c r="BYJ6" s="88">
        <f t="shared" si="31"/>
        <v>0</v>
      </c>
      <c r="BYK6" s="88">
        <f t="shared" si="31"/>
        <v>0</v>
      </c>
      <c r="BYL6" s="88">
        <f t="shared" si="31"/>
        <v>0</v>
      </c>
      <c r="BYM6" s="88">
        <f t="shared" si="31"/>
        <v>0</v>
      </c>
      <c r="BYN6" s="88">
        <f t="shared" si="31"/>
        <v>0</v>
      </c>
      <c r="BYO6" s="88">
        <f t="shared" si="31"/>
        <v>0</v>
      </c>
      <c r="BYP6" s="88">
        <f t="shared" si="31"/>
        <v>0</v>
      </c>
      <c r="BYQ6" s="88">
        <f t="shared" si="31"/>
        <v>0</v>
      </c>
      <c r="BYR6" s="88">
        <f t="shared" si="31"/>
        <v>0</v>
      </c>
      <c r="BYS6" s="88">
        <f t="shared" si="31"/>
        <v>0</v>
      </c>
      <c r="BYT6" s="88">
        <f t="shared" si="31"/>
        <v>0</v>
      </c>
      <c r="BYU6" s="88">
        <f t="shared" si="31"/>
        <v>0</v>
      </c>
      <c r="BYV6" s="88">
        <f t="shared" si="31"/>
        <v>0</v>
      </c>
      <c r="BYW6" s="88">
        <f t="shared" si="31"/>
        <v>0</v>
      </c>
      <c r="BYX6" s="88">
        <f t="shared" si="31"/>
        <v>0</v>
      </c>
      <c r="BYY6" s="88">
        <f t="shared" si="31"/>
        <v>0</v>
      </c>
      <c r="BYZ6" s="88">
        <f t="shared" si="31"/>
        <v>0</v>
      </c>
      <c r="BZA6" s="88">
        <f t="shared" si="31"/>
        <v>0</v>
      </c>
      <c r="BZB6" s="88">
        <f t="shared" si="31"/>
        <v>0</v>
      </c>
      <c r="BZC6" s="88">
        <f t="shared" si="31"/>
        <v>0</v>
      </c>
      <c r="BZD6" s="88">
        <f t="shared" si="31"/>
        <v>0</v>
      </c>
      <c r="BZE6" s="88">
        <f t="shared" si="31"/>
        <v>0</v>
      </c>
      <c r="BZF6" s="88">
        <f t="shared" si="31"/>
        <v>0</v>
      </c>
      <c r="BZG6" s="88">
        <f t="shared" si="31"/>
        <v>0</v>
      </c>
      <c r="BZH6" s="88">
        <f t="shared" si="31"/>
        <v>0</v>
      </c>
      <c r="BZI6" s="88">
        <f t="shared" si="31"/>
        <v>0</v>
      </c>
      <c r="BZJ6" s="88">
        <f t="shared" si="31"/>
        <v>0</v>
      </c>
      <c r="BZK6" s="88">
        <f t="shared" si="31"/>
        <v>0</v>
      </c>
      <c r="BZL6" s="88">
        <f t="shared" si="31"/>
        <v>0</v>
      </c>
      <c r="BZM6" s="88">
        <f t="shared" si="31"/>
        <v>0</v>
      </c>
      <c r="BZN6" s="88">
        <f t="shared" si="31"/>
        <v>0</v>
      </c>
      <c r="BZO6" s="88">
        <f t="shared" si="31"/>
        <v>0</v>
      </c>
      <c r="BZP6" s="88">
        <f t="shared" si="31"/>
        <v>0</v>
      </c>
      <c r="BZQ6" s="88">
        <f t="shared" si="31"/>
        <v>0</v>
      </c>
      <c r="BZR6" s="88">
        <f t="shared" si="31"/>
        <v>0</v>
      </c>
      <c r="BZS6" s="88">
        <f t="shared" si="31"/>
        <v>0</v>
      </c>
      <c r="BZT6" s="88">
        <f t="shared" si="31"/>
        <v>0</v>
      </c>
      <c r="BZU6" s="88">
        <f t="shared" si="31"/>
        <v>0</v>
      </c>
      <c r="BZV6" s="88">
        <f t="shared" si="31"/>
        <v>0</v>
      </c>
      <c r="BZW6" s="88">
        <f t="shared" si="31"/>
        <v>0</v>
      </c>
      <c r="BZX6" s="88">
        <f t="shared" si="31"/>
        <v>0</v>
      </c>
      <c r="BZY6" s="88">
        <f t="shared" si="31"/>
        <v>0</v>
      </c>
      <c r="BZZ6" s="88">
        <f t="shared" si="31"/>
        <v>0</v>
      </c>
      <c r="CAA6" s="88">
        <f t="shared" si="31"/>
        <v>0</v>
      </c>
      <c r="CAB6" s="88">
        <f t="shared" si="31"/>
        <v>0</v>
      </c>
      <c r="CAC6" s="88">
        <f t="shared" si="31"/>
        <v>0</v>
      </c>
      <c r="CAD6" s="88">
        <f t="shared" si="31"/>
        <v>0</v>
      </c>
      <c r="CAE6" s="88">
        <f t="shared" si="31"/>
        <v>0</v>
      </c>
      <c r="CAF6" s="88">
        <f t="shared" ref="CAF6:CCQ6" si="32">SUM(CAG3:CAG5)</f>
        <v>0</v>
      </c>
      <c r="CAG6" s="88">
        <f t="shared" si="32"/>
        <v>0</v>
      </c>
      <c r="CAH6" s="88">
        <f t="shared" si="32"/>
        <v>0</v>
      </c>
      <c r="CAI6" s="88">
        <f t="shared" si="32"/>
        <v>0</v>
      </c>
      <c r="CAJ6" s="88">
        <f t="shared" si="32"/>
        <v>0</v>
      </c>
      <c r="CAK6" s="88">
        <f t="shared" si="32"/>
        <v>0</v>
      </c>
      <c r="CAL6" s="88">
        <f t="shared" si="32"/>
        <v>0</v>
      </c>
      <c r="CAM6" s="88">
        <f t="shared" si="32"/>
        <v>0</v>
      </c>
      <c r="CAN6" s="88">
        <f t="shared" si="32"/>
        <v>0</v>
      </c>
      <c r="CAO6" s="88">
        <f t="shared" si="32"/>
        <v>0</v>
      </c>
      <c r="CAP6" s="88">
        <f t="shared" si="32"/>
        <v>0</v>
      </c>
      <c r="CAQ6" s="88">
        <f t="shared" si="32"/>
        <v>0</v>
      </c>
      <c r="CAR6" s="88">
        <f t="shared" si="32"/>
        <v>0</v>
      </c>
      <c r="CAS6" s="88">
        <f t="shared" si="32"/>
        <v>0</v>
      </c>
      <c r="CAT6" s="88">
        <f t="shared" si="32"/>
        <v>0</v>
      </c>
      <c r="CAU6" s="88">
        <f t="shared" si="32"/>
        <v>0</v>
      </c>
      <c r="CAV6" s="88">
        <f t="shared" si="32"/>
        <v>0</v>
      </c>
      <c r="CAW6" s="88">
        <f t="shared" si="32"/>
        <v>0</v>
      </c>
      <c r="CAX6" s="88">
        <f t="shared" si="32"/>
        <v>0</v>
      </c>
      <c r="CAY6" s="88">
        <f t="shared" si="32"/>
        <v>0</v>
      </c>
      <c r="CAZ6" s="88">
        <f t="shared" si="32"/>
        <v>0</v>
      </c>
      <c r="CBA6" s="88">
        <f t="shared" si="32"/>
        <v>0</v>
      </c>
      <c r="CBB6" s="88">
        <f t="shared" si="32"/>
        <v>0</v>
      </c>
      <c r="CBC6" s="88">
        <f t="shared" si="32"/>
        <v>0</v>
      </c>
      <c r="CBD6" s="88">
        <f t="shared" si="32"/>
        <v>0</v>
      </c>
      <c r="CBE6" s="88">
        <f t="shared" si="32"/>
        <v>0</v>
      </c>
      <c r="CBF6" s="88">
        <f t="shared" si="32"/>
        <v>0</v>
      </c>
      <c r="CBG6" s="88">
        <f t="shared" si="32"/>
        <v>0</v>
      </c>
      <c r="CBH6" s="88">
        <f t="shared" si="32"/>
        <v>0</v>
      </c>
      <c r="CBI6" s="88">
        <f t="shared" si="32"/>
        <v>0</v>
      </c>
      <c r="CBJ6" s="88">
        <f t="shared" si="32"/>
        <v>0</v>
      </c>
      <c r="CBK6" s="88">
        <f t="shared" si="32"/>
        <v>0</v>
      </c>
      <c r="CBL6" s="88">
        <f t="shared" si="32"/>
        <v>0</v>
      </c>
      <c r="CBM6" s="88">
        <f t="shared" si="32"/>
        <v>0</v>
      </c>
      <c r="CBN6" s="88">
        <f t="shared" si="32"/>
        <v>0</v>
      </c>
      <c r="CBO6" s="88">
        <f t="shared" si="32"/>
        <v>0</v>
      </c>
      <c r="CBP6" s="88">
        <f t="shared" si="32"/>
        <v>0</v>
      </c>
      <c r="CBQ6" s="88">
        <f t="shared" si="32"/>
        <v>0</v>
      </c>
      <c r="CBR6" s="88">
        <f t="shared" si="32"/>
        <v>0</v>
      </c>
      <c r="CBS6" s="88">
        <f t="shared" si="32"/>
        <v>0</v>
      </c>
      <c r="CBT6" s="88">
        <f t="shared" si="32"/>
        <v>0</v>
      </c>
      <c r="CBU6" s="88">
        <f t="shared" si="32"/>
        <v>0</v>
      </c>
      <c r="CBV6" s="88">
        <f t="shared" si="32"/>
        <v>0</v>
      </c>
      <c r="CBW6" s="88">
        <f t="shared" si="32"/>
        <v>0</v>
      </c>
      <c r="CBX6" s="88">
        <f t="shared" si="32"/>
        <v>0</v>
      </c>
      <c r="CBY6" s="88">
        <f t="shared" si="32"/>
        <v>0</v>
      </c>
      <c r="CBZ6" s="88">
        <f t="shared" si="32"/>
        <v>0</v>
      </c>
      <c r="CCA6" s="88">
        <f t="shared" si="32"/>
        <v>0</v>
      </c>
      <c r="CCB6" s="88">
        <f t="shared" si="32"/>
        <v>0</v>
      </c>
      <c r="CCC6" s="88">
        <f t="shared" si="32"/>
        <v>0</v>
      </c>
      <c r="CCD6" s="88">
        <f t="shared" si="32"/>
        <v>0</v>
      </c>
      <c r="CCE6" s="88">
        <f t="shared" si="32"/>
        <v>0</v>
      </c>
      <c r="CCF6" s="88">
        <f t="shared" si="32"/>
        <v>0</v>
      </c>
      <c r="CCG6" s="88">
        <f t="shared" si="32"/>
        <v>0</v>
      </c>
      <c r="CCH6" s="88">
        <f t="shared" si="32"/>
        <v>0</v>
      </c>
      <c r="CCI6" s="88">
        <f t="shared" si="32"/>
        <v>0</v>
      </c>
      <c r="CCJ6" s="88">
        <f t="shared" si="32"/>
        <v>0</v>
      </c>
      <c r="CCK6" s="88">
        <f t="shared" si="32"/>
        <v>0</v>
      </c>
      <c r="CCL6" s="88">
        <f t="shared" si="32"/>
        <v>0</v>
      </c>
      <c r="CCM6" s="88">
        <f t="shared" si="32"/>
        <v>0</v>
      </c>
      <c r="CCN6" s="88">
        <f t="shared" si="32"/>
        <v>0</v>
      </c>
      <c r="CCO6" s="88">
        <f t="shared" si="32"/>
        <v>0</v>
      </c>
      <c r="CCP6" s="88">
        <f t="shared" si="32"/>
        <v>0</v>
      </c>
      <c r="CCQ6" s="88">
        <f t="shared" si="32"/>
        <v>0</v>
      </c>
      <c r="CCR6" s="88">
        <f t="shared" ref="CCR6:CFC6" si="33">SUM(CCS3:CCS5)</f>
        <v>0</v>
      </c>
      <c r="CCS6" s="88">
        <f t="shared" si="33"/>
        <v>0</v>
      </c>
      <c r="CCT6" s="88">
        <f t="shared" si="33"/>
        <v>0</v>
      </c>
      <c r="CCU6" s="88">
        <f t="shared" si="33"/>
        <v>0</v>
      </c>
      <c r="CCV6" s="88">
        <f t="shared" si="33"/>
        <v>0</v>
      </c>
      <c r="CCW6" s="88">
        <f t="shared" si="33"/>
        <v>0</v>
      </c>
      <c r="CCX6" s="88">
        <f t="shared" si="33"/>
        <v>0</v>
      </c>
      <c r="CCY6" s="88">
        <f t="shared" si="33"/>
        <v>0</v>
      </c>
      <c r="CCZ6" s="88">
        <f t="shared" si="33"/>
        <v>0</v>
      </c>
      <c r="CDA6" s="88">
        <f t="shared" si="33"/>
        <v>0</v>
      </c>
      <c r="CDB6" s="88">
        <f t="shared" si="33"/>
        <v>0</v>
      </c>
      <c r="CDC6" s="88">
        <f t="shared" si="33"/>
        <v>0</v>
      </c>
      <c r="CDD6" s="88">
        <f t="shared" si="33"/>
        <v>0</v>
      </c>
      <c r="CDE6" s="88">
        <f t="shared" si="33"/>
        <v>0</v>
      </c>
      <c r="CDF6" s="88">
        <f t="shared" si="33"/>
        <v>0</v>
      </c>
      <c r="CDG6" s="88">
        <f t="shared" si="33"/>
        <v>0</v>
      </c>
      <c r="CDH6" s="88">
        <f t="shared" si="33"/>
        <v>0</v>
      </c>
      <c r="CDI6" s="88">
        <f t="shared" si="33"/>
        <v>0</v>
      </c>
      <c r="CDJ6" s="88">
        <f t="shared" si="33"/>
        <v>0</v>
      </c>
      <c r="CDK6" s="88">
        <f t="shared" si="33"/>
        <v>0</v>
      </c>
      <c r="CDL6" s="88">
        <f t="shared" si="33"/>
        <v>0</v>
      </c>
      <c r="CDM6" s="88">
        <f t="shared" si="33"/>
        <v>0</v>
      </c>
      <c r="CDN6" s="88">
        <f t="shared" si="33"/>
        <v>0</v>
      </c>
      <c r="CDO6" s="88">
        <f t="shared" si="33"/>
        <v>0</v>
      </c>
      <c r="CDP6" s="88">
        <f t="shared" si="33"/>
        <v>0</v>
      </c>
      <c r="CDQ6" s="88">
        <f t="shared" si="33"/>
        <v>0</v>
      </c>
      <c r="CDR6" s="88">
        <f t="shared" si="33"/>
        <v>0</v>
      </c>
      <c r="CDS6" s="88">
        <f t="shared" si="33"/>
        <v>0</v>
      </c>
      <c r="CDT6" s="88">
        <f t="shared" si="33"/>
        <v>0</v>
      </c>
      <c r="CDU6" s="88">
        <f t="shared" si="33"/>
        <v>0</v>
      </c>
      <c r="CDV6" s="88">
        <f t="shared" si="33"/>
        <v>0</v>
      </c>
      <c r="CDW6" s="88">
        <f t="shared" si="33"/>
        <v>0</v>
      </c>
      <c r="CDX6" s="88">
        <f t="shared" si="33"/>
        <v>0</v>
      </c>
      <c r="CDY6" s="88">
        <f t="shared" si="33"/>
        <v>0</v>
      </c>
      <c r="CDZ6" s="88">
        <f t="shared" si="33"/>
        <v>0</v>
      </c>
      <c r="CEA6" s="88">
        <f t="shared" si="33"/>
        <v>0</v>
      </c>
      <c r="CEB6" s="88">
        <f t="shared" si="33"/>
        <v>0</v>
      </c>
      <c r="CEC6" s="88">
        <f t="shared" si="33"/>
        <v>0</v>
      </c>
      <c r="CED6" s="88">
        <f t="shared" si="33"/>
        <v>0</v>
      </c>
      <c r="CEE6" s="88">
        <f t="shared" si="33"/>
        <v>0</v>
      </c>
      <c r="CEF6" s="88">
        <f t="shared" si="33"/>
        <v>0</v>
      </c>
      <c r="CEG6" s="88">
        <f t="shared" si="33"/>
        <v>0</v>
      </c>
      <c r="CEH6" s="88">
        <f t="shared" si="33"/>
        <v>0</v>
      </c>
      <c r="CEI6" s="88">
        <f t="shared" si="33"/>
        <v>0</v>
      </c>
      <c r="CEJ6" s="88">
        <f t="shared" si="33"/>
        <v>0</v>
      </c>
      <c r="CEK6" s="88">
        <f t="shared" si="33"/>
        <v>0</v>
      </c>
      <c r="CEL6" s="88">
        <f t="shared" si="33"/>
        <v>0</v>
      </c>
      <c r="CEM6" s="88">
        <f t="shared" si="33"/>
        <v>0</v>
      </c>
      <c r="CEN6" s="88">
        <f t="shared" si="33"/>
        <v>0</v>
      </c>
      <c r="CEO6" s="88">
        <f t="shared" si="33"/>
        <v>0</v>
      </c>
      <c r="CEP6" s="88">
        <f t="shared" si="33"/>
        <v>0</v>
      </c>
      <c r="CEQ6" s="88">
        <f t="shared" si="33"/>
        <v>0</v>
      </c>
      <c r="CER6" s="88">
        <f t="shared" si="33"/>
        <v>0</v>
      </c>
      <c r="CES6" s="88">
        <f t="shared" si="33"/>
        <v>0</v>
      </c>
      <c r="CET6" s="88">
        <f t="shared" si="33"/>
        <v>0</v>
      </c>
      <c r="CEU6" s="88">
        <f t="shared" si="33"/>
        <v>0</v>
      </c>
      <c r="CEV6" s="88">
        <f t="shared" si="33"/>
        <v>0</v>
      </c>
      <c r="CEW6" s="88">
        <f t="shared" si="33"/>
        <v>0</v>
      </c>
      <c r="CEX6" s="88">
        <f t="shared" si="33"/>
        <v>0</v>
      </c>
      <c r="CEY6" s="88">
        <f t="shared" si="33"/>
        <v>0</v>
      </c>
      <c r="CEZ6" s="88">
        <f t="shared" si="33"/>
        <v>0</v>
      </c>
      <c r="CFA6" s="88">
        <f t="shared" si="33"/>
        <v>0</v>
      </c>
      <c r="CFB6" s="88">
        <f t="shared" si="33"/>
        <v>0</v>
      </c>
      <c r="CFC6" s="88">
        <f t="shared" si="33"/>
        <v>0</v>
      </c>
      <c r="CFD6" s="88">
        <f t="shared" ref="CFD6:CHO6" si="34">SUM(CFE3:CFE5)</f>
        <v>0</v>
      </c>
      <c r="CFE6" s="88">
        <f t="shared" si="34"/>
        <v>0</v>
      </c>
      <c r="CFF6" s="88">
        <f t="shared" si="34"/>
        <v>0</v>
      </c>
      <c r="CFG6" s="88">
        <f t="shared" si="34"/>
        <v>0</v>
      </c>
      <c r="CFH6" s="88">
        <f t="shared" si="34"/>
        <v>0</v>
      </c>
      <c r="CFI6" s="88">
        <f t="shared" si="34"/>
        <v>0</v>
      </c>
      <c r="CFJ6" s="88">
        <f t="shared" si="34"/>
        <v>0</v>
      </c>
      <c r="CFK6" s="88">
        <f t="shared" si="34"/>
        <v>0</v>
      </c>
      <c r="CFL6" s="88">
        <f t="shared" si="34"/>
        <v>0</v>
      </c>
      <c r="CFM6" s="88">
        <f t="shared" si="34"/>
        <v>0</v>
      </c>
      <c r="CFN6" s="88">
        <f t="shared" si="34"/>
        <v>0</v>
      </c>
      <c r="CFO6" s="88">
        <f t="shared" si="34"/>
        <v>0</v>
      </c>
      <c r="CFP6" s="88">
        <f t="shared" si="34"/>
        <v>0</v>
      </c>
      <c r="CFQ6" s="88">
        <f t="shared" si="34"/>
        <v>0</v>
      </c>
      <c r="CFR6" s="88">
        <f t="shared" si="34"/>
        <v>0</v>
      </c>
      <c r="CFS6" s="88">
        <f t="shared" si="34"/>
        <v>0</v>
      </c>
      <c r="CFT6" s="88">
        <f t="shared" si="34"/>
        <v>0</v>
      </c>
      <c r="CFU6" s="88">
        <f t="shared" si="34"/>
        <v>0</v>
      </c>
      <c r="CFV6" s="88">
        <f t="shared" si="34"/>
        <v>0</v>
      </c>
      <c r="CFW6" s="88">
        <f t="shared" si="34"/>
        <v>0</v>
      </c>
      <c r="CFX6" s="88">
        <f t="shared" si="34"/>
        <v>0</v>
      </c>
      <c r="CFY6" s="88">
        <f t="shared" si="34"/>
        <v>0</v>
      </c>
      <c r="CFZ6" s="88">
        <f t="shared" si="34"/>
        <v>0</v>
      </c>
      <c r="CGA6" s="88">
        <f t="shared" si="34"/>
        <v>0</v>
      </c>
      <c r="CGB6" s="88">
        <f t="shared" si="34"/>
        <v>0</v>
      </c>
      <c r="CGC6" s="88">
        <f t="shared" si="34"/>
        <v>0</v>
      </c>
      <c r="CGD6" s="88">
        <f t="shared" si="34"/>
        <v>0</v>
      </c>
      <c r="CGE6" s="88">
        <f t="shared" si="34"/>
        <v>0</v>
      </c>
      <c r="CGF6" s="88">
        <f t="shared" si="34"/>
        <v>0</v>
      </c>
      <c r="CGG6" s="88">
        <f t="shared" si="34"/>
        <v>0</v>
      </c>
      <c r="CGH6" s="88">
        <f t="shared" si="34"/>
        <v>0</v>
      </c>
      <c r="CGI6" s="88">
        <f t="shared" si="34"/>
        <v>0</v>
      </c>
      <c r="CGJ6" s="88">
        <f t="shared" si="34"/>
        <v>0</v>
      </c>
      <c r="CGK6" s="88">
        <f t="shared" si="34"/>
        <v>0</v>
      </c>
      <c r="CGL6" s="88">
        <f t="shared" si="34"/>
        <v>0</v>
      </c>
      <c r="CGM6" s="88">
        <f t="shared" si="34"/>
        <v>0</v>
      </c>
      <c r="CGN6" s="88">
        <f t="shared" si="34"/>
        <v>0</v>
      </c>
      <c r="CGO6" s="88">
        <f t="shared" si="34"/>
        <v>0</v>
      </c>
      <c r="CGP6" s="88">
        <f t="shared" si="34"/>
        <v>0</v>
      </c>
      <c r="CGQ6" s="88">
        <f t="shared" si="34"/>
        <v>0</v>
      </c>
      <c r="CGR6" s="88">
        <f t="shared" si="34"/>
        <v>0</v>
      </c>
      <c r="CGS6" s="88">
        <f t="shared" si="34"/>
        <v>0</v>
      </c>
      <c r="CGT6" s="88">
        <f t="shared" si="34"/>
        <v>0</v>
      </c>
      <c r="CGU6" s="88">
        <f t="shared" si="34"/>
        <v>0</v>
      </c>
      <c r="CGV6" s="88">
        <f t="shared" si="34"/>
        <v>0</v>
      </c>
      <c r="CGW6" s="88">
        <f t="shared" si="34"/>
        <v>0</v>
      </c>
      <c r="CGX6" s="88">
        <f t="shared" si="34"/>
        <v>0</v>
      </c>
      <c r="CGY6" s="88">
        <f t="shared" si="34"/>
        <v>0</v>
      </c>
      <c r="CGZ6" s="88">
        <f t="shared" si="34"/>
        <v>0</v>
      </c>
      <c r="CHA6" s="88">
        <f t="shared" si="34"/>
        <v>0</v>
      </c>
      <c r="CHB6" s="88">
        <f t="shared" si="34"/>
        <v>0</v>
      </c>
      <c r="CHC6" s="88">
        <f t="shared" si="34"/>
        <v>0</v>
      </c>
      <c r="CHD6" s="88">
        <f t="shared" si="34"/>
        <v>0</v>
      </c>
      <c r="CHE6" s="88">
        <f t="shared" si="34"/>
        <v>0</v>
      </c>
      <c r="CHF6" s="88">
        <f t="shared" si="34"/>
        <v>0</v>
      </c>
      <c r="CHG6" s="88">
        <f t="shared" si="34"/>
        <v>0</v>
      </c>
      <c r="CHH6" s="88">
        <f t="shared" si="34"/>
        <v>0</v>
      </c>
      <c r="CHI6" s="88">
        <f t="shared" si="34"/>
        <v>0</v>
      </c>
      <c r="CHJ6" s="88">
        <f t="shared" si="34"/>
        <v>0</v>
      </c>
      <c r="CHK6" s="88">
        <f t="shared" si="34"/>
        <v>0</v>
      </c>
      <c r="CHL6" s="88">
        <f t="shared" si="34"/>
        <v>0</v>
      </c>
      <c r="CHM6" s="88">
        <f t="shared" si="34"/>
        <v>0</v>
      </c>
      <c r="CHN6" s="88">
        <f t="shared" si="34"/>
        <v>0</v>
      </c>
      <c r="CHO6" s="88">
        <f t="shared" si="34"/>
        <v>0</v>
      </c>
      <c r="CHP6" s="88">
        <f t="shared" ref="CHP6:CKA6" si="35">SUM(CHQ3:CHQ5)</f>
        <v>0</v>
      </c>
      <c r="CHQ6" s="88">
        <f t="shared" si="35"/>
        <v>0</v>
      </c>
      <c r="CHR6" s="88">
        <f t="shared" si="35"/>
        <v>0</v>
      </c>
      <c r="CHS6" s="88">
        <f t="shared" si="35"/>
        <v>0</v>
      </c>
      <c r="CHT6" s="88">
        <f t="shared" si="35"/>
        <v>0</v>
      </c>
      <c r="CHU6" s="88">
        <f t="shared" si="35"/>
        <v>0</v>
      </c>
      <c r="CHV6" s="88">
        <f t="shared" si="35"/>
        <v>0</v>
      </c>
      <c r="CHW6" s="88">
        <f t="shared" si="35"/>
        <v>0</v>
      </c>
      <c r="CHX6" s="88">
        <f t="shared" si="35"/>
        <v>0</v>
      </c>
      <c r="CHY6" s="88">
        <f t="shared" si="35"/>
        <v>0</v>
      </c>
      <c r="CHZ6" s="88">
        <f t="shared" si="35"/>
        <v>0</v>
      </c>
      <c r="CIA6" s="88">
        <f t="shared" si="35"/>
        <v>0</v>
      </c>
      <c r="CIB6" s="88">
        <f t="shared" si="35"/>
        <v>0</v>
      </c>
      <c r="CIC6" s="88">
        <f t="shared" si="35"/>
        <v>0</v>
      </c>
      <c r="CID6" s="88">
        <f t="shared" si="35"/>
        <v>0</v>
      </c>
      <c r="CIE6" s="88">
        <f t="shared" si="35"/>
        <v>0</v>
      </c>
      <c r="CIF6" s="88">
        <f t="shared" si="35"/>
        <v>0</v>
      </c>
      <c r="CIG6" s="88">
        <f t="shared" si="35"/>
        <v>0</v>
      </c>
      <c r="CIH6" s="88">
        <f t="shared" si="35"/>
        <v>0</v>
      </c>
      <c r="CII6" s="88">
        <f t="shared" si="35"/>
        <v>0</v>
      </c>
      <c r="CIJ6" s="88">
        <f t="shared" si="35"/>
        <v>0</v>
      </c>
      <c r="CIK6" s="88">
        <f t="shared" si="35"/>
        <v>0</v>
      </c>
      <c r="CIL6" s="88">
        <f t="shared" si="35"/>
        <v>0</v>
      </c>
      <c r="CIM6" s="88">
        <f t="shared" si="35"/>
        <v>0</v>
      </c>
      <c r="CIN6" s="88">
        <f t="shared" si="35"/>
        <v>0</v>
      </c>
      <c r="CIO6" s="88">
        <f t="shared" si="35"/>
        <v>0</v>
      </c>
      <c r="CIP6" s="88">
        <f t="shared" si="35"/>
        <v>0</v>
      </c>
      <c r="CIQ6" s="88">
        <f t="shared" si="35"/>
        <v>0</v>
      </c>
      <c r="CIR6" s="88">
        <f t="shared" si="35"/>
        <v>0</v>
      </c>
      <c r="CIS6" s="88">
        <f t="shared" si="35"/>
        <v>0</v>
      </c>
      <c r="CIT6" s="88">
        <f t="shared" si="35"/>
        <v>0</v>
      </c>
      <c r="CIU6" s="88">
        <f t="shared" si="35"/>
        <v>0</v>
      </c>
      <c r="CIV6" s="88">
        <f t="shared" si="35"/>
        <v>0</v>
      </c>
      <c r="CIW6" s="88">
        <f t="shared" si="35"/>
        <v>0</v>
      </c>
      <c r="CIX6" s="88">
        <f t="shared" si="35"/>
        <v>0</v>
      </c>
      <c r="CIY6" s="88">
        <f t="shared" si="35"/>
        <v>0</v>
      </c>
      <c r="CIZ6" s="88">
        <f t="shared" si="35"/>
        <v>0</v>
      </c>
      <c r="CJA6" s="88">
        <f t="shared" si="35"/>
        <v>0</v>
      </c>
      <c r="CJB6" s="88">
        <f t="shared" si="35"/>
        <v>0</v>
      </c>
      <c r="CJC6" s="88">
        <f t="shared" si="35"/>
        <v>0</v>
      </c>
      <c r="CJD6" s="88">
        <f t="shared" si="35"/>
        <v>0</v>
      </c>
      <c r="CJE6" s="88">
        <f t="shared" si="35"/>
        <v>0</v>
      </c>
      <c r="CJF6" s="88">
        <f t="shared" si="35"/>
        <v>0</v>
      </c>
      <c r="CJG6" s="88">
        <f t="shared" si="35"/>
        <v>0</v>
      </c>
      <c r="CJH6" s="88">
        <f t="shared" si="35"/>
        <v>0</v>
      </c>
      <c r="CJI6" s="88">
        <f t="shared" si="35"/>
        <v>0</v>
      </c>
      <c r="CJJ6" s="88">
        <f t="shared" si="35"/>
        <v>0</v>
      </c>
      <c r="CJK6" s="88">
        <f t="shared" si="35"/>
        <v>0</v>
      </c>
      <c r="CJL6" s="88">
        <f t="shared" si="35"/>
        <v>0</v>
      </c>
      <c r="CJM6" s="88">
        <f t="shared" si="35"/>
        <v>0</v>
      </c>
      <c r="CJN6" s="88">
        <f t="shared" si="35"/>
        <v>0</v>
      </c>
      <c r="CJO6" s="88">
        <f t="shared" si="35"/>
        <v>0</v>
      </c>
      <c r="CJP6" s="88">
        <f t="shared" si="35"/>
        <v>0</v>
      </c>
      <c r="CJQ6" s="88">
        <f t="shared" si="35"/>
        <v>0</v>
      </c>
      <c r="CJR6" s="88">
        <f t="shared" si="35"/>
        <v>0</v>
      </c>
      <c r="CJS6" s="88">
        <f t="shared" si="35"/>
        <v>0</v>
      </c>
      <c r="CJT6" s="88">
        <f t="shared" si="35"/>
        <v>0</v>
      </c>
      <c r="CJU6" s="88">
        <f t="shared" si="35"/>
        <v>0</v>
      </c>
      <c r="CJV6" s="88">
        <f t="shared" si="35"/>
        <v>0</v>
      </c>
      <c r="CJW6" s="88">
        <f t="shared" si="35"/>
        <v>0</v>
      </c>
      <c r="CJX6" s="88">
        <f t="shared" si="35"/>
        <v>0</v>
      </c>
      <c r="CJY6" s="88">
        <f t="shared" si="35"/>
        <v>0</v>
      </c>
      <c r="CJZ6" s="88">
        <f t="shared" si="35"/>
        <v>0</v>
      </c>
      <c r="CKA6" s="88">
        <f t="shared" si="35"/>
        <v>0</v>
      </c>
      <c r="CKB6" s="88">
        <f t="shared" ref="CKB6:CMM6" si="36">SUM(CKC3:CKC5)</f>
        <v>0</v>
      </c>
      <c r="CKC6" s="88">
        <f t="shared" si="36"/>
        <v>0</v>
      </c>
      <c r="CKD6" s="88">
        <f t="shared" si="36"/>
        <v>0</v>
      </c>
      <c r="CKE6" s="88">
        <f t="shared" si="36"/>
        <v>0</v>
      </c>
      <c r="CKF6" s="88">
        <f t="shared" si="36"/>
        <v>0</v>
      </c>
      <c r="CKG6" s="88">
        <f t="shared" si="36"/>
        <v>0</v>
      </c>
      <c r="CKH6" s="88">
        <f t="shared" si="36"/>
        <v>0</v>
      </c>
      <c r="CKI6" s="88">
        <f t="shared" si="36"/>
        <v>0</v>
      </c>
      <c r="CKJ6" s="88">
        <f t="shared" si="36"/>
        <v>0</v>
      </c>
      <c r="CKK6" s="88">
        <f t="shared" si="36"/>
        <v>0</v>
      </c>
      <c r="CKL6" s="88">
        <f t="shared" si="36"/>
        <v>0</v>
      </c>
      <c r="CKM6" s="88">
        <f t="shared" si="36"/>
        <v>0</v>
      </c>
      <c r="CKN6" s="88">
        <f t="shared" si="36"/>
        <v>0</v>
      </c>
      <c r="CKO6" s="88">
        <f t="shared" si="36"/>
        <v>0</v>
      </c>
      <c r="CKP6" s="88">
        <f t="shared" si="36"/>
        <v>0</v>
      </c>
      <c r="CKQ6" s="88">
        <f t="shared" si="36"/>
        <v>0</v>
      </c>
      <c r="CKR6" s="88">
        <f t="shared" si="36"/>
        <v>0</v>
      </c>
      <c r="CKS6" s="88">
        <f t="shared" si="36"/>
        <v>0</v>
      </c>
      <c r="CKT6" s="88">
        <f t="shared" si="36"/>
        <v>0</v>
      </c>
      <c r="CKU6" s="88">
        <f t="shared" si="36"/>
        <v>0</v>
      </c>
      <c r="CKV6" s="88">
        <f t="shared" si="36"/>
        <v>0</v>
      </c>
      <c r="CKW6" s="88">
        <f t="shared" si="36"/>
        <v>0</v>
      </c>
      <c r="CKX6" s="88">
        <f t="shared" si="36"/>
        <v>0</v>
      </c>
      <c r="CKY6" s="88">
        <f t="shared" si="36"/>
        <v>0</v>
      </c>
      <c r="CKZ6" s="88">
        <f t="shared" si="36"/>
        <v>0</v>
      </c>
      <c r="CLA6" s="88">
        <f t="shared" si="36"/>
        <v>0</v>
      </c>
      <c r="CLB6" s="88">
        <f t="shared" si="36"/>
        <v>0</v>
      </c>
      <c r="CLC6" s="88">
        <f t="shared" si="36"/>
        <v>0</v>
      </c>
      <c r="CLD6" s="88">
        <f t="shared" si="36"/>
        <v>0</v>
      </c>
      <c r="CLE6" s="88">
        <f t="shared" si="36"/>
        <v>0</v>
      </c>
      <c r="CLF6" s="88">
        <f t="shared" si="36"/>
        <v>0</v>
      </c>
      <c r="CLG6" s="88">
        <f t="shared" si="36"/>
        <v>0</v>
      </c>
      <c r="CLH6" s="88">
        <f t="shared" si="36"/>
        <v>0</v>
      </c>
      <c r="CLI6" s="88">
        <f t="shared" si="36"/>
        <v>0</v>
      </c>
      <c r="CLJ6" s="88">
        <f t="shared" si="36"/>
        <v>0</v>
      </c>
      <c r="CLK6" s="88">
        <f t="shared" si="36"/>
        <v>0</v>
      </c>
      <c r="CLL6" s="88">
        <f t="shared" si="36"/>
        <v>0</v>
      </c>
      <c r="CLM6" s="88">
        <f t="shared" si="36"/>
        <v>0</v>
      </c>
      <c r="CLN6" s="88">
        <f t="shared" si="36"/>
        <v>0</v>
      </c>
      <c r="CLO6" s="88">
        <f t="shared" si="36"/>
        <v>0</v>
      </c>
      <c r="CLP6" s="88">
        <f t="shared" si="36"/>
        <v>0</v>
      </c>
      <c r="CLQ6" s="88">
        <f t="shared" si="36"/>
        <v>0</v>
      </c>
      <c r="CLR6" s="88">
        <f t="shared" si="36"/>
        <v>0</v>
      </c>
      <c r="CLS6" s="88">
        <f t="shared" si="36"/>
        <v>0</v>
      </c>
      <c r="CLT6" s="88">
        <f t="shared" si="36"/>
        <v>0</v>
      </c>
      <c r="CLU6" s="88">
        <f t="shared" si="36"/>
        <v>0</v>
      </c>
      <c r="CLV6" s="88">
        <f t="shared" si="36"/>
        <v>0</v>
      </c>
      <c r="CLW6" s="88">
        <f t="shared" si="36"/>
        <v>0</v>
      </c>
      <c r="CLX6" s="88">
        <f t="shared" si="36"/>
        <v>0</v>
      </c>
      <c r="CLY6" s="88">
        <f t="shared" si="36"/>
        <v>0</v>
      </c>
      <c r="CLZ6" s="88">
        <f t="shared" si="36"/>
        <v>0</v>
      </c>
      <c r="CMA6" s="88">
        <f t="shared" si="36"/>
        <v>0</v>
      </c>
      <c r="CMB6" s="88">
        <f t="shared" si="36"/>
        <v>0</v>
      </c>
      <c r="CMC6" s="88">
        <f t="shared" si="36"/>
        <v>0</v>
      </c>
      <c r="CMD6" s="88">
        <f t="shared" si="36"/>
        <v>0</v>
      </c>
      <c r="CME6" s="88">
        <f t="shared" si="36"/>
        <v>0</v>
      </c>
      <c r="CMF6" s="88">
        <f t="shared" si="36"/>
        <v>0</v>
      </c>
      <c r="CMG6" s="88">
        <f t="shared" si="36"/>
        <v>0</v>
      </c>
      <c r="CMH6" s="88">
        <f t="shared" si="36"/>
        <v>0</v>
      </c>
      <c r="CMI6" s="88">
        <f t="shared" si="36"/>
        <v>0</v>
      </c>
      <c r="CMJ6" s="88">
        <f t="shared" si="36"/>
        <v>0</v>
      </c>
      <c r="CMK6" s="88">
        <f t="shared" si="36"/>
        <v>0</v>
      </c>
      <c r="CML6" s="88">
        <f t="shared" si="36"/>
        <v>0</v>
      </c>
      <c r="CMM6" s="88">
        <f t="shared" si="36"/>
        <v>0</v>
      </c>
      <c r="CMN6" s="88">
        <f t="shared" ref="CMN6:COY6" si="37">SUM(CMO3:CMO5)</f>
        <v>0</v>
      </c>
      <c r="CMO6" s="88">
        <f t="shared" si="37"/>
        <v>0</v>
      </c>
      <c r="CMP6" s="88">
        <f t="shared" si="37"/>
        <v>0</v>
      </c>
      <c r="CMQ6" s="88">
        <f t="shared" si="37"/>
        <v>0</v>
      </c>
      <c r="CMR6" s="88">
        <f t="shared" si="37"/>
        <v>0</v>
      </c>
      <c r="CMS6" s="88">
        <f t="shared" si="37"/>
        <v>0</v>
      </c>
      <c r="CMT6" s="88">
        <f t="shared" si="37"/>
        <v>0</v>
      </c>
      <c r="CMU6" s="88">
        <f t="shared" si="37"/>
        <v>0</v>
      </c>
      <c r="CMV6" s="88">
        <f t="shared" si="37"/>
        <v>0</v>
      </c>
      <c r="CMW6" s="88">
        <f t="shared" si="37"/>
        <v>0</v>
      </c>
      <c r="CMX6" s="88">
        <f t="shared" si="37"/>
        <v>0</v>
      </c>
      <c r="CMY6" s="88">
        <f t="shared" si="37"/>
        <v>0</v>
      </c>
      <c r="CMZ6" s="88">
        <f t="shared" si="37"/>
        <v>0</v>
      </c>
      <c r="CNA6" s="88">
        <f t="shared" si="37"/>
        <v>0</v>
      </c>
      <c r="CNB6" s="88">
        <f t="shared" si="37"/>
        <v>0</v>
      </c>
      <c r="CNC6" s="88">
        <f t="shared" si="37"/>
        <v>0</v>
      </c>
      <c r="CND6" s="88">
        <f t="shared" si="37"/>
        <v>0</v>
      </c>
      <c r="CNE6" s="88">
        <f t="shared" si="37"/>
        <v>0</v>
      </c>
      <c r="CNF6" s="88">
        <f t="shared" si="37"/>
        <v>0</v>
      </c>
      <c r="CNG6" s="88">
        <f t="shared" si="37"/>
        <v>0</v>
      </c>
      <c r="CNH6" s="88">
        <f t="shared" si="37"/>
        <v>0</v>
      </c>
      <c r="CNI6" s="88">
        <f t="shared" si="37"/>
        <v>0</v>
      </c>
      <c r="CNJ6" s="88">
        <f t="shared" si="37"/>
        <v>0</v>
      </c>
      <c r="CNK6" s="88">
        <f t="shared" si="37"/>
        <v>0</v>
      </c>
      <c r="CNL6" s="88">
        <f t="shared" si="37"/>
        <v>0</v>
      </c>
      <c r="CNM6" s="88">
        <f t="shared" si="37"/>
        <v>0</v>
      </c>
      <c r="CNN6" s="88">
        <f t="shared" si="37"/>
        <v>0</v>
      </c>
      <c r="CNO6" s="88">
        <f t="shared" si="37"/>
        <v>0</v>
      </c>
      <c r="CNP6" s="88">
        <f t="shared" si="37"/>
        <v>0</v>
      </c>
      <c r="CNQ6" s="88">
        <f t="shared" si="37"/>
        <v>0</v>
      </c>
      <c r="CNR6" s="88">
        <f t="shared" si="37"/>
        <v>0</v>
      </c>
      <c r="CNS6" s="88">
        <f t="shared" si="37"/>
        <v>0</v>
      </c>
      <c r="CNT6" s="88">
        <f t="shared" si="37"/>
        <v>0</v>
      </c>
      <c r="CNU6" s="88">
        <f t="shared" si="37"/>
        <v>0</v>
      </c>
      <c r="CNV6" s="88">
        <f t="shared" si="37"/>
        <v>0</v>
      </c>
      <c r="CNW6" s="88">
        <f t="shared" si="37"/>
        <v>0</v>
      </c>
      <c r="CNX6" s="88">
        <f t="shared" si="37"/>
        <v>0</v>
      </c>
      <c r="CNY6" s="88">
        <f t="shared" si="37"/>
        <v>0</v>
      </c>
      <c r="CNZ6" s="88">
        <f t="shared" si="37"/>
        <v>0</v>
      </c>
      <c r="COA6" s="88">
        <f t="shared" si="37"/>
        <v>0</v>
      </c>
      <c r="COB6" s="88">
        <f t="shared" si="37"/>
        <v>0</v>
      </c>
      <c r="COC6" s="88">
        <f t="shared" si="37"/>
        <v>0</v>
      </c>
      <c r="COD6" s="88">
        <f t="shared" si="37"/>
        <v>0</v>
      </c>
      <c r="COE6" s="88">
        <f t="shared" si="37"/>
        <v>0</v>
      </c>
      <c r="COF6" s="88">
        <f t="shared" si="37"/>
        <v>0</v>
      </c>
      <c r="COG6" s="88">
        <f t="shared" si="37"/>
        <v>0</v>
      </c>
      <c r="COH6" s="88">
        <f t="shared" si="37"/>
        <v>0</v>
      </c>
      <c r="COI6" s="88">
        <f t="shared" si="37"/>
        <v>0</v>
      </c>
      <c r="COJ6" s="88">
        <f t="shared" si="37"/>
        <v>0</v>
      </c>
      <c r="COK6" s="88">
        <f t="shared" si="37"/>
        <v>0</v>
      </c>
      <c r="COL6" s="88">
        <f t="shared" si="37"/>
        <v>0</v>
      </c>
      <c r="COM6" s="88">
        <f t="shared" si="37"/>
        <v>0</v>
      </c>
      <c r="CON6" s="88">
        <f t="shared" si="37"/>
        <v>0</v>
      </c>
      <c r="COO6" s="88">
        <f t="shared" si="37"/>
        <v>0</v>
      </c>
      <c r="COP6" s="88">
        <f t="shared" si="37"/>
        <v>0</v>
      </c>
      <c r="COQ6" s="88">
        <f t="shared" si="37"/>
        <v>0</v>
      </c>
      <c r="COR6" s="88">
        <f t="shared" si="37"/>
        <v>0</v>
      </c>
      <c r="COS6" s="88">
        <f t="shared" si="37"/>
        <v>0</v>
      </c>
      <c r="COT6" s="88">
        <f t="shared" si="37"/>
        <v>0</v>
      </c>
      <c r="COU6" s="88">
        <f t="shared" si="37"/>
        <v>0</v>
      </c>
      <c r="COV6" s="88">
        <f t="shared" si="37"/>
        <v>0</v>
      </c>
      <c r="COW6" s="88">
        <f t="shared" si="37"/>
        <v>0</v>
      </c>
      <c r="COX6" s="88">
        <f t="shared" si="37"/>
        <v>0</v>
      </c>
      <c r="COY6" s="88">
        <f t="shared" si="37"/>
        <v>0</v>
      </c>
      <c r="COZ6" s="88">
        <f t="shared" ref="COZ6:CRK6" si="38">SUM(CPA3:CPA5)</f>
        <v>0</v>
      </c>
      <c r="CPA6" s="88">
        <f t="shared" si="38"/>
        <v>0</v>
      </c>
      <c r="CPB6" s="88">
        <f t="shared" si="38"/>
        <v>0</v>
      </c>
      <c r="CPC6" s="88">
        <f t="shared" si="38"/>
        <v>0</v>
      </c>
      <c r="CPD6" s="88">
        <f t="shared" si="38"/>
        <v>0</v>
      </c>
      <c r="CPE6" s="88">
        <f t="shared" si="38"/>
        <v>0</v>
      </c>
      <c r="CPF6" s="88">
        <f t="shared" si="38"/>
        <v>0</v>
      </c>
      <c r="CPG6" s="88">
        <f t="shared" si="38"/>
        <v>0</v>
      </c>
      <c r="CPH6" s="88">
        <f t="shared" si="38"/>
        <v>0</v>
      </c>
      <c r="CPI6" s="88">
        <f t="shared" si="38"/>
        <v>0</v>
      </c>
      <c r="CPJ6" s="88">
        <f t="shared" si="38"/>
        <v>0</v>
      </c>
      <c r="CPK6" s="88">
        <f t="shared" si="38"/>
        <v>0</v>
      </c>
      <c r="CPL6" s="88">
        <f t="shared" si="38"/>
        <v>0</v>
      </c>
      <c r="CPM6" s="88">
        <f t="shared" si="38"/>
        <v>0</v>
      </c>
      <c r="CPN6" s="88">
        <f t="shared" si="38"/>
        <v>0</v>
      </c>
      <c r="CPO6" s="88">
        <f t="shared" si="38"/>
        <v>0</v>
      </c>
      <c r="CPP6" s="88">
        <f t="shared" si="38"/>
        <v>0</v>
      </c>
      <c r="CPQ6" s="88">
        <f t="shared" si="38"/>
        <v>0</v>
      </c>
      <c r="CPR6" s="88">
        <f t="shared" si="38"/>
        <v>0</v>
      </c>
      <c r="CPS6" s="88">
        <f t="shared" si="38"/>
        <v>0</v>
      </c>
      <c r="CPT6" s="88">
        <f t="shared" si="38"/>
        <v>0</v>
      </c>
      <c r="CPU6" s="88">
        <f t="shared" si="38"/>
        <v>0</v>
      </c>
      <c r="CPV6" s="88">
        <f t="shared" si="38"/>
        <v>0</v>
      </c>
      <c r="CPW6" s="88">
        <f t="shared" si="38"/>
        <v>0</v>
      </c>
      <c r="CPX6" s="88">
        <f t="shared" si="38"/>
        <v>0</v>
      </c>
      <c r="CPY6" s="88">
        <f t="shared" si="38"/>
        <v>0</v>
      </c>
      <c r="CPZ6" s="88">
        <f t="shared" si="38"/>
        <v>0</v>
      </c>
      <c r="CQA6" s="88">
        <f t="shared" si="38"/>
        <v>0</v>
      </c>
      <c r="CQB6" s="88">
        <f t="shared" si="38"/>
        <v>0</v>
      </c>
      <c r="CQC6" s="88">
        <f t="shared" si="38"/>
        <v>0</v>
      </c>
      <c r="CQD6" s="88">
        <f t="shared" si="38"/>
        <v>0</v>
      </c>
      <c r="CQE6" s="88">
        <f t="shared" si="38"/>
        <v>0</v>
      </c>
      <c r="CQF6" s="88">
        <f t="shared" si="38"/>
        <v>0</v>
      </c>
      <c r="CQG6" s="88">
        <f t="shared" si="38"/>
        <v>0</v>
      </c>
      <c r="CQH6" s="88">
        <f t="shared" si="38"/>
        <v>0</v>
      </c>
      <c r="CQI6" s="88">
        <f t="shared" si="38"/>
        <v>0</v>
      </c>
      <c r="CQJ6" s="88">
        <f t="shared" si="38"/>
        <v>0</v>
      </c>
      <c r="CQK6" s="88">
        <f t="shared" si="38"/>
        <v>0</v>
      </c>
      <c r="CQL6" s="88">
        <f t="shared" si="38"/>
        <v>0</v>
      </c>
      <c r="CQM6" s="88">
        <f t="shared" si="38"/>
        <v>0</v>
      </c>
      <c r="CQN6" s="88">
        <f t="shared" si="38"/>
        <v>0</v>
      </c>
      <c r="CQO6" s="88">
        <f t="shared" si="38"/>
        <v>0</v>
      </c>
      <c r="CQP6" s="88">
        <f t="shared" si="38"/>
        <v>0</v>
      </c>
      <c r="CQQ6" s="88">
        <f t="shared" si="38"/>
        <v>0</v>
      </c>
      <c r="CQR6" s="88">
        <f t="shared" si="38"/>
        <v>0</v>
      </c>
      <c r="CQS6" s="88">
        <f t="shared" si="38"/>
        <v>0</v>
      </c>
      <c r="CQT6" s="88">
        <f t="shared" si="38"/>
        <v>0</v>
      </c>
      <c r="CQU6" s="88">
        <f t="shared" si="38"/>
        <v>0</v>
      </c>
      <c r="CQV6" s="88">
        <f t="shared" si="38"/>
        <v>0</v>
      </c>
      <c r="CQW6" s="88">
        <f t="shared" si="38"/>
        <v>0</v>
      </c>
      <c r="CQX6" s="88">
        <f t="shared" si="38"/>
        <v>0</v>
      </c>
      <c r="CQY6" s="88">
        <f t="shared" si="38"/>
        <v>0</v>
      </c>
      <c r="CQZ6" s="88">
        <f t="shared" si="38"/>
        <v>0</v>
      </c>
      <c r="CRA6" s="88">
        <f t="shared" si="38"/>
        <v>0</v>
      </c>
      <c r="CRB6" s="88">
        <f t="shared" si="38"/>
        <v>0</v>
      </c>
      <c r="CRC6" s="88">
        <f t="shared" si="38"/>
        <v>0</v>
      </c>
      <c r="CRD6" s="88">
        <f t="shared" si="38"/>
        <v>0</v>
      </c>
      <c r="CRE6" s="88">
        <f t="shared" si="38"/>
        <v>0</v>
      </c>
      <c r="CRF6" s="88">
        <f t="shared" si="38"/>
        <v>0</v>
      </c>
      <c r="CRG6" s="88">
        <f t="shared" si="38"/>
        <v>0</v>
      </c>
      <c r="CRH6" s="88">
        <f t="shared" si="38"/>
        <v>0</v>
      </c>
      <c r="CRI6" s="88">
        <f t="shared" si="38"/>
        <v>0</v>
      </c>
      <c r="CRJ6" s="88">
        <f t="shared" si="38"/>
        <v>0</v>
      </c>
      <c r="CRK6" s="88">
        <f t="shared" si="38"/>
        <v>0</v>
      </c>
      <c r="CRL6" s="88">
        <f t="shared" ref="CRL6:CTW6" si="39">SUM(CRM3:CRM5)</f>
        <v>0</v>
      </c>
      <c r="CRM6" s="88">
        <f t="shared" si="39"/>
        <v>0</v>
      </c>
      <c r="CRN6" s="88">
        <f t="shared" si="39"/>
        <v>0</v>
      </c>
      <c r="CRO6" s="88">
        <f t="shared" si="39"/>
        <v>0</v>
      </c>
      <c r="CRP6" s="88">
        <f t="shared" si="39"/>
        <v>0</v>
      </c>
      <c r="CRQ6" s="88">
        <f t="shared" si="39"/>
        <v>0</v>
      </c>
      <c r="CRR6" s="88">
        <f t="shared" si="39"/>
        <v>0</v>
      </c>
      <c r="CRS6" s="88">
        <f t="shared" si="39"/>
        <v>0</v>
      </c>
      <c r="CRT6" s="88">
        <f t="shared" si="39"/>
        <v>0</v>
      </c>
      <c r="CRU6" s="88">
        <f t="shared" si="39"/>
        <v>0</v>
      </c>
      <c r="CRV6" s="88">
        <f t="shared" si="39"/>
        <v>0</v>
      </c>
      <c r="CRW6" s="88">
        <f t="shared" si="39"/>
        <v>0</v>
      </c>
      <c r="CRX6" s="88">
        <f t="shared" si="39"/>
        <v>0</v>
      </c>
      <c r="CRY6" s="88">
        <f t="shared" si="39"/>
        <v>0</v>
      </c>
      <c r="CRZ6" s="88">
        <f t="shared" si="39"/>
        <v>0</v>
      </c>
      <c r="CSA6" s="88">
        <f t="shared" si="39"/>
        <v>0</v>
      </c>
      <c r="CSB6" s="88">
        <f t="shared" si="39"/>
        <v>0</v>
      </c>
      <c r="CSC6" s="88">
        <f t="shared" si="39"/>
        <v>0</v>
      </c>
      <c r="CSD6" s="88">
        <f t="shared" si="39"/>
        <v>0</v>
      </c>
      <c r="CSE6" s="88">
        <f t="shared" si="39"/>
        <v>0</v>
      </c>
      <c r="CSF6" s="88">
        <f t="shared" si="39"/>
        <v>0</v>
      </c>
      <c r="CSG6" s="88">
        <f t="shared" si="39"/>
        <v>0</v>
      </c>
      <c r="CSH6" s="88">
        <f t="shared" si="39"/>
        <v>0</v>
      </c>
      <c r="CSI6" s="88">
        <f t="shared" si="39"/>
        <v>0</v>
      </c>
      <c r="CSJ6" s="88">
        <f t="shared" si="39"/>
        <v>0</v>
      </c>
      <c r="CSK6" s="88">
        <f t="shared" si="39"/>
        <v>0</v>
      </c>
      <c r="CSL6" s="88">
        <f t="shared" si="39"/>
        <v>0</v>
      </c>
      <c r="CSM6" s="88">
        <f t="shared" si="39"/>
        <v>0</v>
      </c>
      <c r="CSN6" s="88">
        <f t="shared" si="39"/>
        <v>0</v>
      </c>
      <c r="CSO6" s="88">
        <f t="shared" si="39"/>
        <v>0</v>
      </c>
      <c r="CSP6" s="88">
        <f t="shared" si="39"/>
        <v>0</v>
      </c>
      <c r="CSQ6" s="88">
        <f t="shared" si="39"/>
        <v>0</v>
      </c>
      <c r="CSR6" s="88">
        <f t="shared" si="39"/>
        <v>0</v>
      </c>
      <c r="CSS6" s="88">
        <f t="shared" si="39"/>
        <v>0</v>
      </c>
      <c r="CST6" s="88">
        <f t="shared" si="39"/>
        <v>0</v>
      </c>
      <c r="CSU6" s="88">
        <f t="shared" si="39"/>
        <v>0</v>
      </c>
      <c r="CSV6" s="88">
        <f t="shared" si="39"/>
        <v>0</v>
      </c>
      <c r="CSW6" s="88">
        <f t="shared" si="39"/>
        <v>0</v>
      </c>
      <c r="CSX6" s="88">
        <f t="shared" si="39"/>
        <v>0</v>
      </c>
      <c r="CSY6" s="88">
        <f t="shared" si="39"/>
        <v>0</v>
      </c>
      <c r="CSZ6" s="88">
        <f t="shared" si="39"/>
        <v>0</v>
      </c>
      <c r="CTA6" s="88">
        <f t="shared" si="39"/>
        <v>0</v>
      </c>
      <c r="CTB6" s="88">
        <f t="shared" si="39"/>
        <v>0</v>
      </c>
      <c r="CTC6" s="88">
        <f t="shared" si="39"/>
        <v>0</v>
      </c>
      <c r="CTD6" s="88">
        <f t="shared" si="39"/>
        <v>0</v>
      </c>
      <c r="CTE6" s="88">
        <f t="shared" si="39"/>
        <v>0</v>
      </c>
      <c r="CTF6" s="88">
        <f t="shared" si="39"/>
        <v>0</v>
      </c>
      <c r="CTG6" s="88">
        <f t="shared" si="39"/>
        <v>0</v>
      </c>
      <c r="CTH6" s="88">
        <f t="shared" si="39"/>
        <v>0</v>
      </c>
      <c r="CTI6" s="88">
        <f t="shared" si="39"/>
        <v>0</v>
      </c>
      <c r="CTJ6" s="88">
        <f t="shared" si="39"/>
        <v>0</v>
      </c>
      <c r="CTK6" s="88">
        <f t="shared" si="39"/>
        <v>0</v>
      </c>
      <c r="CTL6" s="88">
        <f t="shared" si="39"/>
        <v>0</v>
      </c>
      <c r="CTM6" s="88">
        <f t="shared" si="39"/>
        <v>0</v>
      </c>
      <c r="CTN6" s="88">
        <f t="shared" si="39"/>
        <v>0</v>
      </c>
      <c r="CTO6" s="88">
        <f t="shared" si="39"/>
        <v>0</v>
      </c>
      <c r="CTP6" s="88">
        <f t="shared" si="39"/>
        <v>0</v>
      </c>
      <c r="CTQ6" s="88">
        <f t="shared" si="39"/>
        <v>0</v>
      </c>
      <c r="CTR6" s="88">
        <f t="shared" si="39"/>
        <v>0</v>
      </c>
      <c r="CTS6" s="88">
        <f t="shared" si="39"/>
        <v>0</v>
      </c>
      <c r="CTT6" s="88">
        <f t="shared" si="39"/>
        <v>0</v>
      </c>
      <c r="CTU6" s="88">
        <f t="shared" si="39"/>
        <v>0</v>
      </c>
      <c r="CTV6" s="88">
        <f t="shared" si="39"/>
        <v>0</v>
      </c>
      <c r="CTW6" s="88">
        <f t="shared" si="39"/>
        <v>0</v>
      </c>
      <c r="CTX6" s="88">
        <f t="shared" ref="CTX6:CWI6" si="40">SUM(CTY3:CTY5)</f>
        <v>0</v>
      </c>
      <c r="CTY6" s="88">
        <f t="shared" si="40"/>
        <v>0</v>
      </c>
      <c r="CTZ6" s="88">
        <f t="shared" si="40"/>
        <v>0</v>
      </c>
      <c r="CUA6" s="88">
        <f t="shared" si="40"/>
        <v>0</v>
      </c>
      <c r="CUB6" s="88">
        <f t="shared" si="40"/>
        <v>0</v>
      </c>
      <c r="CUC6" s="88">
        <f t="shared" si="40"/>
        <v>0</v>
      </c>
      <c r="CUD6" s="88">
        <f t="shared" si="40"/>
        <v>0</v>
      </c>
      <c r="CUE6" s="88">
        <f t="shared" si="40"/>
        <v>0</v>
      </c>
      <c r="CUF6" s="88">
        <f t="shared" si="40"/>
        <v>0</v>
      </c>
      <c r="CUG6" s="88">
        <f t="shared" si="40"/>
        <v>0</v>
      </c>
      <c r="CUH6" s="88">
        <f t="shared" si="40"/>
        <v>0</v>
      </c>
      <c r="CUI6" s="88">
        <f t="shared" si="40"/>
        <v>0</v>
      </c>
      <c r="CUJ6" s="88">
        <f t="shared" si="40"/>
        <v>0</v>
      </c>
      <c r="CUK6" s="88">
        <f t="shared" si="40"/>
        <v>0</v>
      </c>
      <c r="CUL6" s="88">
        <f t="shared" si="40"/>
        <v>0</v>
      </c>
      <c r="CUM6" s="88">
        <f t="shared" si="40"/>
        <v>0</v>
      </c>
      <c r="CUN6" s="88">
        <f t="shared" si="40"/>
        <v>0</v>
      </c>
      <c r="CUO6" s="88">
        <f t="shared" si="40"/>
        <v>0</v>
      </c>
      <c r="CUP6" s="88">
        <f t="shared" si="40"/>
        <v>0</v>
      </c>
      <c r="CUQ6" s="88">
        <f t="shared" si="40"/>
        <v>0</v>
      </c>
      <c r="CUR6" s="88">
        <f t="shared" si="40"/>
        <v>0</v>
      </c>
      <c r="CUS6" s="88">
        <f t="shared" si="40"/>
        <v>0</v>
      </c>
      <c r="CUT6" s="88">
        <f t="shared" si="40"/>
        <v>0</v>
      </c>
      <c r="CUU6" s="88">
        <f t="shared" si="40"/>
        <v>0</v>
      </c>
      <c r="CUV6" s="88">
        <f t="shared" si="40"/>
        <v>0</v>
      </c>
      <c r="CUW6" s="88">
        <f t="shared" si="40"/>
        <v>0</v>
      </c>
      <c r="CUX6" s="88">
        <f t="shared" si="40"/>
        <v>0</v>
      </c>
      <c r="CUY6" s="88">
        <f t="shared" si="40"/>
        <v>0</v>
      </c>
      <c r="CUZ6" s="88">
        <f t="shared" si="40"/>
        <v>0</v>
      </c>
      <c r="CVA6" s="88">
        <f t="shared" si="40"/>
        <v>0</v>
      </c>
      <c r="CVB6" s="88">
        <f t="shared" si="40"/>
        <v>0</v>
      </c>
      <c r="CVC6" s="88">
        <f t="shared" si="40"/>
        <v>0</v>
      </c>
      <c r="CVD6" s="88">
        <f t="shared" si="40"/>
        <v>0</v>
      </c>
      <c r="CVE6" s="88">
        <f t="shared" si="40"/>
        <v>0</v>
      </c>
      <c r="CVF6" s="88">
        <f t="shared" si="40"/>
        <v>0</v>
      </c>
      <c r="CVG6" s="88">
        <f t="shared" si="40"/>
        <v>0</v>
      </c>
      <c r="CVH6" s="88">
        <f t="shared" si="40"/>
        <v>0</v>
      </c>
      <c r="CVI6" s="88">
        <f t="shared" si="40"/>
        <v>0</v>
      </c>
      <c r="CVJ6" s="88">
        <f t="shared" si="40"/>
        <v>0</v>
      </c>
      <c r="CVK6" s="88">
        <f t="shared" si="40"/>
        <v>0</v>
      </c>
      <c r="CVL6" s="88">
        <f t="shared" si="40"/>
        <v>0</v>
      </c>
      <c r="CVM6" s="88">
        <f t="shared" si="40"/>
        <v>0</v>
      </c>
      <c r="CVN6" s="88">
        <f t="shared" si="40"/>
        <v>0</v>
      </c>
      <c r="CVO6" s="88">
        <f t="shared" si="40"/>
        <v>0</v>
      </c>
      <c r="CVP6" s="88">
        <f t="shared" si="40"/>
        <v>0</v>
      </c>
      <c r="CVQ6" s="88">
        <f t="shared" si="40"/>
        <v>0</v>
      </c>
      <c r="CVR6" s="88">
        <f t="shared" si="40"/>
        <v>0</v>
      </c>
      <c r="CVS6" s="88">
        <f t="shared" si="40"/>
        <v>0</v>
      </c>
      <c r="CVT6" s="88">
        <f t="shared" si="40"/>
        <v>0</v>
      </c>
      <c r="CVU6" s="88">
        <f t="shared" si="40"/>
        <v>0</v>
      </c>
      <c r="CVV6" s="88">
        <f t="shared" si="40"/>
        <v>0</v>
      </c>
      <c r="CVW6" s="88">
        <f t="shared" si="40"/>
        <v>0</v>
      </c>
      <c r="CVX6" s="88">
        <f t="shared" si="40"/>
        <v>0</v>
      </c>
      <c r="CVY6" s="88">
        <f t="shared" si="40"/>
        <v>0</v>
      </c>
      <c r="CVZ6" s="88">
        <f t="shared" si="40"/>
        <v>0</v>
      </c>
      <c r="CWA6" s="88">
        <f t="shared" si="40"/>
        <v>0</v>
      </c>
      <c r="CWB6" s="88">
        <f t="shared" si="40"/>
        <v>0</v>
      </c>
      <c r="CWC6" s="88">
        <f t="shared" si="40"/>
        <v>0</v>
      </c>
      <c r="CWD6" s="88">
        <f t="shared" si="40"/>
        <v>0</v>
      </c>
      <c r="CWE6" s="88">
        <f t="shared" si="40"/>
        <v>0</v>
      </c>
      <c r="CWF6" s="88">
        <f t="shared" si="40"/>
        <v>0</v>
      </c>
      <c r="CWG6" s="88">
        <f t="shared" si="40"/>
        <v>0</v>
      </c>
      <c r="CWH6" s="88">
        <f t="shared" si="40"/>
        <v>0</v>
      </c>
      <c r="CWI6" s="88">
        <f t="shared" si="40"/>
        <v>0</v>
      </c>
      <c r="CWJ6" s="88">
        <f t="shared" ref="CWJ6:CYU6" si="41">SUM(CWK3:CWK5)</f>
        <v>0</v>
      </c>
      <c r="CWK6" s="88">
        <f t="shared" si="41"/>
        <v>0</v>
      </c>
      <c r="CWL6" s="88">
        <f t="shared" si="41"/>
        <v>0</v>
      </c>
      <c r="CWM6" s="88">
        <f t="shared" si="41"/>
        <v>0</v>
      </c>
      <c r="CWN6" s="88">
        <f t="shared" si="41"/>
        <v>0</v>
      </c>
      <c r="CWO6" s="88">
        <f t="shared" si="41"/>
        <v>0</v>
      </c>
      <c r="CWP6" s="88">
        <f t="shared" si="41"/>
        <v>0</v>
      </c>
      <c r="CWQ6" s="88">
        <f t="shared" si="41"/>
        <v>0</v>
      </c>
      <c r="CWR6" s="88">
        <f t="shared" si="41"/>
        <v>0</v>
      </c>
      <c r="CWS6" s="88">
        <f t="shared" si="41"/>
        <v>0</v>
      </c>
      <c r="CWT6" s="88">
        <f t="shared" si="41"/>
        <v>0</v>
      </c>
      <c r="CWU6" s="88">
        <f t="shared" si="41"/>
        <v>0</v>
      </c>
      <c r="CWV6" s="88">
        <f t="shared" si="41"/>
        <v>0</v>
      </c>
      <c r="CWW6" s="88">
        <f t="shared" si="41"/>
        <v>0</v>
      </c>
      <c r="CWX6" s="88">
        <f t="shared" si="41"/>
        <v>0</v>
      </c>
      <c r="CWY6" s="88">
        <f t="shared" si="41"/>
        <v>0</v>
      </c>
      <c r="CWZ6" s="88">
        <f t="shared" si="41"/>
        <v>0</v>
      </c>
      <c r="CXA6" s="88">
        <f t="shared" si="41"/>
        <v>0</v>
      </c>
      <c r="CXB6" s="88">
        <f t="shared" si="41"/>
        <v>0</v>
      </c>
      <c r="CXC6" s="88">
        <f t="shared" si="41"/>
        <v>0</v>
      </c>
      <c r="CXD6" s="88">
        <f t="shared" si="41"/>
        <v>0</v>
      </c>
      <c r="CXE6" s="88">
        <f t="shared" si="41"/>
        <v>0</v>
      </c>
      <c r="CXF6" s="88">
        <f t="shared" si="41"/>
        <v>0</v>
      </c>
      <c r="CXG6" s="88">
        <f t="shared" si="41"/>
        <v>0</v>
      </c>
      <c r="CXH6" s="88">
        <f t="shared" si="41"/>
        <v>0</v>
      </c>
      <c r="CXI6" s="88">
        <f t="shared" si="41"/>
        <v>0</v>
      </c>
      <c r="CXJ6" s="88">
        <f t="shared" si="41"/>
        <v>0</v>
      </c>
      <c r="CXK6" s="88">
        <f t="shared" si="41"/>
        <v>0</v>
      </c>
      <c r="CXL6" s="88">
        <f t="shared" si="41"/>
        <v>0</v>
      </c>
      <c r="CXM6" s="88">
        <f t="shared" si="41"/>
        <v>0</v>
      </c>
      <c r="CXN6" s="88">
        <f t="shared" si="41"/>
        <v>0</v>
      </c>
      <c r="CXO6" s="88">
        <f t="shared" si="41"/>
        <v>0</v>
      </c>
      <c r="CXP6" s="88">
        <f t="shared" si="41"/>
        <v>0</v>
      </c>
      <c r="CXQ6" s="88">
        <f t="shared" si="41"/>
        <v>0</v>
      </c>
      <c r="CXR6" s="88">
        <f t="shared" si="41"/>
        <v>0</v>
      </c>
      <c r="CXS6" s="88">
        <f t="shared" si="41"/>
        <v>0</v>
      </c>
      <c r="CXT6" s="88">
        <f t="shared" si="41"/>
        <v>0</v>
      </c>
      <c r="CXU6" s="88">
        <f t="shared" si="41"/>
        <v>0</v>
      </c>
      <c r="CXV6" s="88">
        <f t="shared" si="41"/>
        <v>0</v>
      </c>
      <c r="CXW6" s="88">
        <f t="shared" si="41"/>
        <v>0</v>
      </c>
      <c r="CXX6" s="88">
        <f t="shared" si="41"/>
        <v>0</v>
      </c>
      <c r="CXY6" s="88">
        <f t="shared" si="41"/>
        <v>0</v>
      </c>
      <c r="CXZ6" s="88">
        <f t="shared" si="41"/>
        <v>0</v>
      </c>
      <c r="CYA6" s="88">
        <f t="shared" si="41"/>
        <v>0</v>
      </c>
      <c r="CYB6" s="88">
        <f t="shared" si="41"/>
        <v>0</v>
      </c>
      <c r="CYC6" s="88">
        <f t="shared" si="41"/>
        <v>0</v>
      </c>
      <c r="CYD6" s="88">
        <f t="shared" si="41"/>
        <v>0</v>
      </c>
      <c r="CYE6" s="88">
        <f t="shared" si="41"/>
        <v>0</v>
      </c>
      <c r="CYF6" s="88">
        <f t="shared" si="41"/>
        <v>0</v>
      </c>
      <c r="CYG6" s="88">
        <f t="shared" si="41"/>
        <v>0</v>
      </c>
      <c r="CYH6" s="88">
        <f t="shared" si="41"/>
        <v>0</v>
      </c>
      <c r="CYI6" s="88">
        <f t="shared" si="41"/>
        <v>0</v>
      </c>
      <c r="CYJ6" s="88">
        <f t="shared" si="41"/>
        <v>0</v>
      </c>
      <c r="CYK6" s="88">
        <f t="shared" si="41"/>
        <v>0</v>
      </c>
      <c r="CYL6" s="88">
        <f t="shared" si="41"/>
        <v>0</v>
      </c>
      <c r="CYM6" s="88">
        <f t="shared" si="41"/>
        <v>0</v>
      </c>
      <c r="CYN6" s="88">
        <f t="shared" si="41"/>
        <v>0</v>
      </c>
      <c r="CYO6" s="88">
        <f t="shared" si="41"/>
        <v>0</v>
      </c>
      <c r="CYP6" s="88">
        <f t="shared" si="41"/>
        <v>0</v>
      </c>
      <c r="CYQ6" s="88">
        <f t="shared" si="41"/>
        <v>0</v>
      </c>
      <c r="CYR6" s="88">
        <f t="shared" si="41"/>
        <v>0</v>
      </c>
      <c r="CYS6" s="88">
        <f t="shared" si="41"/>
        <v>0</v>
      </c>
      <c r="CYT6" s="88">
        <f t="shared" si="41"/>
        <v>0</v>
      </c>
      <c r="CYU6" s="88">
        <f t="shared" si="41"/>
        <v>0</v>
      </c>
      <c r="CYV6" s="88">
        <f t="shared" ref="CYV6:DBG6" si="42">SUM(CYW3:CYW5)</f>
        <v>0</v>
      </c>
      <c r="CYW6" s="88">
        <f t="shared" si="42"/>
        <v>0</v>
      </c>
      <c r="CYX6" s="88">
        <f t="shared" si="42"/>
        <v>0</v>
      </c>
      <c r="CYY6" s="88">
        <f t="shared" si="42"/>
        <v>0</v>
      </c>
      <c r="CYZ6" s="88">
        <f t="shared" si="42"/>
        <v>0</v>
      </c>
      <c r="CZA6" s="88">
        <f t="shared" si="42"/>
        <v>0</v>
      </c>
      <c r="CZB6" s="88">
        <f t="shared" si="42"/>
        <v>0</v>
      </c>
      <c r="CZC6" s="88">
        <f t="shared" si="42"/>
        <v>0</v>
      </c>
      <c r="CZD6" s="88">
        <f t="shared" si="42"/>
        <v>0</v>
      </c>
      <c r="CZE6" s="88">
        <f t="shared" si="42"/>
        <v>0</v>
      </c>
      <c r="CZF6" s="88">
        <f t="shared" si="42"/>
        <v>0</v>
      </c>
      <c r="CZG6" s="88">
        <f t="shared" si="42"/>
        <v>0</v>
      </c>
      <c r="CZH6" s="88">
        <f t="shared" si="42"/>
        <v>0</v>
      </c>
      <c r="CZI6" s="88">
        <f t="shared" si="42"/>
        <v>0</v>
      </c>
      <c r="CZJ6" s="88">
        <f t="shared" si="42"/>
        <v>0</v>
      </c>
      <c r="CZK6" s="88">
        <f t="shared" si="42"/>
        <v>0</v>
      </c>
      <c r="CZL6" s="88">
        <f t="shared" si="42"/>
        <v>0</v>
      </c>
      <c r="CZM6" s="88">
        <f t="shared" si="42"/>
        <v>0</v>
      </c>
      <c r="CZN6" s="88">
        <f t="shared" si="42"/>
        <v>0</v>
      </c>
      <c r="CZO6" s="88">
        <f t="shared" si="42"/>
        <v>0</v>
      </c>
      <c r="CZP6" s="88">
        <f t="shared" si="42"/>
        <v>0</v>
      </c>
      <c r="CZQ6" s="88">
        <f t="shared" si="42"/>
        <v>0</v>
      </c>
      <c r="CZR6" s="88">
        <f t="shared" si="42"/>
        <v>0</v>
      </c>
      <c r="CZS6" s="88">
        <f t="shared" si="42"/>
        <v>0</v>
      </c>
      <c r="CZT6" s="88">
        <f t="shared" si="42"/>
        <v>0</v>
      </c>
      <c r="CZU6" s="88">
        <f t="shared" si="42"/>
        <v>0</v>
      </c>
      <c r="CZV6" s="88">
        <f t="shared" si="42"/>
        <v>0</v>
      </c>
      <c r="CZW6" s="88">
        <f t="shared" si="42"/>
        <v>0</v>
      </c>
      <c r="CZX6" s="88">
        <f t="shared" si="42"/>
        <v>0</v>
      </c>
      <c r="CZY6" s="88">
        <f t="shared" si="42"/>
        <v>0</v>
      </c>
      <c r="CZZ6" s="88">
        <f t="shared" si="42"/>
        <v>0</v>
      </c>
      <c r="DAA6" s="88">
        <f t="shared" si="42"/>
        <v>0</v>
      </c>
      <c r="DAB6" s="88">
        <f t="shared" si="42"/>
        <v>0</v>
      </c>
      <c r="DAC6" s="88">
        <f t="shared" si="42"/>
        <v>0</v>
      </c>
      <c r="DAD6" s="88">
        <f t="shared" si="42"/>
        <v>0</v>
      </c>
      <c r="DAE6" s="88">
        <f t="shared" si="42"/>
        <v>0</v>
      </c>
      <c r="DAF6" s="88">
        <f t="shared" si="42"/>
        <v>0</v>
      </c>
      <c r="DAG6" s="88">
        <f t="shared" si="42"/>
        <v>0</v>
      </c>
      <c r="DAH6" s="88">
        <f t="shared" si="42"/>
        <v>0</v>
      </c>
      <c r="DAI6" s="88">
        <f t="shared" si="42"/>
        <v>0</v>
      </c>
      <c r="DAJ6" s="88">
        <f t="shared" si="42"/>
        <v>0</v>
      </c>
      <c r="DAK6" s="88">
        <f t="shared" si="42"/>
        <v>0</v>
      </c>
      <c r="DAL6" s="88">
        <f t="shared" si="42"/>
        <v>0</v>
      </c>
      <c r="DAM6" s="88">
        <f t="shared" si="42"/>
        <v>0</v>
      </c>
      <c r="DAN6" s="88">
        <f t="shared" si="42"/>
        <v>0</v>
      </c>
      <c r="DAO6" s="88">
        <f t="shared" si="42"/>
        <v>0</v>
      </c>
      <c r="DAP6" s="88">
        <f t="shared" si="42"/>
        <v>0</v>
      </c>
      <c r="DAQ6" s="88">
        <f t="shared" si="42"/>
        <v>0</v>
      </c>
      <c r="DAR6" s="88">
        <f t="shared" si="42"/>
        <v>0</v>
      </c>
      <c r="DAS6" s="88">
        <f t="shared" si="42"/>
        <v>0</v>
      </c>
      <c r="DAT6" s="88">
        <f t="shared" si="42"/>
        <v>0</v>
      </c>
      <c r="DAU6" s="88">
        <f t="shared" si="42"/>
        <v>0</v>
      </c>
      <c r="DAV6" s="88">
        <f t="shared" si="42"/>
        <v>0</v>
      </c>
      <c r="DAW6" s="88">
        <f t="shared" si="42"/>
        <v>0</v>
      </c>
      <c r="DAX6" s="88">
        <f t="shared" si="42"/>
        <v>0</v>
      </c>
      <c r="DAY6" s="88">
        <f t="shared" si="42"/>
        <v>0</v>
      </c>
      <c r="DAZ6" s="88">
        <f t="shared" si="42"/>
        <v>0</v>
      </c>
      <c r="DBA6" s="88">
        <f t="shared" si="42"/>
        <v>0</v>
      </c>
      <c r="DBB6" s="88">
        <f t="shared" si="42"/>
        <v>0</v>
      </c>
      <c r="DBC6" s="88">
        <f t="shared" si="42"/>
        <v>0</v>
      </c>
      <c r="DBD6" s="88">
        <f t="shared" si="42"/>
        <v>0</v>
      </c>
      <c r="DBE6" s="88">
        <f t="shared" si="42"/>
        <v>0</v>
      </c>
      <c r="DBF6" s="88">
        <f t="shared" si="42"/>
        <v>0</v>
      </c>
      <c r="DBG6" s="88">
        <f t="shared" si="42"/>
        <v>0</v>
      </c>
      <c r="DBH6" s="88">
        <f t="shared" ref="DBH6:DDS6" si="43">SUM(DBI3:DBI5)</f>
        <v>0</v>
      </c>
      <c r="DBI6" s="88">
        <f t="shared" si="43"/>
        <v>0</v>
      </c>
      <c r="DBJ6" s="88">
        <f t="shared" si="43"/>
        <v>0</v>
      </c>
      <c r="DBK6" s="88">
        <f t="shared" si="43"/>
        <v>0</v>
      </c>
      <c r="DBL6" s="88">
        <f t="shared" si="43"/>
        <v>0</v>
      </c>
      <c r="DBM6" s="88">
        <f t="shared" si="43"/>
        <v>0</v>
      </c>
      <c r="DBN6" s="88">
        <f t="shared" si="43"/>
        <v>0</v>
      </c>
      <c r="DBO6" s="88">
        <f t="shared" si="43"/>
        <v>0</v>
      </c>
      <c r="DBP6" s="88">
        <f t="shared" si="43"/>
        <v>0</v>
      </c>
      <c r="DBQ6" s="88">
        <f t="shared" si="43"/>
        <v>0</v>
      </c>
      <c r="DBR6" s="88">
        <f t="shared" si="43"/>
        <v>0</v>
      </c>
      <c r="DBS6" s="88">
        <f t="shared" si="43"/>
        <v>0</v>
      </c>
      <c r="DBT6" s="88">
        <f t="shared" si="43"/>
        <v>0</v>
      </c>
      <c r="DBU6" s="88">
        <f t="shared" si="43"/>
        <v>0</v>
      </c>
      <c r="DBV6" s="88">
        <f t="shared" si="43"/>
        <v>0</v>
      </c>
      <c r="DBW6" s="88">
        <f t="shared" si="43"/>
        <v>0</v>
      </c>
      <c r="DBX6" s="88">
        <f t="shared" si="43"/>
        <v>0</v>
      </c>
      <c r="DBY6" s="88">
        <f t="shared" si="43"/>
        <v>0</v>
      </c>
      <c r="DBZ6" s="88">
        <f t="shared" si="43"/>
        <v>0</v>
      </c>
      <c r="DCA6" s="88">
        <f t="shared" si="43"/>
        <v>0</v>
      </c>
      <c r="DCB6" s="88">
        <f t="shared" si="43"/>
        <v>0</v>
      </c>
      <c r="DCC6" s="88">
        <f t="shared" si="43"/>
        <v>0</v>
      </c>
      <c r="DCD6" s="88">
        <f t="shared" si="43"/>
        <v>0</v>
      </c>
      <c r="DCE6" s="88">
        <f t="shared" si="43"/>
        <v>0</v>
      </c>
      <c r="DCF6" s="88">
        <f t="shared" si="43"/>
        <v>0</v>
      </c>
      <c r="DCG6" s="88">
        <f t="shared" si="43"/>
        <v>0</v>
      </c>
      <c r="DCH6" s="88">
        <f t="shared" si="43"/>
        <v>0</v>
      </c>
      <c r="DCI6" s="88">
        <f t="shared" si="43"/>
        <v>0</v>
      </c>
      <c r="DCJ6" s="88">
        <f t="shared" si="43"/>
        <v>0</v>
      </c>
      <c r="DCK6" s="88">
        <f t="shared" si="43"/>
        <v>0</v>
      </c>
      <c r="DCL6" s="88">
        <f t="shared" si="43"/>
        <v>0</v>
      </c>
      <c r="DCM6" s="88">
        <f t="shared" si="43"/>
        <v>0</v>
      </c>
      <c r="DCN6" s="88">
        <f t="shared" si="43"/>
        <v>0</v>
      </c>
      <c r="DCO6" s="88">
        <f t="shared" si="43"/>
        <v>0</v>
      </c>
      <c r="DCP6" s="88">
        <f t="shared" si="43"/>
        <v>0</v>
      </c>
      <c r="DCQ6" s="88">
        <f t="shared" si="43"/>
        <v>0</v>
      </c>
      <c r="DCR6" s="88">
        <f t="shared" si="43"/>
        <v>0</v>
      </c>
      <c r="DCS6" s="88">
        <f t="shared" si="43"/>
        <v>0</v>
      </c>
      <c r="DCT6" s="88">
        <f t="shared" si="43"/>
        <v>0</v>
      </c>
      <c r="DCU6" s="88">
        <f t="shared" si="43"/>
        <v>0</v>
      </c>
      <c r="DCV6" s="88">
        <f t="shared" si="43"/>
        <v>0</v>
      </c>
      <c r="DCW6" s="88">
        <f t="shared" si="43"/>
        <v>0</v>
      </c>
      <c r="DCX6" s="88">
        <f t="shared" si="43"/>
        <v>0</v>
      </c>
      <c r="DCY6" s="88">
        <f t="shared" si="43"/>
        <v>0</v>
      </c>
      <c r="DCZ6" s="88">
        <f t="shared" si="43"/>
        <v>0</v>
      </c>
      <c r="DDA6" s="88">
        <f t="shared" si="43"/>
        <v>0</v>
      </c>
      <c r="DDB6" s="88">
        <f t="shared" si="43"/>
        <v>0</v>
      </c>
      <c r="DDC6" s="88">
        <f t="shared" si="43"/>
        <v>0</v>
      </c>
      <c r="DDD6" s="88">
        <f t="shared" si="43"/>
        <v>0</v>
      </c>
      <c r="DDE6" s="88">
        <f t="shared" si="43"/>
        <v>0</v>
      </c>
      <c r="DDF6" s="88">
        <f t="shared" si="43"/>
        <v>0</v>
      </c>
      <c r="DDG6" s="88">
        <f t="shared" si="43"/>
        <v>0</v>
      </c>
      <c r="DDH6" s="88">
        <f t="shared" si="43"/>
        <v>0</v>
      </c>
      <c r="DDI6" s="88">
        <f t="shared" si="43"/>
        <v>0</v>
      </c>
      <c r="DDJ6" s="88">
        <f t="shared" si="43"/>
        <v>0</v>
      </c>
      <c r="DDK6" s="88">
        <f t="shared" si="43"/>
        <v>0</v>
      </c>
      <c r="DDL6" s="88">
        <f t="shared" si="43"/>
        <v>0</v>
      </c>
      <c r="DDM6" s="88">
        <f t="shared" si="43"/>
        <v>0</v>
      </c>
      <c r="DDN6" s="88">
        <f t="shared" si="43"/>
        <v>0</v>
      </c>
      <c r="DDO6" s="88">
        <f t="shared" si="43"/>
        <v>0</v>
      </c>
      <c r="DDP6" s="88">
        <f t="shared" si="43"/>
        <v>0</v>
      </c>
      <c r="DDQ6" s="88">
        <f t="shared" si="43"/>
        <v>0</v>
      </c>
      <c r="DDR6" s="88">
        <f t="shared" si="43"/>
        <v>0</v>
      </c>
      <c r="DDS6" s="88">
        <f t="shared" si="43"/>
        <v>0</v>
      </c>
      <c r="DDT6" s="88">
        <f t="shared" ref="DDT6:DGE6" si="44">SUM(DDU3:DDU5)</f>
        <v>0</v>
      </c>
      <c r="DDU6" s="88">
        <f t="shared" si="44"/>
        <v>0</v>
      </c>
      <c r="DDV6" s="88">
        <f t="shared" si="44"/>
        <v>0</v>
      </c>
      <c r="DDW6" s="88">
        <f t="shared" si="44"/>
        <v>0</v>
      </c>
      <c r="DDX6" s="88">
        <f t="shared" si="44"/>
        <v>0</v>
      </c>
      <c r="DDY6" s="88">
        <f t="shared" si="44"/>
        <v>0</v>
      </c>
      <c r="DDZ6" s="88">
        <f t="shared" si="44"/>
        <v>0</v>
      </c>
      <c r="DEA6" s="88">
        <f t="shared" si="44"/>
        <v>0</v>
      </c>
      <c r="DEB6" s="88">
        <f t="shared" si="44"/>
        <v>0</v>
      </c>
      <c r="DEC6" s="88">
        <f t="shared" si="44"/>
        <v>0</v>
      </c>
      <c r="DED6" s="88">
        <f t="shared" si="44"/>
        <v>0</v>
      </c>
      <c r="DEE6" s="88">
        <f t="shared" si="44"/>
        <v>0</v>
      </c>
      <c r="DEF6" s="88">
        <f t="shared" si="44"/>
        <v>0</v>
      </c>
      <c r="DEG6" s="88">
        <f t="shared" si="44"/>
        <v>0</v>
      </c>
      <c r="DEH6" s="88">
        <f t="shared" si="44"/>
        <v>0</v>
      </c>
      <c r="DEI6" s="88">
        <f t="shared" si="44"/>
        <v>0</v>
      </c>
      <c r="DEJ6" s="88">
        <f t="shared" si="44"/>
        <v>0</v>
      </c>
      <c r="DEK6" s="88">
        <f t="shared" si="44"/>
        <v>0</v>
      </c>
      <c r="DEL6" s="88">
        <f t="shared" si="44"/>
        <v>0</v>
      </c>
      <c r="DEM6" s="88">
        <f t="shared" si="44"/>
        <v>0</v>
      </c>
      <c r="DEN6" s="88">
        <f t="shared" si="44"/>
        <v>0</v>
      </c>
      <c r="DEO6" s="88">
        <f t="shared" si="44"/>
        <v>0</v>
      </c>
      <c r="DEP6" s="88">
        <f t="shared" si="44"/>
        <v>0</v>
      </c>
      <c r="DEQ6" s="88">
        <f t="shared" si="44"/>
        <v>0</v>
      </c>
      <c r="DER6" s="88">
        <f t="shared" si="44"/>
        <v>0</v>
      </c>
      <c r="DES6" s="88">
        <f t="shared" si="44"/>
        <v>0</v>
      </c>
      <c r="DET6" s="88">
        <f t="shared" si="44"/>
        <v>0</v>
      </c>
      <c r="DEU6" s="88">
        <f t="shared" si="44"/>
        <v>0</v>
      </c>
      <c r="DEV6" s="88">
        <f t="shared" si="44"/>
        <v>0</v>
      </c>
      <c r="DEW6" s="88">
        <f t="shared" si="44"/>
        <v>0</v>
      </c>
      <c r="DEX6" s="88">
        <f t="shared" si="44"/>
        <v>0</v>
      </c>
      <c r="DEY6" s="88">
        <f t="shared" si="44"/>
        <v>0</v>
      </c>
      <c r="DEZ6" s="88">
        <f t="shared" si="44"/>
        <v>0</v>
      </c>
      <c r="DFA6" s="88">
        <f t="shared" si="44"/>
        <v>0</v>
      </c>
      <c r="DFB6" s="88">
        <f t="shared" si="44"/>
        <v>0</v>
      </c>
      <c r="DFC6" s="88">
        <f t="shared" si="44"/>
        <v>0</v>
      </c>
      <c r="DFD6" s="88">
        <f t="shared" si="44"/>
        <v>0</v>
      </c>
      <c r="DFE6" s="88">
        <f t="shared" si="44"/>
        <v>0</v>
      </c>
      <c r="DFF6" s="88">
        <f t="shared" si="44"/>
        <v>0</v>
      </c>
      <c r="DFG6" s="88">
        <f t="shared" si="44"/>
        <v>0</v>
      </c>
      <c r="DFH6" s="88">
        <f t="shared" si="44"/>
        <v>0</v>
      </c>
      <c r="DFI6" s="88">
        <f t="shared" si="44"/>
        <v>0</v>
      </c>
      <c r="DFJ6" s="88">
        <f t="shared" si="44"/>
        <v>0</v>
      </c>
      <c r="DFK6" s="88">
        <f t="shared" si="44"/>
        <v>0</v>
      </c>
      <c r="DFL6" s="88">
        <f t="shared" si="44"/>
        <v>0</v>
      </c>
      <c r="DFM6" s="88">
        <f t="shared" si="44"/>
        <v>0</v>
      </c>
      <c r="DFN6" s="88">
        <f t="shared" si="44"/>
        <v>0</v>
      </c>
      <c r="DFO6" s="88">
        <f t="shared" si="44"/>
        <v>0</v>
      </c>
      <c r="DFP6" s="88">
        <f t="shared" si="44"/>
        <v>0</v>
      </c>
      <c r="DFQ6" s="88">
        <f t="shared" si="44"/>
        <v>0</v>
      </c>
      <c r="DFR6" s="88">
        <f t="shared" si="44"/>
        <v>0</v>
      </c>
      <c r="DFS6" s="88">
        <f t="shared" si="44"/>
        <v>0</v>
      </c>
      <c r="DFT6" s="88">
        <f t="shared" si="44"/>
        <v>0</v>
      </c>
      <c r="DFU6" s="88">
        <f t="shared" si="44"/>
        <v>0</v>
      </c>
      <c r="DFV6" s="88">
        <f t="shared" si="44"/>
        <v>0</v>
      </c>
      <c r="DFW6" s="88">
        <f t="shared" si="44"/>
        <v>0</v>
      </c>
      <c r="DFX6" s="88">
        <f t="shared" si="44"/>
        <v>0</v>
      </c>
      <c r="DFY6" s="88">
        <f t="shared" si="44"/>
        <v>0</v>
      </c>
      <c r="DFZ6" s="88">
        <f t="shared" si="44"/>
        <v>0</v>
      </c>
      <c r="DGA6" s="88">
        <f t="shared" si="44"/>
        <v>0</v>
      </c>
      <c r="DGB6" s="88">
        <f t="shared" si="44"/>
        <v>0</v>
      </c>
      <c r="DGC6" s="88">
        <f t="shared" si="44"/>
        <v>0</v>
      </c>
      <c r="DGD6" s="88">
        <f t="shared" si="44"/>
        <v>0</v>
      </c>
      <c r="DGE6" s="88">
        <f t="shared" si="44"/>
        <v>0</v>
      </c>
      <c r="DGF6" s="88">
        <f t="shared" ref="DGF6:DIQ6" si="45">SUM(DGG3:DGG5)</f>
        <v>0</v>
      </c>
      <c r="DGG6" s="88">
        <f t="shared" si="45"/>
        <v>0</v>
      </c>
      <c r="DGH6" s="88">
        <f t="shared" si="45"/>
        <v>0</v>
      </c>
      <c r="DGI6" s="88">
        <f t="shared" si="45"/>
        <v>0</v>
      </c>
      <c r="DGJ6" s="88">
        <f t="shared" si="45"/>
        <v>0</v>
      </c>
      <c r="DGK6" s="88">
        <f t="shared" si="45"/>
        <v>0</v>
      </c>
      <c r="DGL6" s="88">
        <f t="shared" si="45"/>
        <v>0</v>
      </c>
      <c r="DGM6" s="88">
        <f t="shared" si="45"/>
        <v>0</v>
      </c>
      <c r="DGN6" s="88">
        <f t="shared" si="45"/>
        <v>0</v>
      </c>
      <c r="DGO6" s="88">
        <f t="shared" si="45"/>
        <v>0</v>
      </c>
      <c r="DGP6" s="88">
        <f t="shared" si="45"/>
        <v>0</v>
      </c>
      <c r="DGQ6" s="88">
        <f t="shared" si="45"/>
        <v>0</v>
      </c>
      <c r="DGR6" s="88">
        <f t="shared" si="45"/>
        <v>0</v>
      </c>
      <c r="DGS6" s="88">
        <f t="shared" si="45"/>
        <v>0</v>
      </c>
      <c r="DGT6" s="88">
        <f t="shared" si="45"/>
        <v>0</v>
      </c>
      <c r="DGU6" s="88">
        <f t="shared" si="45"/>
        <v>0</v>
      </c>
      <c r="DGV6" s="88">
        <f t="shared" si="45"/>
        <v>0</v>
      </c>
      <c r="DGW6" s="88">
        <f t="shared" si="45"/>
        <v>0</v>
      </c>
      <c r="DGX6" s="88">
        <f t="shared" si="45"/>
        <v>0</v>
      </c>
      <c r="DGY6" s="88">
        <f t="shared" si="45"/>
        <v>0</v>
      </c>
      <c r="DGZ6" s="88">
        <f t="shared" si="45"/>
        <v>0</v>
      </c>
      <c r="DHA6" s="88">
        <f t="shared" si="45"/>
        <v>0</v>
      </c>
      <c r="DHB6" s="88">
        <f t="shared" si="45"/>
        <v>0</v>
      </c>
      <c r="DHC6" s="88">
        <f t="shared" si="45"/>
        <v>0</v>
      </c>
      <c r="DHD6" s="88">
        <f t="shared" si="45"/>
        <v>0</v>
      </c>
      <c r="DHE6" s="88">
        <f t="shared" si="45"/>
        <v>0</v>
      </c>
      <c r="DHF6" s="88">
        <f t="shared" si="45"/>
        <v>0</v>
      </c>
      <c r="DHG6" s="88">
        <f t="shared" si="45"/>
        <v>0</v>
      </c>
      <c r="DHH6" s="88">
        <f t="shared" si="45"/>
        <v>0</v>
      </c>
      <c r="DHI6" s="88">
        <f t="shared" si="45"/>
        <v>0</v>
      </c>
      <c r="DHJ6" s="88">
        <f t="shared" si="45"/>
        <v>0</v>
      </c>
      <c r="DHK6" s="88">
        <f t="shared" si="45"/>
        <v>0</v>
      </c>
      <c r="DHL6" s="88">
        <f t="shared" si="45"/>
        <v>0</v>
      </c>
      <c r="DHM6" s="88">
        <f t="shared" si="45"/>
        <v>0</v>
      </c>
      <c r="DHN6" s="88">
        <f t="shared" si="45"/>
        <v>0</v>
      </c>
      <c r="DHO6" s="88">
        <f t="shared" si="45"/>
        <v>0</v>
      </c>
      <c r="DHP6" s="88">
        <f t="shared" si="45"/>
        <v>0</v>
      </c>
      <c r="DHQ6" s="88">
        <f t="shared" si="45"/>
        <v>0</v>
      </c>
      <c r="DHR6" s="88">
        <f t="shared" si="45"/>
        <v>0</v>
      </c>
      <c r="DHS6" s="88">
        <f t="shared" si="45"/>
        <v>0</v>
      </c>
      <c r="DHT6" s="88">
        <f t="shared" si="45"/>
        <v>0</v>
      </c>
      <c r="DHU6" s="88">
        <f t="shared" si="45"/>
        <v>0</v>
      </c>
      <c r="DHV6" s="88">
        <f t="shared" si="45"/>
        <v>0</v>
      </c>
      <c r="DHW6" s="88">
        <f t="shared" si="45"/>
        <v>0</v>
      </c>
      <c r="DHX6" s="88">
        <f t="shared" si="45"/>
        <v>0</v>
      </c>
      <c r="DHY6" s="88">
        <f t="shared" si="45"/>
        <v>0</v>
      </c>
      <c r="DHZ6" s="88">
        <f t="shared" si="45"/>
        <v>0</v>
      </c>
      <c r="DIA6" s="88">
        <f t="shared" si="45"/>
        <v>0</v>
      </c>
      <c r="DIB6" s="88">
        <f t="shared" si="45"/>
        <v>0</v>
      </c>
      <c r="DIC6" s="88">
        <f t="shared" si="45"/>
        <v>0</v>
      </c>
      <c r="DID6" s="88">
        <f t="shared" si="45"/>
        <v>0</v>
      </c>
      <c r="DIE6" s="88">
        <f t="shared" si="45"/>
        <v>0</v>
      </c>
      <c r="DIF6" s="88">
        <f t="shared" si="45"/>
        <v>0</v>
      </c>
      <c r="DIG6" s="88">
        <f t="shared" si="45"/>
        <v>0</v>
      </c>
      <c r="DIH6" s="88">
        <f t="shared" si="45"/>
        <v>0</v>
      </c>
      <c r="DII6" s="88">
        <f t="shared" si="45"/>
        <v>0</v>
      </c>
      <c r="DIJ6" s="88">
        <f t="shared" si="45"/>
        <v>0</v>
      </c>
      <c r="DIK6" s="88">
        <f t="shared" si="45"/>
        <v>0</v>
      </c>
      <c r="DIL6" s="88">
        <f t="shared" si="45"/>
        <v>0</v>
      </c>
      <c r="DIM6" s="88">
        <f t="shared" si="45"/>
        <v>0</v>
      </c>
      <c r="DIN6" s="88">
        <f t="shared" si="45"/>
        <v>0</v>
      </c>
      <c r="DIO6" s="88">
        <f t="shared" si="45"/>
        <v>0</v>
      </c>
      <c r="DIP6" s="88">
        <f t="shared" si="45"/>
        <v>0</v>
      </c>
      <c r="DIQ6" s="88">
        <f t="shared" si="45"/>
        <v>0</v>
      </c>
      <c r="DIR6" s="88">
        <f t="shared" ref="DIR6:DLC6" si="46">SUM(DIS3:DIS5)</f>
        <v>0</v>
      </c>
      <c r="DIS6" s="88">
        <f t="shared" si="46"/>
        <v>0</v>
      </c>
      <c r="DIT6" s="88">
        <f t="shared" si="46"/>
        <v>0</v>
      </c>
      <c r="DIU6" s="88">
        <f t="shared" si="46"/>
        <v>0</v>
      </c>
      <c r="DIV6" s="88">
        <f t="shared" si="46"/>
        <v>0</v>
      </c>
      <c r="DIW6" s="88">
        <f t="shared" si="46"/>
        <v>0</v>
      </c>
      <c r="DIX6" s="88">
        <f t="shared" si="46"/>
        <v>0</v>
      </c>
      <c r="DIY6" s="88">
        <f t="shared" si="46"/>
        <v>0</v>
      </c>
      <c r="DIZ6" s="88">
        <f t="shared" si="46"/>
        <v>0</v>
      </c>
      <c r="DJA6" s="88">
        <f t="shared" si="46"/>
        <v>0</v>
      </c>
      <c r="DJB6" s="88">
        <f t="shared" si="46"/>
        <v>0</v>
      </c>
      <c r="DJC6" s="88">
        <f t="shared" si="46"/>
        <v>0</v>
      </c>
      <c r="DJD6" s="88">
        <f t="shared" si="46"/>
        <v>0</v>
      </c>
      <c r="DJE6" s="88">
        <f t="shared" si="46"/>
        <v>0</v>
      </c>
      <c r="DJF6" s="88">
        <f t="shared" si="46"/>
        <v>0</v>
      </c>
      <c r="DJG6" s="88">
        <f t="shared" si="46"/>
        <v>0</v>
      </c>
      <c r="DJH6" s="88">
        <f t="shared" si="46"/>
        <v>0</v>
      </c>
      <c r="DJI6" s="88">
        <f t="shared" si="46"/>
        <v>0</v>
      </c>
      <c r="DJJ6" s="88">
        <f t="shared" si="46"/>
        <v>0</v>
      </c>
      <c r="DJK6" s="88">
        <f t="shared" si="46"/>
        <v>0</v>
      </c>
      <c r="DJL6" s="88">
        <f t="shared" si="46"/>
        <v>0</v>
      </c>
      <c r="DJM6" s="88">
        <f t="shared" si="46"/>
        <v>0</v>
      </c>
      <c r="DJN6" s="88">
        <f t="shared" si="46"/>
        <v>0</v>
      </c>
      <c r="DJO6" s="88">
        <f t="shared" si="46"/>
        <v>0</v>
      </c>
      <c r="DJP6" s="88">
        <f t="shared" si="46"/>
        <v>0</v>
      </c>
      <c r="DJQ6" s="88">
        <f t="shared" si="46"/>
        <v>0</v>
      </c>
      <c r="DJR6" s="88">
        <f t="shared" si="46"/>
        <v>0</v>
      </c>
      <c r="DJS6" s="88">
        <f t="shared" si="46"/>
        <v>0</v>
      </c>
      <c r="DJT6" s="88">
        <f t="shared" si="46"/>
        <v>0</v>
      </c>
      <c r="DJU6" s="88">
        <f t="shared" si="46"/>
        <v>0</v>
      </c>
      <c r="DJV6" s="88">
        <f t="shared" si="46"/>
        <v>0</v>
      </c>
      <c r="DJW6" s="88">
        <f t="shared" si="46"/>
        <v>0</v>
      </c>
      <c r="DJX6" s="88">
        <f t="shared" si="46"/>
        <v>0</v>
      </c>
      <c r="DJY6" s="88">
        <f t="shared" si="46"/>
        <v>0</v>
      </c>
      <c r="DJZ6" s="88">
        <f t="shared" si="46"/>
        <v>0</v>
      </c>
      <c r="DKA6" s="88">
        <f t="shared" si="46"/>
        <v>0</v>
      </c>
      <c r="DKB6" s="88">
        <f t="shared" si="46"/>
        <v>0</v>
      </c>
      <c r="DKC6" s="88">
        <f t="shared" si="46"/>
        <v>0</v>
      </c>
      <c r="DKD6" s="88">
        <f t="shared" si="46"/>
        <v>0</v>
      </c>
      <c r="DKE6" s="88">
        <f t="shared" si="46"/>
        <v>0</v>
      </c>
      <c r="DKF6" s="88">
        <f t="shared" si="46"/>
        <v>0</v>
      </c>
      <c r="DKG6" s="88">
        <f t="shared" si="46"/>
        <v>0</v>
      </c>
      <c r="DKH6" s="88">
        <f t="shared" si="46"/>
        <v>0</v>
      </c>
      <c r="DKI6" s="88">
        <f t="shared" si="46"/>
        <v>0</v>
      </c>
      <c r="DKJ6" s="88">
        <f t="shared" si="46"/>
        <v>0</v>
      </c>
      <c r="DKK6" s="88">
        <f t="shared" si="46"/>
        <v>0</v>
      </c>
      <c r="DKL6" s="88">
        <f t="shared" si="46"/>
        <v>0</v>
      </c>
      <c r="DKM6" s="88">
        <f t="shared" si="46"/>
        <v>0</v>
      </c>
      <c r="DKN6" s="88">
        <f t="shared" si="46"/>
        <v>0</v>
      </c>
      <c r="DKO6" s="88">
        <f t="shared" si="46"/>
        <v>0</v>
      </c>
      <c r="DKP6" s="88">
        <f t="shared" si="46"/>
        <v>0</v>
      </c>
      <c r="DKQ6" s="88">
        <f t="shared" si="46"/>
        <v>0</v>
      </c>
      <c r="DKR6" s="88">
        <f t="shared" si="46"/>
        <v>0</v>
      </c>
      <c r="DKS6" s="88">
        <f t="shared" si="46"/>
        <v>0</v>
      </c>
      <c r="DKT6" s="88">
        <f t="shared" si="46"/>
        <v>0</v>
      </c>
      <c r="DKU6" s="88">
        <f t="shared" si="46"/>
        <v>0</v>
      </c>
      <c r="DKV6" s="88">
        <f t="shared" si="46"/>
        <v>0</v>
      </c>
      <c r="DKW6" s="88">
        <f t="shared" si="46"/>
        <v>0</v>
      </c>
      <c r="DKX6" s="88">
        <f t="shared" si="46"/>
        <v>0</v>
      </c>
      <c r="DKY6" s="88">
        <f t="shared" si="46"/>
        <v>0</v>
      </c>
      <c r="DKZ6" s="88">
        <f t="shared" si="46"/>
        <v>0</v>
      </c>
      <c r="DLA6" s="88">
        <f t="shared" si="46"/>
        <v>0</v>
      </c>
      <c r="DLB6" s="88">
        <f t="shared" si="46"/>
        <v>0</v>
      </c>
      <c r="DLC6" s="88">
        <f t="shared" si="46"/>
        <v>0</v>
      </c>
      <c r="DLD6" s="88">
        <f t="shared" ref="DLD6:DNO6" si="47">SUM(DLE3:DLE5)</f>
        <v>0</v>
      </c>
      <c r="DLE6" s="88">
        <f t="shared" si="47"/>
        <v>0</v>
      </c>
      <c r="DLF6" s="88">
        <f t="shared" si="47"/>
        <v>0</v>
      </c>
      <c r="DLG6" s="88">
        <f t="shared" si="47"/>
        <v>0</v>
      </c>
      <c r="DLH6" s="88">
        <f t="shared" si="47"/>
        <v>0</v>
      </c>
      <c r="DLI6" s="88">
        <f t="shared" si="47"/>
        <v>0</v>
      </c>
      <c r="DLJ6" s="88">
        <f t="shared" si="47"/>
        <v>0</v>
      </c>
      <c r="DLK6" s="88">
        <f t="shared" si="47"/>
        <v>0</v>
      </c>
      <c r="DLL6" s="88">
        <f t="shared" si="47"/>
        <v>0</v>
      </c>
      <c r="DLM6" s="88">
        <f t="shared" si="47"/>
        <v>0</v>
      </c>
      <c r="DLN6" s="88">
        <f t="shared" si="47"/>
        <v>0</v>
      </c>
      <c r="DLO6" s="88">
        <f t="shared" si="47"/>
        <v>0</v>
      </c>
      <c r="DLP6" s="88">
        <f t="shared" si="47"/>
        <v>0</v>
      </c>
      <c r="DLQ6" s="88">
        <f t="shared" si="47"/>
        <v>0</v>
      </c>
      <c r="DLR6" s="88">
        <f t="shared" si="47"/>
        <v>0</v>
      </c>
      <c r="DLS6" s="88">
        <f t="shared" si="47"/>
        <v>0</v>
      </c>
      <c r="DLT6" s="88">
        <f t="shared" si="47"/>
        <v>0</v>
      </c>
      <c r="DLU6" s="88">
        <f t="shared" si="47"/>
        <v>0</v>
      </c>
      <c r="DLV6" s="88">
        <f t="shared" si="47"/>
        <v>0</v>
      </c>
      <c r="DLW6" s="88">
        <f t="shared" si="47"/>
        <v>0</v>
      </c>
      <c r="DLX6" s="88">
        <f t="shared" si="47"/>
        <v>0</v>
      </c>
      <c r="DLY6" s="88">
        <f t="shared" si="47"/>
        <v>0</v>
      </c>
      <c r="DLZ6" s="88">
        <f t="shared" si="47"/>
        <v>0</v>
      </c>
      <c r="DMA6" s="88">
        <f t="shared" si="47"/>
        <v>0</v>
      </c>
      <c r="DMB6" s="88">
        <f t="shared" si="47"/>
        <v>0</v>
      </c>
      <c r="DMC6" s="88">
        <f t="shared" si="47"/>
        <v>0</v>
      </c>
      <c r="DMD6" s="88">
        <f t="shared" si="47"/>
        <v>0</v>
      </c>
      <c r="DME6" s="88">
        <f t="shared" si="47"/>
        <v>0</v>
      </c>
      <c r="DMF6" s="88">
        <f t="shared" si="47"/>
        <v>0</v>
      </c>
      <c r="DMG6" s="88">
        <f t="shared" si="47"/>
        <v>0</v>
      </c>
      <c r="DMH6" s="88">
        <f t="shared" si="47"/>
        <v>0</v>
      </c>
      <c r="DMI6" s="88">
        <f t="shared" si="47"/>
        <v>0</v>
      </c>
      <c r="DMJ6" s="88">
        <f t="shared" si="47"/>
        <v>0</v>
      </c>
      <c r="DMK6" s="88">
        <f t="shared" si="47"/>
        <v>0</v>
      </c>
      <c r="DML6" s="88">
        <f t="shared" si="47"/>
        <v>0</v>
      </c>
      <c r="DMM6" s="88">
        <f t="shared" si="47"/>
        <v>0</v>
      </c>
      <c r="DMN6" s="88">
        <f t="shared" si="47"/>
        <v>0</v>
      </c>
      <c r="DMO6" s="88">
        <f t="shared" si="47"/>
        <v>0</v>
      </c>
      <c r="DMP6" s="88">
        <f t="shared" si="47"/>
        <v>0</v>
      </c>
      <c r="DMQ6" s="88">
        <f t="shared" si="47"/>
        <v>0</v>
      </c>
      <c r="DMR6" s="88">
        <f t="shared" si="47"/>
        <v>0</v>
      </c>
      <c r="DMS6" s="88">
        <f t="shared" si="47"/>
        <v>0</v>
      </c>
      <c r="DMT6" s="88">
        <f t="shared" si="47"/>
        <v>0</v>
      </c>
      <c r="DMU6" s="88">
        <f t="shared" si="47"/>
        <v>0</v>
      </c>
      <c r="DMV6" s="88">
        <f t="shared" si="47"/>
        <v>0</v>
      </c>
      <c r="DMW6" s="88">
        <f t="shared" si="47"/>
        <v>0</v>
      </c>
      <c r="DMX6" s="88">
        <f t="shared" si="47"/>
        <v>0</v>
      </c>
      <c r="DMY6" s="88">
        <f t="shared" si="47"/>
        <v>0</v>
      </c>
      <c r="DMZ6" s="88">
        <f t="shared" si="47"/>
        <v>0</v>
      </c>
      <c r="DNA6" s="88">
        <f t="shared" si="47"/>
        <v>0</v>
      </c>
      <c r="DNB6" s="88">
        <f t="shared" si="47"/>
        <v>0</v>
      </c>
      <c r="DNC6" s="88">
        <f t="shared" si="47"/>
        <v>0</v>
      </c>
      <c r="DND6" s="88">
        <f t="shared" si="47"/>
        <v>0</v>
      </c>
      <c r="DNE6" s="88">
        <f t="shared" si="47"/>
        <v>0</v>
      </c>
      <c r="DNF6" s="88">
        <f t="shared" si="47"/>
        <v>0</v>
      </c>
      <c r="DNG6" s="88">
        <f t="shared" si="47"/>
        <v>0</v>
      </c>
      <c r="DNH6" s="88">
        <f t="shared" si="47"/>
        <v>0</v>
      </c>
      <c r="DNI6" s="88">
        <f t="shared" si="47"/>
        <v>0</v>
      </c>
      <c r="DNJ6" s="88">
        <f t="shared" si="47"/>
        <v>0</v>
      </c>
      <c r="DNK6" s="88">
        <f t="shared" si="47"/>
        <v>0</v>
      </c>
      <c r="DNL6" s="88">
        <f t="shared" si="47"/>
        <v>0</v>
      </c>
      <c r="DNM6" s="88">
        <f t="shared" si="47"/>
        <v>0</v>
      </c>
      <c r="DNN6" s="88">
        <f t="shared" si="47"/>
        <v>0</v>
      </c>
      <c r="DNO6" s="88">
        <f t="shared" si="47"/>
        <v>0</v>
      </c>
      <c r="DNP6" s="88">
        <f t="shared" ref="DNP6:DQA6" si="48">SUM(DNQ3:DNQ5)</f>
        <v>0</v>
      </c>
      <c r="DNQ6" s="88">
        <f t="shared" si="48"/>
        <v>0</v>
      </c>
      <c r="DNR6" s="88">
        <f t="shared" si="48"/>
        <v>0</v>
      </c>
      <c r="DNS6" s="88">
        <f t="shared" si="48"/>
        <v>0</v>
      </c>
      <c r="DNT6" s="88">
        <f t="shared" si="48"/>
        <v>0</v>
      </c>
      <c r="DNU6" s="88">
        <f t="shared" si="48"/>
        <v>0</v>
      </c>
      <c r="DNV6" s="88">
        <f t="shared" si="48"/>
        <v>0</v>
      </c>
      <c r="DNW6" s="88">
        <f t="shared" si="48"/>
        <v>0</v>
      </c>
      <c r="DNX6" s="88">
        <f t="shared" si="48"/>
        <v>0</v>
      </c>
      <c r="DNY6" s="88">
        <f t="shared" si="48"/>
        <v>0</v>
      </c>
      <c r="DNZ6" s="88">
        <f t="shared" si="48"/>
        <v>0</v>
      </c>
      <c r="DOA6" s="88">
        <f t="shared" si="48"/>
        <v>0</v>
      </c>
      <c r="DOB6" s="88">
        <f t="shared" si="48"/>
        <v>0</v>
      </c>
      <c r="DOC6" s="88">
        <f t="shared" si="48"/>
        <v>0</v>
      </c>
      <c r="DOD6" s="88">
        <f t="shared" si="48"/>
        <v>0</v>
      </c>
      <c r="DOE6" s="88">
        <f t="shared" si="48"/>
        <v>0</v>
      </c>
      <c r="DOF6" s="88">
        <f t="shared" si="48"/>
        <v>0</v>
      </c>
      <c r="DOG6" s="88">
        <f t="shared" si="48"/>
        <v>0</v>
      </c>
      <c r="DOH6" s="88">
        <f t="shared" si="48"/>
        <v>0</v>
      </c>
      <c r="DOI6" s="88">
        <f t="shared" si="48"/>
        <v>0</v>
      </c>
      <c r="DOJ6" s="88">
        <f t="shared" si="48"/>
        <v>0</v>
      </c>
      <c r="DOK6" s="88">
        <f t="shared" si="48"/>
        <v>0</v>
      </c>
      <c r="DOL6" s="88">
        <f t="shared" si="48"/>
        <v>0</v>
      </c>
      <c r="DOM6" s="88">
        <f t="shared" si="48"/>
        <v>0</v>
      </c>
      <c r="DON6" s="88">
        <f t="shared" si="48"/>
        <v>0</v>
      </c>
      <c r="DOO6" s="88">
        <f t="shared" si="48"/>
        <v>0</v>
      </c>
      <c r="DOP6" s="88">
        <f t="shared" si="48"/>
        <v>0</v>
      </c>
      <c r="DOQ6" s="88">
        <f t="shared" si="48"/>
        <v>0</v>
      </c>
      <c r="DOR6" s="88">
        <f t="shared" si="48"/>
        <v>0</v>
      </c>
      <c r="DOS6" s="88">
        <f t="shared" si="48"/>
        <v>0</v>
      </c>
      <c r="DOT6" s="88">
        <f t="shared" si="48"/>
        <v>0</v>
      </c>
      <c r="DOU6" s="88">
        <f t="shared" si="48"/>
        <v>0</v>
      </c>
      <c r="DOV6" s="88">
        <f t="shared" si="48"/>
        <v>0</v>
      </c>
      <c r="DOW6" s="88">
        <f t="shared" si="48"/>
        <v>0</v>
      </c>
      <c r="DOX6" s="88">
        <f t="shared" si="48"/>
        <v>0</v>
      </c>
      <c r="DOY6" s="88">
        <f t="shared" si="48"/>
        <v>0</v>
      </c>
      <c r="DOZ6" s="88">
        <f t="shared" si="48"/>
        <v>0</v>
      </c>
      <c r="DPA6" s="88">
        <f t="shared" si="48"/>
        <v>0</v>
      </c>
      <c r="DPB6" s="88">
        <f t="shared" si="48"/>
        <v>0</v>
      </c>
      <c r="DPC6" s="88">
        <f t="shared" si="48"/>
        <v>0</v>
      </c>
      <c r="DPD6" s="88">
        <f t="shared" si="48"/>
        <v>0</v>
      </c>
      <c r="DPE6" s="88">
        <f t="shared" si="48"/>
        <v>0</v>
      </c>
      <c r="DPF6" s="88">
        <f t="shared" si="48"/>
        <v>0</v>
      </c>
      <c r="DPG6" s="88">
        <f t="shared" si="48"/>
        <v>0</v>
      </c>
      <c r="DPH6" s="88">
        <f t="shared" si="48"/>
        <v>0</v>
      </c>
      <c r="DPI6" s="88">
        <f t="shared" si="48"/>
        <v>0</v>
      </c>
      <c r="DPJ6" s="88">
        <f t="shared" si="48"/>
        <v>0</v>
      </c>
      <c r="DPK6" s="88">
        <f t="shared" si="48"/>
        <v>0</v>
      </c>
      <c r="DPL6" s="88">
        <f t="shared" si="48"/>
        <v>0</v>
      </c>
      <c r="DPM6" s="88">
        <f t="shared" si="48"/>
        <v>0</v>
      </c>
      <c r="DPN6" s="88">
        <f t="shared" si="48"/>
        <v>0</v>
      </c>
      <c r="DPO6" s="88">
        <f t="shared" si="48"/>
        <v>0</v>
      </c>
      <c r="DPP6" s="88">
        <f t="shared" si="48"/>
        <v>0</v>
      </c>
      <c r="DPQ6" s="88">
        <f t="shared" si="48"/>
        <v>0</v>
      </c>
      <c r="DPR6" s="88">
        <f t="shared" si="48"/>
        <v>0</v>
      </c>
      <c r="DPS6" s="88">
        <f t="shared" si="48"/>
        <v>0</v>
      </c>
      <c r="DPT6" s="88">
        <f t="shared" si="48"/>
        <v>0</v>
      </c>
      <c r="DPU6" s="88">
        <f t="shared" si="48"/>
        <v>0</v>
      </c>
      <c r="DPV6" s="88">
        <f t="shared" si="48"/>
        <v>0</v>
      </c>
      <c r="DPW6" s="88">
        <f t="shared" si="48"/>
        <v>0</v>
      </c>
      <c r="DPX6" s="88">
        <f t="shared" si="48"/>
        <v>0</v>
      </c>
      <c r="DPY6" s="88">
        <f t="shared" si="48"/>
        <v>0</v>
      </c>
      <c r="DPZ6" s="88">
        <f t="shared" si="48"/>
        <v>0</v>
      </c>
      <c r="DQA6" s="88">
        <f t="shared" si="48"/>
        <v>0</v>
      </c>
      <c r="DQB6" s="88">
        <f t="shared" ref="DQB6:DSM6" si="49">SUM(DQC3:DQC5)</f>
        <v>0</v>
      </c>
      <c r="DQC6" s="88">
        <f t="shared" si="49"/>
        <v>0</v>
      </c>
      <c r="DQD6" s="88">
        <f t="shared" si="49"/>
        <v>0</v>
      </c>
      <c r="DQE6" s="88">
        <f t="shared" si="49"/>
        <v>0</v>
      </c>
      <c r="DQF6" s="88">
        <f t="shared" si="49"/>
        <v>0</v>
      </c>
      <c r="DQG6" s="88">
        <f t="shared" si="49"/>
        <v>0</v>
      </c>
      <c r="DQH6" s="88">
        <f t="shared" si="49"/>
        <v>0</v>
      </c>
      <c r="DQI6" s="88">
        <f t="shared" si="49"/>
        <v>0</v>
      </c>
      <c r="DQJ6" s="88">
        <f t="shared" si="49"/>
        <v>0</v>
      </c>
      <c r="DQK6" s="88">
        <f t="shared" si="49"/>
        <v>0</v>
      </c>
      <c r="DQL6" s="88">
        <f t="shared" si="49"/>
        <v>0</v>
      </c>
      <c r="DQM6" s="88">
        <f t="shared" si="49"/>
        <v>0</v>
      </c>
      <c r="DQN6" s="88">
        <f t="shared" si="49"/>
        <v>0</v>
      </c>
      <c r="DQO6" s="88">
        <f t="shared" si="49"/>
        <v>0</v>
      </c>
      <c r="DQP6" s="88">
        <f t="shared" si="49"/>
        <v>0</v>
      </c>
      <c r="DQQ6" s="88">
        <f t="shared" si="49"/>
        <v>0</v>
      </c>
      <c r="DQR6" s="88">
        <f t="shared" si="49"/>
        <v>0</v>
      </c>
      <c r="DQS6" s="88">
        <f t="shared" si="49"/>
        <v>0</v>
      </c>
      <c r="DQT6" s="88">
        <f t="shared" si="49"/>
        <v>0</v>
      </c>
      <c r="DQU6" s="88">
        <f t="shared" si="49"/>
        <v>0</v>
      </c>
      <c r="DQV6" s="88">
        <f t="shared" si="49"/>
        <v>0</v>
      </c>
      <c r="DQW6" s="88">
        <f t="shared" si="49"/>
        <v>0</v>
      </c>
      <c r="DQX6" s="88">
        <f t="shared" si="49"/>
        <v>0</v>
      </c>
      <c r="DQY6" s="88">
        <f t="shared" si="49"/>
        <v>0</v>
      </c>
      <c r="DQZ6" s="88">
        <f t="shared" si="49"/>
        <v>0</v>
      </c>
      <c r="DRA6" s="88">
        <f t="shared" si="49"/>
        <v>0</v>
      </c>
      <c r="DRB6" s="88">
        <f t="shared" si="49"/>
        <v>0</v>
      </c>
      <c r="DRC6" s="88">
        <f t="shared" si="49"/>
        <v>0</v>
      </c>
      <c r="DRD6" s="88">
        <f t="shared" si="49"/>
        <v>0</v>
      </c>
      <c r="DRE6" s="88">
        <f t="shared" si="49"/>
        <v>0</v>
      </c>
      <c r="DRF6" s="88">
        <f t="shared" si="49"/>
        <v>0</v>
      </c>
      <c r="DRG6" s="88">
        <f t="shared" si="49"/>
        <v>0</v>
      </c>
      <c r="DRH6" s="88">
        <f t="shared" si="49"/>
        <v>0</v>
      </c>
      <c r="DRI6" s="88">
        <f t="shared" si="49"/>
        <v>0</v>
      </c>
      <c r="DRJ6" s="88">
        <f t="shared" si="49"/>
        <v>0</v>
      </c>
      <c r="DRK6" s="88">
        <f t="shared" si="49"/>
        <v>0</v>
      </c>
      <c r="DRL6" s="88">
        <f t="shared" si="49"/>
        <v>0</v>
      </c>
      <c r="DRM6" s="88">
        <f t="shared" si="49"/>
        <v>0</v>
      </c>
      <c r="DRN6" s="88">
        <f t="shared" si="49"/>
        <v>0</v>
      </c>
      <c r="DRO6" s="88">
        <f t="shared" si="49"/>
        <v>0</v>
      </c>
      <c r="DRP6" s="88">
        <f t="shared" si="49"/>
        <v>0</v>
      </c>
      <c r="DRQ6" s="88">
        <f t="shared" si="49"/>
        <v>0</v>
      </c>
      <c r="DRR6" s="88">
        <f t="shared" si="49"/>
        <v>0</v>
      </c>
      <c r="DRS6" s="88">
        <f t="shared" si="49"/>
        <v>0</v>
      </c>
      <c r="DRT6" s="88">
        <f t="shared" si="49"/>
        <v>0</v>
      </c>
      <c r="DRU6" s="88">
        <f t="shared" si="49"/>
        <v>0</v>
      </c>
      <c r="DRV6" s="88">
        <f t="shared" si="49"/>
        <v>0</v>
      </c>
      <c r="DRW6" s="88">
        <f t="shared" si="49"/>
        <v>0</v>
      </c>
      <c r="DRX6" s="88">
        <f t="shared" si="49"/>
        <v>0</v>
      </c>
      <c r="DRY6" s="88">
        <f t="shared" si="49"/>
        <v>0</v>
      </c>
      <c r="DRZ6" s="88">
        <f t="shared" si="49"/>
        <v>0</v>
      </c>
      <c r="DSA6" s="88">
        <f t="shared" si="49"/>
        <v>0</v>
      </c>
      <c r="DSB6" s="88">
        <f t="shared" si="49"/>
        <v>0</v>
      </c>
      <c r="DSC6" s="88">
        <f t="shared" si="49"/>
        <v>0</v>
      </c>
      <c r="DSD6" s="88">
        <f t="shared" si="49"/>
        <v>0</v>
      </c>
      <c r="DSE6" s="88">
        <f t="shared" si="49"/>
        <v>0</v>
      </c>
      <c r="DSF6" s="88">
        <f t="shared" si="49"/>
        <v>0</v>
      </c>
      <c r="DSG6" s="88">
        <f t="shared" si="49"/>
        <v>0</v>
      </c>
      <c r="DSH6" s="88">
        <f t="shared" si="49"/>
        <v>0</v>
      </c>
      <c r="DSI6" s="88">
        <f t="shared" si="49"/>
        <v>0</v>
      </c>
      <c r="DSJ6" s="88">
        <f t="shared" si="49"/>
        <v>0</v>
      </c>
      <c r="DSK6" s="88">
        <f t="shared" si="49"/>
        <v>0</v>
      </c>
      <c r="DSL6" s="88">
        <f t="shared" si="49"/>
        <v>0</v>
      </c>
      <c r="DSM6" s="88">
        <f t="shared" si="49"/>
        <v>0</v>
      </c>
      <c r="DSN6" s="88">
        <f t="shared" ref="DSN6:DUY6" si="50">SUM(DSO3:DSO5)</f>
        <v>0</v>
      </c>
      <c r="DSO6" s="88">
        <f t="shared" si="50"/>
        <v>0</v>
      </c>
      <c r="DSP6" s="88">
        <f t="shared" si="50"/>
        <v>0</v>
      </c>
      <c r="DSQ6" s="88">
        <f t="shared" si="50"/>
        <v>0</v>
      </c>
      <c r="DSR6" s="88">
        <f t="shared" si="50"/>
        <v>0</v>
      </c>
      <c r="DSS6" s="88">
        <f t="shared" si="50"/>
        <v>0</v>
      </c>
      <c r="DST6" s="88">
        <f t="shared" si="50"/>
        <v>0</v>
      </c>
      <c r="DSU6" s="88">
        <f t="shared" si="50"/>
        <v>0</v>
      </c>
      <c r="DSV6" s="88">
        <f t="shared" si="50"/>
        <v>0</v>
      </c>
      <c r="DSW6" s="88">
        <f t="shared" si="50"/>
        <v>0</v>
      </c>
      <c r="DSX6" s="88">
        <f t="shared" si="50"/>
        <v>0</v>
      </c>
      <c r="DSY6" s="88">
        <f t="shared" si="50"/>
        <v>0</v>
      </c>
      <c r="DSZ6" s="88">
        <f t="shared" si="50"/>
        <v>0</v>
      </c>
      <c r="DTA6" s="88">
        <f t="shared" si="50"/>
        <v>0</v>
      </c>
      <c r="DTB6" s="88">
        <f t="shared" si="50"/>
        <v>0</v>
      </c>
      <c r="DTC6" s="88">
        <f t="shared" si="50"/>
        <v>0</v>
      </c>
      <c r="DTD6" s="88">
        <f t="shared" si="50"/>
        <v>0</v>
      </c>
      <c r="DTE6" s="88">
        <f t="shared" si="50"/>
        <v>0</v>
      </c>
      <c r="DTF6" s="88">
        <f t="shared" si="50"/>
        <v>0</v>
      </c>
      <c r="DTG6" s="88">
        <f t="shared" si="50"/>
        <v>0</v>
      </c>
      <c r="DTH6" s="88">
        <f t="shared" si="50"/>
        <v>0</v>
      </c>
      <c r="DTI6" s="88">
        <f t="shared" si="50"/>
        <v>0</v>
      </c>
      <c r="DTJ6" s="88">
        <f t="shared" si="50"/>
        <v>0</v>
      </c>
      <c r="DTK6" s="88">
        <f t="shared" si="50"/>
        <v>0</v>
      </c>
      <c r="DTL6" s="88">
        <f t="shared" si="50"/>
        <v>0</v>
      </c>
      <c r="DTM6" s="88">
        <f t="shared" si="50"/>
        <v>0</v>
      </c>
      <c r="DTN6" s="88">
        <f t="shared" si="50"/>
        <v>0</v>
      </c>
      <c r="DTO6" s="88">
        <f t="shared" si="50"/>
        <v>0</v>
      </c>
      <c r="DTP6" s="88">
        <f t="shared" si="50"/>
        <v>0</v>
      </c>
      <c r="DTQ6" s="88">
        <f t="shared" si="50"/>
        <v>0</v>
      </c>
      <c r="DTR6" s="88">
        <f t="shared" si="50"/>
        <v>0</v>
      </c>
      <c r="DTS6" s="88">
        <f t="shared" si="50"/>
        <v>0</v>
      </c>
      <c r="DTT6" s="88">
        <f t="shared" si="50"/>
        <v>0</v>
      </c>
      <c r="DTU6" s="88">
        <f t="shared" si="50"/>
        <v>0</v>
      </c>
      <c r="DTV6" s="88">
        <f t="shared" si="50"/>
        <v>0</v>
      </c>
      <c r="DTW6" s="88">
        <f t="shared" si="50"/>
        <v>0</v>
      </c>
      <c r="DTX6" s="88">
        <f t="shared" si="50"/>
        <v>0</v>
      </c>
      <c r="DTY6" s="88">
        <f t="shared" si="50"/>
        <v>0</v>
      </c>
      <c r="DTZ6" s="88">
        <f t="shared" si="50"/>
        <v>0</v>
      </c>
      <c r="DUA6" s="88">
        <f t="shared" si="50"/>
        <v>0</v>
      </c>
      <c r="DUB6" s="88">
        <f t="shared" si="50"/>
        <v>0</v>
      </c>
      <c r="DUC6" s="88">
        <f t="shared" si="50"/>
        <v>0</v>
      </c>
      <c r="DUD6" s="88">
        <f t="shared" si="50"/>
        <v>0</v>
      </c>
      <c r="DUE6" s="88">
        <f t="shared" si="50"/>
        <v>0</v>
      </c>
      <c r="DUF6" s="88">
        <f t="shared" si="50"/>
        <v>0</v>
      </c>
      <c r="DUG6" s="88">
        <f t="shared" si="50"/>
        <v>0</v>
      </c>
      <c r="DUH6" s="88">
        <f t="shared" si="50"/>
        <v>0</v>
      </c>
      <c r="DUI6" s="88">
        <f t="shared" si="50"/>
        <v>0</v>
      </c>
      <c r="DUJ6" s="88">
        <f t="shared" si="50"/>
        <v>0</v>
      </c>
      <c r="DUK6" s="88">
        <f t="shared" si="50"/>
        <v>0</v>
      </c>
      <c r="DUL6" s="88">
        <f t="shared" si="50"/>
        <v>0</v>
      </c>
      <c r="DUM6" s="88">
        <f t="shared" si="50"/>
        <v>0</v>
      </c>
      <c r="DUN6" s="88">
        <f t="shared" si="50"/>
        <v>0</v>
      </c>
      <c r="DUO6" s="88">
        <f t="shared" si="50"/>
        <v>0</v>
      </c>
      <c r="DUP6" s="88">
        <f t="shared" si="50"/>
        <v>0</v>
      </c>
      <c r="DUQ6" s="88">
        <f t="shared" si="50"/>
        <v>0</v>
      </c>
      <c r="DUR6" s="88">
        <f t="shared" si="50"/>
        <v>0</v>
      </c>
      <c r="DUS6" s="88">
        <f t="shared" si="50"/>
        <v>0</v>
      </c>
      <c r="DUT6" s="88">
        <f t="shared" si="50"/>
        <v>0</v>
      </c>
      <c r="DUU6" s="88">
        <f t="shared" si="50"/>
        <v>0</v>
      </c>
      <c r="DUV6" s="88">
        <f t="shared" si="50"/>
        <v>0</v>
      </c>
      <c r="DUW6" s="88">
        <f t="shared" si="50"/>
        <v>0</v>
      </c>
      <c r="DUX6" s="88">
        <f t="shared" si="50"/>
        <v>0</v>
      </c>
      <c r="DUY6" s="88">
        <f t="shared" si="50"/>
        <v>0</v>
      </c>
      <c r="DUZ6" s="88">
        <f t="shared" ref="DUZ6:DXK6" si="51">SUM(DVA3:DVA5)</f>
        <v>0</v>
      </c>
      <c r="DVA6" s="88">
        <f t="shared" si="51"/>
        <v>0</v>
      </c>
      <c r="DVB6" s="88">
        <f t="shared" si="51"/>
        <v>0</v>
      </c>
      <c r="DVC6" s="88">
        <f t="shared" si="51"/>
        <v>0</v>
      </c>
      <c r="DVD6" s="88">
        <f t="shared" si="51"/>
        <v>0</v>
      </c>
      <c r="DVE6" s="88">
        <f t="shared" si="51"/>
        <v>0</v>
      </c>
      <c r="DVF6" s="88">
        <f t="shared" si="51"/>
        <v>0</v>
      </c>
      <c r="DVG6" s="88">
        <f t="shared" si="51"/>
        <v>0</v>
      </c>
      <c r="DVH6" s="88">
        <f t="shared" si="51"/>
        <v>0</v>
      </c>
      <c r="DVI6" s="88">
        <f t="shared" si="51"/>
        <v>0</v>
      </c>
      <c r="DVJ6" s="88">
        <f t="shared" si="51"/>
        <v>0</v>
      </c>
      <c r="DVK6" s="88">
        <f t="shared" si="51"/>
        <v>0</v>
      </c>
      <c r="DVL6" s="88">
        <f t="shared" si="51"/>
        <v>0</v>
      </c>
      <c r="DVM6" s="88">
        <f t="shared" si="51"/>
        <v>0</v>
      </c>
      <c r="DVN6" s="88">
        <f t="shared" si="51"/>
        <v>0</v>
      </c>
      <c r="DVO6" s="88">
        <f t="shared" si="51"/>
        <v>0</v>
      </c>
      <c r="DVP6" s="88">
        <f t="shared" si="51"/>
        <v>0</v>
      </c>
      <c r="DVQ6" s="88">
        <f t="shared" si="51"/>
        <v>0</v>
      </c>
      <c r="DVR6" s="88">
        <f t="shared" si="51"/>
        <v>0</v>
      </c>
      <c r="DVS6" s="88">
        <f t="shared" si="51"/>
        <v>0</v>
      </c>
      <c r="DVT6" s="88">
        <f t="shared" si="51"/>
        <v>0</v>
      </c>
      <c r="DVU6" s="88">
        <f t="shared" si="51"/>
        <v>0</v>
      </c>
      <c r="DVV6" s="88">
        <f t="shared" si="51"/>
        <v>0</v>
      </c>
      <c r="DVW6" s="88">
        <f t="shared" si="51"/>
        <v>0</v>
      </c>
      <c r="DVX6" s="88">
        <f t="shared" si="51"/>
        <v>0</v>
      </c>
      <c r="DVY6" s="88">
        <f t="shared" si="51"/>
        <v>0</v>
      </c>
      <c r="DVZ6" s="88">
        <f t="shared" si="51"/>
        <v>0</v>
      </c>
      <c r="DWA6" s="88">
        <f t="shared" si="51"/>
        <v>0</v>
      </c>
      <c r="DWB6" s="88">
        <f t="shared" si="51"/>
        <v>0</v>
      </c>
      <c r="DWC6" s="88">
        <f t="shared" si="51"/>
        <v>0</v>
      </c>
      <c r="DWD6" s="88">
        <f t="shared" si="51"/>
        <v>0</v>
      </c>
      <c r="DWE6" s="88">
        <f t="shared" si="51"/>
        <v>0</v>
      </c>
      <c r="DWF6" s="88">
        <f t="shared" si="51"/>
        <v>0</v>
      </c>
      <c r="DWG6" s="88">
        <f t="shared" si="51"/>
        <v>0</v>
      </c>
      <c r="DWH6" s="88">
        <f t="shared" si="51"/>
        <v>0</v>
      </c>
      <c r="DWI6" s="88">
        <f t="shared" si="51"/>
        <v>0</v>
      </c>
      <c r="DWJ6" s="88">
        <f t="shared" si="51"/>
        <v>0</v>
      </c>
      <c r="DWK6" s="88">
        <f t="shared" si="51"/>
        <v>0</v>
      </c>
      <c r="DWL6" s="88">
        <f t="shared" si="51"/>
        <v>0</v>
      </c>
      <c r="DWM6" s="88">
        <f t="shared" si="51"/>
        <v>0</v>
      </c>
      <c r="DWN6" s="88">
        <f t="shared" si="51"/>
        <v>0</v>
      </c>
      <c r="DWO6" s="88">
        <f t="shared" si="51"/>
        <v>0</v>
      </c>
      <c r="DWP6" s="88">
        <f t="shared" si="51"/>
        <v>0</v>
      </c>
      <c r="DWQ6" s="88">
        <f t="shared" si="51"/>
        <v>0</v>
      </c>
      <c r="DWR6" s="88">
        <f t="shared" si="51"/>
        <v>0</v>
      </c>
      <c r="DWS6" s="88">
        <f t="shared" si="51"/>
        <v>0</v>
      </c>
      <c r="DWT6" s="88">
        <f t="shared" si="51"/>
        <v>0</v>
      </c>
      <c r="DWU6" s="88">
        <f t="shared" si="51"/>
        <v>0</v>
      </c>
      <c r="DWV6" s="88">
        <f t="shared" si="51"/>
        <v>0</v>
      </c>
      <c r="DWW6" s="88">
        <f t="shared" si="51"/>
        <v>0</v>
      </c>
      <c r="DWX6" s="88">
        <f t="shared" si="51"/>
        <v>0</v>
      </c>
      <c r="DWY6" s="88">
        <f t="shared" si="51"/>
        <v>0</v>
      </c>
      <c r="DWZ6" s="88">
        <f t="shared" si="51"/>
        <v>0</v>
      </c>
      <c r="DXA6" s="88">
        <f t="shared" si="51"/>
        <v>0</v>
      </c>
      <c r="DXB6" s="88">
        <f t="shared" si="51"/>
        <v>0</v>
      </c>
      <c r="DXC6" s="88">
        <f t="shared" si="51"/>
        <v>0</v>
      </c>
      <c r="DXD6" s="88">
        <f t="shared" si="51"/>
        <v>0</v>
      </c>
      <c r="DXE6" s="88">
        <f t="shared" si="51"/>
        <v>0</v>
      </c>
      <c r="DXF6" s="88">
        <f t="shared" si="51"/>
        <v>0</v>
      </c>
      <c r="DXG6" s="88">
        <f t="shared" si="51"/>
        <v>0</v>
      </c>
      <c r="DXH6" s="88">
        <f t="shared" si="51"/>
        <v>0</v>
      </c>
      <c r="DXI6" s="88">
        <f t="shared" si="51"/>
        <v>0</v>
      </c>
      <c r="DXJ6" s="88">
        <f t="shared" si="51"/>
        <v>0</v>
      </c>
      <c r="DXK6" s="88">
        <f t="shared" si="51"/>
        <v>0</v>
      </c>
      <c r="DXL6" s="88">
        <f t="shared" ref="DXL6:DZW6" si="52">SUM(DXM3:DXM5)</f>
        <v>0</v>
      </c>
      <c r="DXM6" s="88">
        <f t="shared" si="52"/>
        <v>0</v>
      </c>
      <c r="DXN6" s="88">
        <f t="shared" si="52"/>
        <v>0</v>
      </c>
      <c r="DXO6" s="88">
        <f t="shared" si="52"/>
        <v>0</v>
      </c>
      <c r="DXP6" s="88">
        <f t="shared" si="52"/>
        <v>0</v>
      </c>
      <c r="DXQ6" s="88">
        <f t="shared" si="52"/>
        <v>0</v>
      </c>
      <c r="DXR6" s="88">
        <f t="shared" si="52"/>
        <v>0</v>
      </c>
      <c r="DXS6" s="88">
        <f t="shared" si="52"/>
        <v>0</v>
      </c>
      <c r="DXT6" s="88">
        <f t="shared" si="52"/>
        <v>0</v>
      </c>
      <c r="DXU6" s="88">
        <f t="shared" si="52"/>
        <v>0</v>
      </c>
      <c r="DXV6" s="88">
        <f t="shared" si="52"/>
        <v>0</v>
      </c>
      <c r="DXW6" s="88">
        <f t="shared" si="52"/>
        <v>0</v>
      </c>
      <c r="DXX6" s="88">
        <f t="shared" si="52"/>
        <v>0</v>
      </c>
      <c r="DXY6" s="88">
        <f t="shared" si="52"/>
        <v>0</v>
      </c>
      <c r="DXZ6" s="88">
        <f t="shared" si="52"/>
        <v>0</v>
      </c>
      <c r="DYA6" s="88">
        <f t="shared" si="52"/>
        <v>0</v>
      </c>
      <c r="DYB6" s="88">
        <f t="shared" si="52"/>
        <v>0</v>
      </c>
      <c r="DYC6" s="88">
        <f t="shared" si="52"/>
        <v>0</v>
      </c>
      <c r="DYD6" s="88">
        <f t="shared" si="52"/>
        <v>0</v>
      </c>
      <c r="DYE6" s="88">
        <f t="shared" si="52"/>
        <v>0</v>
      </c>
      <c r="DYF6" s="88">
        <f t="shared" si="52"/>
        <v>0</v>
      </c>
      <c r="DYG6" s="88">
        <f t="shared" si="52"/>
        <v>0</v>
      </c>
      <c r="DYH6" s="88">
        <f t="shared" si="52"/>
        <v>0</v>
      </c>
      <c r="DYI6" s="88">
        <f t="shared" si="52"/>
        <v>0</v>
      </c>
      <c r="DYJ6" s="88">
        <f t="shared" si="52"/>
        <v>0</v>
      </c>
      <c r="DYK6" s="88">
        <f t="shared" si="52"/>
        <v>0</v>
      </c>
      <c r="DYL6" s="88">
        <f t="shared" si="52"/>
        <v>0</v>
      </c>
      <c r="DYM6" s="88">
        <f t="shared" si="52"/>
        <v>0</v>
      </c>
      <c r="DYN6" s="88">
        <f t="shared" si="52"/>
        <v>0</v>
      </c>
      <c r="DYO6" s="88">
        <f t="shared" si="52"/>
        <v>0</v>
      </c>
      <c r="DYP6" s="88">
        <f t="shared" si="52"/>
        <v>0</v>
      </c>
      <c r="DYQ6" s="88">
        <f t="shared" si="52"/>
        <v>0</v>
      </c>
      <c r="DYR6" s="88">
        <f t="shared" si="52"/>
        <v>0</v>
      </c>
      <c r="DYS6" s="88">
        <f t="shared" si="52"/>
        <v>0</v>
      </c>
      <c r="DYT6" s="88">
        <f t="shared" si="52"/>
        <v>0</v>
      </c>
      <c r="DYU6" s="88">
        <f t="shared" si="52"/>
        <v>0</v>
      </c>
      <c r="DYV6" s="88">
        <f t="shared" si="52"/>
        <v>0</v>
      </c>
      <c r="DYW6" s="88">
        <f t="shared" si="52"/>
        <v>0</v>
      </c>
      <c r="DYX6" s="88">
        <f t="shared" si="52"/>
        <v>0</v>
      </c>
      <c r="DYY6" s="88">
        <f t="shared" si="52"/>
        <v>0</v>
      </c>
      <c r="DYZ6" s="88">
        <f t="shared" si="52"/>
        <v>0</v>
      </c>
      <c r="DZA6" s="88">
        <f t="shared" si="52"/>
        <v>0</v>
      </c>
      <c r="DZB6" s="88">
        <f t="shared" si="52"/>
        <v>0</v>
      </c>
      <c r="DZC6" s="88">
        <f t="shared" si="52"/>
        <v>0</v>
      </c>
      <c r="DZD6" s="88">
        <f t="shared" si="52"/>
        <v>0</v>
      </c>
      <c r="DZE6" s="88">
        <f t="shared" si="52"/>
        <v>0</v>
      </c>
      <c r="DZF6" s="88">
        <f t="shared" si="52"/>
        <v>0</v>
      </c>
      <c r="DZG6" s="88">
        <f t="shared" si="52"/>
        <v>0</v>
      </c>
      <c r="DZH6" s="88">
        <f t="shared" si="52"/>
        <v>0</v>
      </c>
      <c r="DZI6" s="88">
        <f t="shared" si="52"/>
        <v>0</v>
      </c>
      <c r="DZJ6" s="88">
        <f t="shared" si="52"/>
        <v>0</v>
      </c>
      <c r="DZK6" s="88">
        <f t="shared" si="52"/>
        <v>0</v>
      </c>
      <c r="DZL6" s="88">
        <f t="shared" si="52"/>
        <v>0</v>
      </c>
      <c r="DZM6" s="88">
        <f t="shared" si="52"/>
        <v>0</v>
      </c>
      <c r="DZN6" s="88">
        <f t="shared" si="52"/>
        <v>0</v>
      </c>
      <c r="DZO6" s="88">
        <f t="shared" si="52"/>
        <v>0</v>
      </c>
      <c r="DZP6" s="88">
        <f t="shared" si="52"/>
        <v>0</v>
      </c>
      <c r="DZQ6" s="88">
        <f t="shared" si="52"/>
        <v>0</v>
      </c>
      <c r="DZR6" s="88">
        <f t="shared" si="52"/>
        <v>0</v>
      </c>
      <c r="DZS6" s="88">
        <f t="shared" si="52"/>
        <v>0</v>
      </c>
      <c r="DZT6" s="88">
        <f t="shared" si="52"/>
        <v>0</v>
      </c>
      <c r="DZU6" s="88">
        <f t="shared" si="52"/>
        <v>0</v>
      </c>
      <c r="DZV6" s="88">
        <f t="shared" si="52"/>
        <v>0</v>
      </c>
      <c r="DZW6" s="88">
        <f t="shared" si="52"/>
        <v>0</v>
      </c>
      <c r="DZX6" s="88">
        <f t="shared" ref="DZX6:ECI6" si="53">SUM(DZY3:DZY5)</f>
        <v>0</v>
      </c>
      <c r="DZY6" s="88">
        <f t="shared" si="53"/>
        <v>0</v>
      </c>
      <c r="DZZ6" s="88">
        <f t="shared" si="53"/>
        <v>0</v>
      </c>
      <c r="EAA6" s="88">
        <f t="shared" si="53"/>
        <v>0</v>
      </c>
      <c r="EAB6" s="88">
        <f t="shared" si="53"/>
        <v>0</v>
      </c>
      <c r="EAC6" s="88">
        <f t="shared" si="53"/>
        <v>0</v>
      </c>
      <c r="EAD6" s="88">
        <f t="shared" si="53"/>
        <v>0</v>
      </c>
      <c r="EAE6" s="88">
        <f t="shared" si="53"/>
        <v>0</v>
      </c>
      <c r="EAF6" s="88">
        <f t="shared" si="53"/>
        <v>0</v>
      </c>
      <c r="EAG6" s="88">
        <f t="shared" si="53"/>
        <v>0</v>
      </c>
      <c r="EAH6" s="88">
        <f t="shared" si="53"/>
        <v>0</v>
      </c>
      <c r="EAI6" s="88">
        <f t="shared" si="53"/>
        <v>0</v>
      </c>
      <c r="EAJ6" s="88">
        <f t="shared" si="53"/>
        <v>0</v>
      </c>
      <c r="EAK6" s="88">
        <f t="shared" si="53"/>
        <v>0</v>
      </c>
      <c r="EAL6" s="88">
        <f t="shared" si="53"/>
        <v>0</v>
      </c>
      <c r="EAM6" s="88">
        <f t="shared" si="53"/>
        <v>0</v>
      </c>
      <c r="EAN6" s="88">
        <f t="shared" si="53"/>
        <v>0</v>
      </c>
      <c r="EAO6" s="88">
        <f t="shared" si="53"/>
        <v>0</v>
      </c>
      <c r="EAP6" s="88">
        <f t="shared" si="53"/>
        <v>0</v>
      </c>
      <c r="EAQ6" s="88">
        <f t="shared" si="53"/>
        <v>0</v>
      </c>
      <c r="EAR6" s="88">
        <f t="shared" si="53"/>
        <v>0</v>
      </c>
      <c r="EAS6" s="88">
        <f t="shared" si="53"/>
        <v>0</v>
      </c>
      <c r="EAT6" s="88">
        <f t="shared" si="53"/>
        <v>0</v>
      </c>
      <c r="EAU6" s="88">
        <f t="shared" si="53"/>
        <v>0</v>
      </c>
      <c r="EAV6" s="88">
        <f t="shared" si="53"/>
        <v>0</v>
      </c>
      <c r="EAW6" s="88">
        <f t="shared" si="53"/>
        <v>0</v>
      </c>
      <c r="EAX6" s="88">
        <f t="shared" si="53"/>
        <v>0</v>
      </c>
      <c r="EAY6" s="88">
        <f t="shared" si="53"/>
        <v>0</v>
      </c>
      <c r="EAZ6" s="88">
        <f t="shared" si="53"/>
        <v>0</v>
      </c>
      <c r="EBA6" s="88">
        <f t="shared" si="53"/>
        <v>0</v>
      </c>
      <c r="EBB6" s="88">
        <f t="shared" si="53"/>
        <v>0</v>
      </c>
      <c r="EBC6" s="88">
        <f t="shared" si="53"/>
        <v>0</v>
      </c>
      <c r="EBD6" s="88">
        <f t="shared" si="53"/>
        <v>0</v>
      </c>
      <c r="EBE6" s="88">
        <f t="shared" si="53"/>
        <v>0</v>
      </c>
      <c r="EBF6" s="88">
        <f t="shared" si="53"/>
        <v>0</v>
      </c>
      <c r="EBG6" s="88">
        <f t="shared" si="53"/>
        <v>0</v>
      </c>
      <c r="EBH6" s="88">
        <f t="shared" si="53"/>
        <v>0</v>
      </c>
      <c r="EBI6" s="88">
        <f t="shared" si="53"/>
        <v>0</v>
      </c>
      <c r="EBJ6" s="88">
        <f t="shared" si="53"/>
        <v>0</v>
      </c>
      <c r="EBK6" s="88">
        <f t="shared" si="53"/>
        <v>0</v>
      </c>
      <c r="EBL6" s="88">
        <f t="shared" si="53"/>
        <v>0</v>
      </c>
      <c r="EBM6" s="88">
        <f t="shared" si="53"/>
        <v>0</v>
      </c>
      <c r="EBN6" s="88">
        <f t="shared" si="53"/>
        <v>0</v>
      </c>
      <c r="EBO6" s="88">
        <f t="shared" si="53"/>
        <v>0</v>
      </c>
      <c r="EBP6" s="88">
        <f t="shared" si="53"/>
        <v>0</v>
      </c>
      <c r="EBQ6" s="88">
        <f t="shared" si="53"/>
        <v>0</v>
      </c>
      <c r="EBR6" s="88">
        <f t="shared" si="53"/>
        <v>0</v>
      </c>
      <c r="EBS6" s="88">
        <f t="shared" si="53"/>
        <v>0</v>
      </c>
      <c r="EBT6" s="88">
        <f t="shared" si="53"/>
        <v>0</v>
      </c>
      <c r="EBU6" s="88">
        <f t="shared" si="53"/>
        <v>0</v>
      </c>
      <c r="EBV6" s="88">
        <f t="shared" si="53"/>
        <v>0</v>
      </c>
      <c r="EBW6" s="88">
        <f t="shared" si="53"/>
        <v>0</v>
      </c>
      <c r="EBX6" s="88">
        <f t="shared" si="53"/>
        <v>0</v>
      </c>
      <c r="EBY6" s="88">
        <f t="shared" si="53"/>
        <v>0</v>
      </c>
      <c r="EBZ6" s="88">
        <f t="shared" si="53"/>
        <v>0</v>
      </c>
      <c r="ECA6" s="88">
        <f t="shared" si="53"/>
        <v>0</v>
      </c>
      <c r="ECB6" s="88">
        <f t="shared" si="53"/>
        <v>0</v>
      </c>
      <c r="ECC6" s="88">
        <f t="shared" si="53"/>
        <v>0</v>
      </c>
      <c r="ECD6" s="88">
        <f t="shared" si="53"/>
        <v>0</v>
      </c>
      <c r="ECE6" s="88">
        <f t="shared" si="53"/>
        <v>0</v>
      </c>
      <c r="ECF6" s="88">
        <f t="shared" si="53"/>
        <v>0</v>
      </c>
      <c r="ECG6" s="88">
        <f t="shared" si="53"/>
        <v>0</v>
      </c>
      <c r="ECH6" s="88">
        <f t="shared" si="53"/>
        <v>0</v>
      </c>
      <c r="ECI6" s="88">
        <f t="shared" si="53"/>
        <v>0</v>
      </c>
      <c r="ECJ6" s="88">
        <f t="shared" ref="ECJ6:EEU6" si="54">SUM(ECK3:ECK5)</f>
        <v>0</v>
      </c>
      <c r="ECK6" s="88">
        <f t="shared" si="54"/>
        <v>0</v>
      </c>
      <c r="ECL6" s="88">
        <f t="shared" si="54"/>
        <v>0</v>
      </c>
      <c r="ECM6" s="88">
        <f t="shared" si="54"/>
        <v>0</v>
      </c>
      <c r="ECN6" s="88">
        <f t="shared" si="54"/>
        <v>0</v>
      </c>
      <c r="ECO6" s="88">
        <f t="shared" si="54"/>
        <v>0</v>
      </c>
      <c r="ECP6" s="88">
        <f t="shared" si="54"/>
        <v>0</v>
      </c>
      <c r="ECQ6" s="88">
        <f t="shared" si="54"/>
        <v>0</v>
      </c>
      <c r="ECR6" s="88">
        <f t="shared" si="54"/>
        <v>0</v>
      </c>
      <c r="ECS6" s="88">
        <f t="shared" si="54"/>
        <v>0</v>
      </c>
      <c r="ECT6" s="88">
        <f t="shared" si="54"/>
        <v>0</v>
      </c>
      <c r="ECU6" s="88">
        <f t="shared" si="54"/>
        <v>0</v>
      </c>
      <c r="ECV6" s="88">
        <f t="shared" si="54"/>
        <v>0</v>
      </c>
      <c r="ECW6" s="88">
        <f t="shared" si="54"/>
        <v>0</v>
      </c>
      <c r="ECX6" s="88">
        <f t="shared" si="54"/>
        <v>0</v>
      </c>
      <c r="ECY6" s="88">
        <f t="shared" si="54"/>
        <v>0</v>
      </c>
      <c r="ECZ6" s="88">
        <f t="shared" si="54"/>
        <v>0</v>
      </c>
      <c r="EDA6" s="88">
        <f t="shared" si="54"/>
        <v>0</v>
      </c>
      <c r="EDB6" s="88">
        <f t="shared" si="54"/>
        <v>0</v>
      </c>
      <c r="EDC6" s="88">
        <f t="shared" si="54"/>
        <v>0</v>
      </c>
      <c r="EDD6" s="88">
        <f t="shared" si="54"/>
        <v>0</v>
      </c>
      <c r="EDE6" s="88">
        <f t="shared" si="54"/>
        <v>0</v>
      </c>
      <c r="EDF6" s="88">
        <f t="shared" si="54"/>
        <v>0</v>
      </c>
      <c r="EDG6" s="88">
        <f t="shared" si="54"/>
        <v>0</v>
      </c>
      <c r="EDH6" s="88">
        <f t="shared" si="54"/>
        <v>0</v>
      </c>
      <c r="EDI6" s="88">
        <f t="shared" si="54"/>
        <v>0</v>
      </c>
      <c r="EDJ6" s="88">
        <f t="shared" si="54"/>
        <v>0</v>
      </c>
      <c r="EDK6" s="88">
        <f t="shared" si="54"/>
        <v>0</v>
      </c>
      <c r="EDL6" s="88">
        <f t="shared" si="54"/>
        <v>0</v>
      </c>
      <c r="EDM6" s="88">
        <f t="shared" si="54"/>
        <v>0</v>
      </c>
      <c r="EDN6" s="88">
        <f t="shared" si="54"/>
        <v>0</v>
      </c>
      <c r="EDO6" s="88">
        <f t="shared" si="54"/>
        <v>0</v>
      </c>
      <c r="EDP6" s="88">
        <f t="shared" si="54"/>
        <v>0</v>
      </c>
      <c r="EDQ6" s="88">
        <f t="shared" si="54"/>
        <v>0</v>
      </c>
      <c r="EDR6" s="88">
        <f t="shared" si="54"/>
        <v>0</v>
      </c>
      <c r="EDS6" s="88">
        <f t="shared" si="54"/>
        <v>0</v>
      </c>
      <c r="EDT6" s="88">
        <f t="shared" si="54"/>
        <v>0</v>
      </c>
      <c r="EDU6" s="88">
        <f t="shared" si="54"/>
        <v>0</v>
      </c>
      <c r="EDV6" s="88">
        <f t="shared" si="54"/>
        <v>0</v>
      </c>
      <c r="EDW6" s="88">
        <f t="shared" si="54"/>
        <v>0</v>
      </c>
      <c r="EDX6" s="88">
        <f t="shared" si="54"/>
        <v>0</v>
      </c>
      <c r="EDY6" s="88">
        <f t="shared" si="54"/>
        <v>0</v>
      </c>
      <c r="EDZ6" s="88">
        <f t="shared" si="54"/>
        <v>0</v>
      </c>
      <c r="EEA6" s="88">
        <f t="shared" si="54"/>
        <v>0</v>
      </c>
      <c r="EEB6" s="88">
        <f t="shared" si="54"/>
        <v>0</v>
      </c>
      <c r="EEC6" s="88">
        <f t="shared" si="54"/>
        <v>0</v>
      </c>
      <c r="EED6" s="88">
        <f t="shared" si="54"/>
        <v>0</v>
      </c>
      <c r="EEE6" s="88">
        <f t="shared" si="54"/>
        <v>0</v>
      </c>
      <c r="EEF6" s="88">
        <f t="shared" si="54"/>
        <v>0</v>
      </c>
      <c r="EEG6" s="88">
        <f t="shared" si="54"/>
        <v>0</v>
      </c>
      <c r="EEH6" s="88">
        <f t="shared" si="54"/>
        <v>0</v>
      </c>
      <c r="EEI6" s="88">
        <f t="shared" si="54"/>
        <v>0</v>
      </c>
      <c r="EEJ6" s="88">
        <f t="shared" si="54"/>
        <v>0</v>
      </c>
      <c r="EEK6" s="88">
        <f t="shared" si="54"/>
        <v>0</v>
      </c>
      <c r="EEL6" s="88">
        <f t="shared" si="54"/>
        <v>0</v>
      </c>
      <c r="EEM6" s="88">
        <f t="shared" si="54"/>
        <v>0</v>
      </c>
      <c r="EEN6" s="88">
        <f t="shared" si="54"/>
        <v>0</v>
      </c>
      <c r="EEO6" s="88">
        <f t="shared" si="54"/>
        <v>0</v>
      </c>
      <c r="EEP6" s="88">
        <f t="shared" si="54"/>
        <v>0</v>
      </c>
      <c r="EEQ6" s="88">
        <f t="shared" si="54"/>
        <v>0</v>
      </c>
      <c r="EER6" s="88">
        <f t="shared" si="54"/>
        <v>0</v>
      </c>
      <c r="EES6" s="88">
        <f t="shared" si="54"/>
        <v>0</v>
      </c>
      <c r="EET6" s="88">
        <f t="shared" si="54"/>
        <v>0</v>
      </c>
      <c r="EEU6" s="88">
        <f t="shared" si="54"/>
        <v>0</v>
      </c>
      <c r="EEV6" s="88">
        <f t="shared" ref="EEV6:EHG6" si="55">SUM(EEW3:EEW5)</f>
        <v>0</v>
      </c>
      <c r="EEW6" s="88">
        <f t="shared" si="55"/>
        <v>0</v>
      </c>
      <c r="EEX6" s="88">
        <f t="shared" si="55"/>
        <v>0</v>
      </c>
      <c r="EEY6" s="88">
        <f t="shared" si="55"/>
        <v>0</v>
      </c>
      <c r="EEZ6" s="88">
        <f t="shared" si="55"/>
        <v>0</v>
      </c>
      <c r="EFA6" s="88">
        <f t="shared" si="55"/>
        <v>0</v>
      </c>
      <c r="EFB6" s="88">
        <f t="shared" si="55"/>
        <v>0</v>
      </c>
      <c r="EFC6" s="88">
        <f t="shared" si="55"/>
        <v>0</v>
      </c>
      <c r="EFD6" s="88">
        <f t="shared" si="55"/>
        <v>0</v>
      </c>
      <c r="EFE6" s="88">
        <f t="shared" si="55"/>
        <v>0</v>
      </c>
      <c r="EFF6" s="88">
        <f t="shared" si="55"/>
        <v>0</v>
      </c>
      <c r="EFG6" s="88">
        <f t="shared" si="55"/>
        <v>0</v>
      </c>
      <c r="EFH6" s="88">
        <f t="shared" si="55"/>
        <v>0</v>
      </c>
      <c r="EFI6" s="88">
        <f t="shared" si="55"/>
        <v>0</v>
      </c>
      <c r="EFJ6" s="88">
        <f t="shared" si="55"/>
        <v>0</v>
      </c>
      <c r="EFK6" s="88">
        <f t="shared" si="55"/>
        <v>0</v>
      </c>
      <c r="EFL6" s="88">
        <f t="shared" si="55"/>
        <v>0</v>
      </c>
      <c r="EFM6" s="88">
        <f t="shared" si="55"/>
        <v>0</v>
      </c>
      <c r="EFN6" s="88">
        <f t="shared" si="55"/>
        <v>0</v>
      </c>
      <c r="EFO6" s="88">
        <f t="shared" si="55"/>
        <v>0</v>
      </c>
      <c r="EFP6" s="88">
        <f t="shared" si="55"/>
        <v>0</v>
      </c>
      <c r="EFQ6" s="88">
        <f t="shared" si="55"/>
        <v>0</v>
      </c>
      <c r="EFR6" s="88">
        <f t="shared" si="55"/>
        <v>0</v>
      </c>
      <c r="EFS6" s="88">
        <f t="shared" si="55"/>
        <v>0</v>
      </c>
      <c r="EFT6" s="88">
        <f t="shared" si="55"/>
        <v>0</v>
      </c>
      <c r="EFU6" s="88">
        <f t="shared" si="55"/>
        <v>0</v>
      </c>
      <c r="EFV6" s="88">
        <f t="shared" si="55"/>
        <v>0</v>
      </c>
      <c r="EFW6" s="88">
        <f t="shared" si="55"/>
        <v>0</v>
      </c>
      <c r="EFX6" s="88">
        <f t="shared" si="55"/>
        <v>0</v>
      </c>
      <c r="EFY6" s="88">
        <f t="shared" si="55"/>
        <v>0</v>
      </c>
      <c r="EFZ6" s="88">
        <f t="shared" si="55"/>
        <v>0</v>
      </c>
      <c r="EGA6" s="88">
        <f t="shared" si="55"/>
        <v>0</v>
      </c>
      <c r="EGB6" s="88">
        <f t="shared" si="55"/>
        <v>0</v>
      </c>
      <c r="EGC6" s="88">
        <f t="shared" si="55"/>
        <v>0</v>
      </c>
      <c r="EGD6" s="88">
        <f t="shared" si="55"/>
        <v>0</v>
      </c>
      <c r="EGE6" s="88">
        <f t="shared" si="55"/>
        <v>0</v>
      </c>
      <c r="EGF6" s="88">
        <f t="shared" si="55"/>
        <v>0</v>
      </c>
      <c r="EGG6" s="88">
        <f t="shared" si="55"/>
        <v>0</v>
      </c>
      <c r="EGH6" s="88">
        <f t="shared" si="55"/>
        <v>0</v>
      </c>
      <c r="EGI6" s="88">
        <f t="shared" si="55"/>
        <v>0</v>
      </c>
      <c r="EGJ6" s="88">
        <f t="shared" si="55"/>
        <v>0</v>
      </c>
      <c r="EGK6" s="88">
        <f t="shared" si="55"/>
        <v>0</v>
      </c>
      <c r="EGL6" s="88">
        <f t="shared" si="55"/>
        <v>0</v>
      </c>
      <c r="EGM6" s="88">
        <f t="shared" si="55"/>
        <v>0</v>
      </c>
      <c r="EGN6" s="88">
        <f t="shared" si="55"/>
        <v>0</v>
      </c>
      <c r="EGO6" s="88">
        <f t="shared" si="55"/>
        <v>0</v>
      </c>
      <c r="EGP6" s="88">
        <f t="shared" si="55"/>
        <v>0</v>
      </c>
      <c r="EGQ6" s="88">
        <f t="shared" si="55"/>
        <v>0</v>
      </c>
      <c r="EGR6" s="88">
        <f t="shared" si="55"/>
        <v>0</v>
      </c>
      <c r="EGS6" s="88">
        <f t="shared" si="55"/>
        <v>0</v>
      </c>
      <c r="EGT6" s="88">
        <f t="shared" si="55"/>
        <v>0</v>
      </c>
      <c r="EGU6" s="88">
        <f t="shared" si="55"/>
        <v>0</v>
      </c>
      <c r="EGV6" s="88">
        <f t="shared" si="55"/>
        <v>0</v>
      </c>
      <c r="EGW6" s="88">
        <f t="shared" si="55"/>
        <v>0</v>
      </c>
      <c r="EGX6" s="88">
        <f t="shared" si="55"/>
        <v>0</v>
      </c>
      <c r="EGY6" s="88">
        <f t="shared" si="55"/>
        <v>0</v>
      </c>
      <c r="EGZ6" s="88">
        <f t="shared" si="55"/>
        <v>0</v>
      </c>
      <c r="EHA6" s="88">
        <f t="shared" si="55"/>
        <v>0</v>
      </c>
      <c r="EHB6" s="88">
        <f t="shared" si="55"/>
        <v>0</v>
      </c>
      <c r="EHC6" s="88">
        <f t="shared" si="55"/>
        <v>0</v>
      </c>
      <c r="EHD6" s="88">
        <f t="shared" si="55"/>
        <v>0</v>
      </c>
      <c r="EHE6" s="88">
        <f t="shared" si="55"/>
        <v>0</v>
      </c>
      <c r="EHF6" s="88">
        <f t="shared" si="55"/>
        <v>0</v>
      </c>
      <c r="EHG6" s="88">
        <f t="shared" si="55"/>
        <v>0</v>
      </c>
      <c r="EHH6" s="88">
        <f t="shared" ref="EHH6:EJS6" si="56">SUM(EHI3:EHI5)</f>
        <v>0</v>
      </c>
      <c r="EHI6" s="88">
        <f t="shared" si="56"/>
        <v>0</v>
      </c>
      <c r="EHJ6" s="88">
        <f t="shared" si="56"/>
        <v>0</v>
      </c>
      <c r="EHK6" s="88">
        <f t="shared" si="56"/>
        <v>0</v>
      </c>
      <c r="EHL6" s="88">
        <f t="shared" si="56"/>
        <v>0</v>
      </c>
      <c r="EHM6" s="88">
        <f t="shared" si="56"/>
        <v>0</v>
      </c>
      <c r="EHN6" s="88">
        <f t="shared" si="56"/>
        <v>0</v>
      </c>
      <c r="EHO6" s="88">
        <f t="shared" si="56"/>
        <v>0</v>
      </c>
      <c r="EHP6" s="88">
        <f t="shared" si="56"/>
        <v>0</v>
      </c>
      <c r="EHQ6" s="88">
        <f t="shared" si="56"/>
        <v>0</v>
      </c>
      <c r="EHR6" s="88">
        <f t="shared" si="56"/>
        <v>0</v>
      </c>
      <c r="EHS6" s="88">
        <f t="shared" si="56"/>
        <v>0</v>
      </c>
      <c r="EHT6" s="88">
        <f t="shared" si="56"/>
        <v>0</v>
      </c>
      <c r="EHU6" s="88">
        <f t="shared" si="56"/>
        <v>0</v>
      </c>
      <c r="EHV6" s="88">
        <f t="shared" si="56"/>
        <v>0</v>
      </c>
      <c r="EHW6" s="88">
        <f t="shared" si="56"/>
        <v>0</v>
      </c>
      <c r="EHX6" s="88">
        <f t="shared" si="56"/>
        <v>0</v>
      </c>
      <c r="EHY6" s="88">
        <f t="shared" si="56"/>
        <v>0</v>
      </c>
      <c r="EHZ6" s="88">
        <f t="shared" si="56"/>
        <v>0</v>
      </c>
      <c r="EIA6" s="88">
        <f t="shared" si="56"/>
        <v>0</v>
      </c>
      <c r="EIB6" s="88">
        <f t="shared" si="56"/>
        <v>0</v>
      </c>
      <c r="EIC6" s="88">
        <f t="shared" si="56"/>
        <v>0</v>
      </c>
      <c r="EID6" s="88">
        <f t="shared" si="56"/>
        <v>0</v>
      </c>
      <c r="EIE6" s="88">
        <f t="shared" si="56"/>
        <v>0</v>
      </c>
      <c r="EIF6" s="88">
        <f t="shared" si="56"/>
        <v>0</v>
      </c>
      <c r="EIG6" s="88">
        <f t="shared" si="56"/>
        <v>0</v>
      </c>
      <c r="EIH6" s="88">
        <f t="shared" si="56"/>
        <v>0</v>
      </c>
      <c r="EII6" s="88">
        <f t="shared" si="56"/>
        <v>0</v>
      </c>
      <c r="EIJ6" s="88">
        <f t="shared" si="56"/>
        <v>0</v>
      </c>
      <c r="EIK6" s="88">
        <f t="shared" si="56"/>
        <v>0</v>
      </c>
      <c r="EIL6" s="88">
        <f t="shared" si="56"/>
        <v>0</v>
      </c>
      <c r="EIM6" s="88">
        <f t="shared" si="56"/>
        <v>0</v>
      </c>
      <c r="EIN6" s="88">
        <f t="shared" si="56"/>
        <v>0</v>
      </c>
      <c r="EIO6" s="88">
        <f t="shared" si="56"/>
        <v>0</v>
      </c>
      <c r="EIP6" s="88">
        <f t="shared" si="56"/>
        <v>0</v>
      </c>
      <c r="EIQ6" s="88">
        <f t="shared" si="56"/>
        <v>0</v>
      </c>
      <c r="EIR6" s="88">
        <f t="shared" si="56"/>
        <v>0</v>
      </c>
      <c r="EIS6" s="88">
        <f t="shared" si="56"/>
        <v>0</v>
      </c>
      <c r="EIT6" s="88">
        <f t="shared" si="56"/>
        <v>0</v>
      </c>
      <c r="EIU6" s="88">
        <f t="shared" si="56"/>
        <v>0</v>
      </c>
      <c r="EIV6" s="88">
        <f t="shared" si="56"/>
        <v>0</v>
      </c>
      <c r="EIW6" s="88">
        <f t="shared" si="56"/>
        <v>0</v>
      </c>
      <c r="EIX6" s="88">
        <f t="shared" si="56"/>
        <v>0</v>
      </c>
      <c r="EIY6" s="88">
        <f t="shared" si="56"/>
        <v>0</v>
      </c>
      <c r="EIZ6" s="88">
        <f t="shared" si="56"/>
        <v>0</v>
      </c>
      <c r="EJA6" s="88">
        <f t="shared" si="56"/>
        <v>0</v>
      </c>
      <c r="EJB6" s="88">
        <f t="shared" si="56"/>
        <v>0</v>
      </c>
      <c r="EJC6" s="88">
        <f t="shared" si="56"/>
        <v>0</v>
      </c>
      <c r="EJD6" s="88">
        <f t="shared" si="56"/>
        <v>0</v>
      </c>
      <c r="EJE6" s="88">
        <f t="shared" si="56"/>
        <v>0</v>
      </c>
      <c r="EJF6" s="88">
        <f t="shared" si="56"/>
        <v>0</v>
      </c>
      <c r="EJG6" s="88">
        <f t="shared" si="56"/>
        <v>0</v>
      </c>
      <c r="EJH6" s="88">
        <f t="shared" si="56"/>
        <v>0</v>
      </c>
      <c r="EJI6" s="88">
        <f t="shared" si="56"/>
        <v>0</v>
      </c>
      <c r="EJJ6" s="88">
        <f t="shared" si="56"/>
        <v>0</v>
      </c>
      <c r="EJK6" s="88">
        <f t="shared" si="56"/>
        <v>0</v>
      </c>
      <c r="EJL6" s="88">
        <f t="shared" si="56"/>
        <v>0</v>
      </c>
      <c r="EJM6" s="88">
        <f t="shared" si="56"/>
        <v>0</v>
      </c>
      <c r="EJN6" s="88">
        <f t="shared" si="56"/>
        <v>0</v>
      </c>
      <c r="EJO6" s="88">
        <f t="shared" si="56"/>
        <v>0</v>
      </c>
      <c r="EJP6" s="88">
        <f t="shared" si="56"/>
        <v>0</v>
      </c>
      <c r="EJQ6" s="88">
        <f t="shared" si="56"/>
        <v>0</v>
      </c>
      <c r="EJR6" s="88">
        <f t="shared" si="56"/>
        <v>0</v>
      </c>
      <c r="EJS6" s="88">
        <f t="shared" si="56"/>
        <v>0</v>
      </c>
      <c r="EJT6" s="88">
        <f t="shared" ref="EJT6:EME6" si="57">SUM(EJU3:EJU5)</f>
        <v>0</v>
      </c>
      <c r="EJU6" s="88">
        <f t="shared" si="57"/>
        <v>0</v>
      </c>
      <c r="EJV6" s="88">
        <f t="shared" si="57"/>
        <v>0</v>
      </c>
      <c r="EJW6" s="88">
        <f t="shared" si="57"/>
        <v>0</v>
      </c>
      <c r="EJX6" s="88">
        <f t="shared" si="57"/>
        <v>0</v>
      </c>
      <c r="EJY6" s="88">
        <f t="shared" si="57"/>
        <v>0</v>
      </c>
      <c r="EJZ6" s="88">
        <f t="shared" si="57"/>
        <v>0</v>
      </c>
      <c r="EKA6" s="88">
        <f t="shared" si="57"/>
        <v>0</v>
      </c>
      <c r="EKB6" s="88">
        <f t="shared" si="57"/>
        <v>0</v>
      </c>
      <c r="EKC6" s="88">
        <f t="shared" si="57"/>
        <v>0</v>
      </c>
      <c r="EKD6" s="88">
        <f t="shared" si="57"/>
        <v>0</v>
      </c>
      <c r="EKE6" s="88">
        <f t="shared" si="57"/>
        <v>0</v>
      </c>
      <c r="EKF6" s="88">
        <f t="shared" si="57"/>
        <v>0</v>
      </c>
      <c r="EKG6" s="88">
        <f t="shared" si="57"/>
        <v>0</v>
      </c>
      <c r="EKH6" s="88">
        <f t="shared" si="57"/>
        <v>0</v>
      </c>
      <c r="EKI6" s="88">
        <f t="shared" si="57"/>
        <v>0</v>
      </c>
      <c r="EKJ6" s="88">
        <f t="shared" si="57"/>
        <v>0</v>
      </c>
      <c r="EKK6" s="88">
        <f t="shared" si="57"/>
        <v>0</v>
      </c>
      <c r="EKL6" s="88">
        <f t="shared" si="57"/>
        <v>0</v>
      </c>
      <c r="EKM6" s="88">
        <f t="shared" si="57"/>
        <v>0</v>
      </c>
      <c r="EKN6" s="88">
        <f t="shared" si="57"/>
        <v>0</v>
      </c>
      <c r="EKO6" s="88">
        <f t="shared" si="57"/>
        <v>0</v>
      </c>
      <c r="EKP6" s="88">
        <f t="shared" si="57"/>
        <v>0</v>
      </c>
      <c r="EKQ6" s="88">
        <f t="shared" si="57"/>
        <v>0</v>
      </c>
      <c r="EKR6" s="88">
        <f t="shared" si="57"/>
        <v>0</v>
      </c>
      <c r="EKS6" s="88">
        <f t="shared" si="57"/>
        <v>0</v>
      </c>
      <c r="EKT6" s="88">
        <f t="shared" si="57"/>
        <v>0</v>
      </c>
      <c r="EKU6" s="88">
        <f t="shared" si="57"/>
        <v>0</v>
      </c>
      <c r="EKV6" s="88">
        <f t="shared" si="57"/>
        <v>0</v>
      </c>
      <c r="EKW6" s="88">
        <f t="shared" si="57"/>
        <v>0</v>
      </c>
      <c r="EKX6" s="88">
        <f t="shared" si="57"/>
        <v>0</v>
      </c>
      <c r="EKY6" s="88">
        <f t="shared" si="57"/>
        <v>0</v>
      </c>
      <c r="EKZ6" s="88">
        <f t="shared" si="57"/>
        <v>0</v>
      </c>
      <c r="ELA6" s="88">
        <f t="shared" si="57"/>
        <v>0</v>
      </c>
      <c r="ELB6" s="88">
        <f t="shared" si="57"/>
        <v>0</v>
      </c>
      <c r="ELC6" s="88">
        <f t="shared" si="57"/>
        <v>0</v>
      </c>
      <c r="ELD6" s="88">
        <f t="shared" si="57"/>
        <v>0</v>
      </c>
      <c r="ELE6" s="88">
        <f t="shared" si="57"/>
        <v>0</v>
      </c>
      <c r="ELF6" s="88">
        <f t="shared" si="57"/>
        <v>0</v>
      </c>
      <c r="ELG6" s="88">
        <f t="shared" si="57"/>
        <v>0</v>
      </c>
      <c r="ELH6" s="88">
        <f t="shared" si="57"/>
        <v>0</v>
      </c>
      <c r="ELI6" s="88">
        <f t="shared" si="57"/>
        <v>0</v>
      </c>
      <c r="ELJ6" s="88">
        <f t="shared" si="57"/>
        <v>0</v>
      </c>
      <c r="ELK6" s="88">
        <f t="shared" si="57"/>
        <v>0</v>
      </c>
      <c r="ELL6" s="88">
        <f t="shared" si="57"/>
        <v>0</v>
      </c>
      <c r="ELM6" s="88">
        <f t="shared" si="57"/>
        <v>0</v>
      </c>
      <c r="ELN6" s="88">
        <f t="shared" si="57"/>
        <v>0</v>
      </c>
      <c r="ELO6" s="88">
        <f t="shared" si="57"/>
        <v>0</v>
      </c>
      <c r="ELP6" s="88">
        <f t="shared" si="57"/>
        <v>0</v>
      </c>
      <c r="ELQ6" s="88">
        <f t="shared" si="57"/>
        <v>0</v>
      </c>
      <c r="ELR6" s="88">
        <f t="shared" si="57"/>
        <v>0</v>
      </c>
      <c r="ELS6" s="88">
        <f t="shared" si="57"/>
        <v>0</v>
      </c>
      <c r="ELT6" s="88">
        <f t="shared" si="57"/>
        <v>0</v>
      </c>
      <c r="ELU6" s="88">
        <f t="shared" si="57"/>
        <v>0</v>
      </c>
      <c r="ELV6" s="88">
        <f t="shared" si="57"/>
        <v>0</v>
      </c>
      <c r="ELW6" s="88">
        <f t="shared" si="57"/>
        <v>0</v>
      </c>
      <c r="ELX6" s="88">
        <f t="shared" si="57"/>
        <v>0</v>
      </c>
      <c r="ELY6" s="88">
        <f t="shared" si="57"/>
        <v>0</v>
      </c>
      <c r="ELZ6" s="88">
        <f t="shared" si="57"/>
        <v>0</v>
      </c>
      <c r="EMA6" s="88">
        <f t="shared" si="57"/>
        <v>0</v>
      </c>
      <c r="EMB6" s="88">
        <f t="shared" si="57"/>
        <v>0</v>
      </c>
      <c r="EMC6" s="88">
        <f t="shared" si="57"/>
        <v>0</v>
      </c>
      <c r="EMD6" s="88">
        <f t="shared" si="57"/>
        <v>0</v>
      </c>
      <c r="EME6" s="88">
        <f t="shared" si="57"/>
        <v>0</v>
      </c>
      <c r="EMF6" s="88">
        <f t="shared" ref="EMF6:EOQ6" si="58">SUM(EMG3:EMG5)</f>
        <v>0</v>
      </c>
      <c r="EMG6" s="88">
        <f t="shared" si="58"/>
        <v>0</v>
      </c>
      <c r="EMH6" s="88">
        <f t="shared" si="58"/>
        <v>0</v>
      </c>
      <c r="EMI6" s="88">
        <f t="shared" si="58"/>
        <v>0</v>
      </c>
      <c r="EMJ6" s="88">
        <f t="shared" si="58"/>
        <v>0</v>
      </c>
      <c r="EMK6" s="88">
        <f t="shared" si="58"/>
        <v>0</v>
      </c>
      <c r="EML6" s="88">
        <f t="shared" si="58"/>
        <v>0</v>
      </c>
      <c r="EMM6" s="88">
        <f t="shared" si="58"/>
        <v>0</v>
      </c>
      <c r="EMN6" s="88">
        <f t="shared" si="58"/>
        <v>0</v>
      </c>
      <c r="EMO6" s="88">
        <f t="shared" si="58"/>
        <v>0</v>
      </c>
      <c r="EMP6" s="88">
        <f t="shared" si="58"/>
        <v>0</v>
      </c>
      <c r="EMQ6" s="88">
        <f t="shared" si="58"/>
        <v>0</v>
      </c>
      <c r="EMR6" s="88">
        <f t="shared" si="58"/>
        <v>0</v>
      </c>
      <c r="EMS6" s="88">
        <f t="shared" si="58"/>
        <v>0</v>
      </c>
      <c r="EMT6" s="88">
        <f t="shared" si="58"/>
        <v>0</v>
      </c>
      <c r="EMU6" s="88">
        <f t="shared" si="58"/>
        <v>0</v>
      </c>
      <c r="EMV6" s="88">
        <f t="shared" si="58"/>
        <v>0</v>
      </c>
      <c r="EMW6" s="88">
        <f t="shared" si="58"/>
        <v>0</v>
      </c>
      <c r="EMX6" s="88">
        <f t="shared" si="58"/>
        <v>0</v>
      </c>
      <c r="EMY6" s="88">
        <f t="shared" si="58"/>
        <v>0</v>
      </c>
      <c r="EMZ6" s="88">
        <f t="shared" si="58"/>
        <v>0</v>
      </c>
      <c r="ENA6" s="88">
        <f t="shared" si="58"/>
        <v>0</v>
      </c>
      <c r="ENB6" s="88">
        <f t="shared" si="58"/>
        <v>0</v>
      </c>
      <c r="ENC6" s="88">
        <f t="shared" si="58"/>
        <v>0</v>
      </c>
      <c r="END6" s="88">
        <f t="shared" si="58"/>
        <v>0</v>
      </c>
      <c r="ENE6" s="88">
        <f t="shared" si="58"/>
        <v>0</v>
      </c>
      <c r="ENF6" s="88">
        <f t="shared" si="58"/>
        <v>0</v>
      </c>
      <c r="ENG6" s="88">
        <f t="shared" si="58"/>
        <v>0</v>
      </c>
      <c r="ENH6" s="88">
        <f t="shared" si="58"/>
        <v>0</v>
      </c>
      <c r="ENI6" s="88">
        <f t="shared" si="58"/>
        <v>0</v>
      </c>
      <c r="ENJ6" s="88">
        <f t="shared" si="58"/>
        <v>0</v>
      </c>
      <c r="ENK6" s="88">
        <f t="shared" si="58"/>
        <v>0</v>
      </c>
      <c r="ENL6" s="88">
        <f t="shared" si="58"/>
        <v>0</v>
      </c>
      <c r="ENM6" s="88">
        <f t="shared" si="58"/>
        <v>0</v>
      </c>
      <c r="ENN6" s="88">
        <f t="shared" si="58"/>
        <v>0</v>
      </c>
      <c r="ENO6" s="88">
        <f t="shared" si="58"/>
        <v>0</v>
      </c>
      <c r="ENP6" s="88">
        <f t="shared" si="58"/>
        <v>0</v>
      </c>
      <c r="ENQ6" s="88">
        <f t="shared" si="58"/>
        <v>0</v>
      </c>
      <c r="ENR6" s="88">
        <f t="shared" si="58"/>
        <v>0</v>
      </c>
      <c r="ENS6" s="88">
        <f t="shared" si="58"/>
        <v>0</v>
      </c>
      <c r="ENT6" s="88">
        <f t="shared" si="58"/>
        <v>0</v>
      </c>
      <c r="ENU6" s="88">
        <f t="shared" si="58"/>
        <v>0</v>
      </c>
      <c r="ENV6" s="88">
        <f t="shared" si="58"/>
        <v>0</v>
      </c>
      <c r="ENW6" s="88">
        <f t="shared" si="58"/>
        <v>0</v>
      </c>
      <c r="ENX6" s="88">
        <f t="shared" si="58"/>
        <v>0</v>
      </c>
      <c r="ENY6" s="88">
        <f t="shared" si="58"/>
        <v>0</v>
      </c>
      <c r="ENZ6" s="88">
        <f t="shared" si="58"/>
        <v>0</v>
      </c>
      <c r="EOA6" s="88">
        <f t="shared" si="58"/>
        <v>0</v>
      </c>
      <c r="EOB6" s="88">
        <f t="shared" si="58"/>
        <v>0</v>
      </c>
      <c r="EOC6" s="88">
        <f t="shared" si="58"/>
        <v>0</v>
      </c>
      <c r="EOD6" s="88">
        <f t="shared" si="58"/>
        <v>0</v>
      </c>
      <c r="EOE6" s="88">
        <f t="shared" si="58"/>
        <v>0</v>
      </c>
      <c r="EOF6" s="88">
        <f t="shared" si="58"/>
        <v>0</v>
      </c>
      <c r="EOG6" s="88">
        <f t="shared" si="58"/>
        <v>0</v>
      </c>
      <c r="EOH6" s="88">
        <f t="shared" si="58"/>
        <v>0</v>
      </c>
      <c r="EOI6" s="88">
        <f t="shared" si="58"/>
        <v>0</v>
      </c>
      <c r="EOJ6" s="88">
        <f t="shared" si="58"/>
        <v>0</v>
      </c>
      <c r="EOK6" s="88">
        <f t="shared" si="58"/>
        <v>0</v>
      </c>
      <c r="EOL6" s="88">
        <f t="shared" si="58"/>
        <v>0</v>
      </c>
      <c r="EOM6" s="88">
        <f t="shared" si="58"/>
        <v>0</v>
      </c>
      <c r="EON6" s="88">
        <f t="shared" si="58"/>
        <v>0</v>
      </c>
      <c r="EOO6" s="88">
        <f t="shared" si="58"/>
        <v>0</v>
      </c>
      <c r="EOP6" s="88">
        <f t="shared" si="58"/>
        <v>0</v>
      </c>
      <c r="EOQ6" s="88">
        <f t="shared" si="58"/>
        <v>0</v>
      </c>
      <c r="EOR6" s="88">
        <f t="shared" ref="EOR6:ERC6" si="59">SUM(EOS3:EOS5)</f>
        <v>0</v>
      </c>
      <c r="EOS6" s="88">
        <f t="shared" si="59"/>
        <v>0</v>
      </c>
      <c r="EOT6" s="88">
        <f t="shared" si="59"/>
        <v>0</v>
      </c>
      <c r="EOU6" s="88">
        <f t="shared" si="59"/>
        <v>0</v>
      </c>
      <c r="EOV6" s="88">
        <f t="shared" si="59"/>
        <v>0</v>
      </c>
      <c r="EOW6" s="88">
        <f t="shared" si="59"/>
        <v>0</v>
      </c>
      <c r="EOX6" s="88">
        <f t="shared" si="59"/>
        <v>0</v>
      </c>
      <c r="EOY6" s="88">
        <f t="shared" si="59"/>
        <v>0</v>
      </c>
      <c r="EOZ6" s="88">
        <f t="shared" si="59"/>
        <v>0</v>
      </c>
      <c r="EPA6" s="88">
        <f t="shared" si="59"/>
        <v>0</v>
      </c>
      <c r="EPB6" s="88">
        <f t="shared" si="59"/>
        <v>0</v>
      </c>
      <c r="EPC6" s="88">
        <f t="shared" si="59"/>
        <v>0</v>
      </c>
      <c r="EPD6" s="88">
        <f t="shared" si="59"/>
        <v>0</v>
      </c>
      <c r="EPE6" s="88">
        <f t="shared" si="59"/>
        <v>0</v>
      </c>
      <c r="EPF6" s="88">
        <f t="shared" si="59"/>
        <v>0</v>
      </c>
      <c r="EPG6" s="88">
        <f t="shared" si="59"/>
        <v>0</v>
      </c>
      <c r="EPH6" s="88">
        <f t="shared" si="59"/>
        <v>0</v>
      </c>
      <c r="EPI6" s="88">
        <f t="shared" si="59"/>
        <v>0</v>
      </c>
      <c r="EPJ6" s="88">
        <f t="shared" si="59"/>
        <v>0</v>
      </c>
      <c r="EPK6" s="88">
        <f t="shared" si="59"/>
        <v>0</v>
      </c>
      <c r="EPL6" s="88">
        <f t="shared" si="59"/>
        <v>0</v>
      </c>
      <c r="EPM6" s="88">
        <f t="shared" si="59"/>
        <v>0</v>
      </c>
      <c r="EPN6" s="88">
        <f t="shared" si="59"/>
        <v>0</v>
      </c>
      <c r="EPO6" s="88">
        <f t="shared" si="59"/>
        <v>0</v>
      </c>
      <c r="EPP6" s="88">
        <f t="shared" si="59"/>
        <v>0</v>
      </c>
      <c r="EPQ6" s="88">
        <f t="shared" si="59"/>
        <v>0</v>
      </c>
      <c r="EPR6" s="88">
        <f t="shared" si="59"/>
        <v>0</v>
      </c>
      <c r="EPS6" s="88">
        <f t="shared" si="59"/>
        <v>0</v>
      </c>
      <c r="EPT6" s="88">
        <f t="shared" si="59"/>
        <v>0</v>
      </c>
      <c r="EPU6" s="88">
        <f t="shared" si="59"/>
        <v>0</v>
      </c>
      <c r="EPV6" s="88">
        <f t="shared" si="59"/>
        <v>0</v>
      </c>
      <c r="EPW6" s="88">
        <f t="shared" si="59"/>
        <v>0</v>
      </c>
      <c r="EPX6" s="88">
        <f t="shared" si="59"/>
        <v>0</v>
      </c>
      <c r="EPY6" s="88">
        <f t="shared" si="59"/>
        <v>0</v>
      </c>
      <c r="EPZ6" s="88">
        <f t="shared" si="59"/>
        <v>0</v>
      </c>
      <c r="EQA6" s="88">
        <f t="shared" si="59"/>
        <v>0</v>
      </c>
      <c r="EQB6" s="88">
        <f t="shared" si="59"/>
        <v>0</v>
      </c>
      <c r="EQC6" s="88">
        <f t="shared" si="59"/>
        <v>0</v>
      </c>
      <c r="EQD6" s="88">
        <f t="shared" si="59"/>
        <v>0</v>
      </c>
      <c r="EQE6" s="88">
        <f t="shared" si="59"/>
        <v>0</v>
      </c>
      <c r="EQF6" s="88">
        <f t="shared" si="59"/>
        <v>0</v>
      </c>
      <c r="EQG6" s="88">
        <f t="shared" si="59"/>
        <v>0</v>
      </c>
      <c r="EQH6" s="88">
        <f t="shared" si="59"/>
        <v>0</v>
      </c>
      <c r="EQI6" s="88">
        <f t="shared" si="59"/>
        <v>0</v>
      </c>
      <c r="EQJ6" s="88">
        <f t="shared" si="59"/>
        <v>0</v>
      </c>
      <c r="EQK6" s="88">
        <f t="shared" si="59"/>
        <v>0</v>
      </c>
      <c r="EQL6" s="88">
        <f t="shared" si="59"/>
        <v>0</v>
      </c>
      <c r="EQM6" s="88">
        <f t="shared" si="59"/>
        <v>0</v>
      </c>
      <c r="EQN6" s="88">
        <f t="shared" si="59"/>
        <v>0</v>
      </c>
      <c r="EQO6" s="88">
        <f t="shared" si="59"/>
        <v>0</v>
      </c>
      <c r="EQP6" s="88">
        <f t="shared" si="59"/>
        <v>0</v>
      </c>
      <c r="EQQ6" s="88">
        <f t="shared" si="59"/>
        <v>0</v>
      </c>
      <c r="EQR6" s="88">
        <f t="shared" si="59"/>
        <v>0</v>
      </c>
      <c r="EQS6" s="88">
        <f t="shared" si="59"/>
        <v>0</v>
      </c>
      <c r="EQT6" s="88">
        <f t="shared" si="59"/>
        <v>0</v>
      </c>
      <c r="EQU6" s="88">
        <f t="shared" si="59"/>
        <v>0</v>
      </c>
      <c r="EQV6" s="88">
        <f t="shared" si="59"/>
        <v>0</v>
      </c>
      <c r="EQW6" s="88">
        <f t="shared" si="59"/>
        <v>0</v>
      </c>
      <c r="EQX6" s="88">
        <f t="shared" si="59"/>
        <v>0</v>
      </c>
      <c r="EQY6" s="88">
        <f t="shared" si="59"/>
        <v>0</v>
      </c>
      <c r="EQZ6" s="88">
        <f t="shared" si="59"/>
        <v>0</v>
      </c>
      <c r="ERA6" s="88">
        <f t="shared" si="59"/>
        <v>0</v>
      </c>
      <c r="ERB6" s="88">
        <f t="shared" si="59"/>
        <v>0</v>
      </c>
      <c r="ERC6" s="88">
        <f t="shared" si="59"/>
        <v>0</v>
      </c>
      <c r="ERD6" s="88">
        <f t="shared" ref="ERD6:ETO6" si="60">SUM(ERE3:ERE5)</f>
        <v>0</v>
      </c>
      <c r="ERE6" s="88">
        <f t="shared" si="60"/>
        <v>0</v>
      </c>
      <c r="ERF6" s="88">
        <f t="shared" si="60"/>
        <v>0</v>
      </c>
      <c r="ERG6" s="88">
        <f t="shared" si="60"/>
        <v>0</v>
      </c>
      <c r="ERH6" s="88">
        <f t="shared" si="60"/>
        <v>0</v>
      </c>
      <c r="ERI6" s="88">
        <f t="shared" si="60"/>
        <v>0</v>
      </c>
      <c r="ERJ6" s="88">
        <f t="shared" si="60"/>
        <v>0</v>
      </c>
      <c r="ERK6" s="88">
        <f t="shared" si="60"/>
        <v>0</v>
      </c>
      <c r="ERL6" s="88">
        <f t="shared" si="60"/>
        <v>0</v>
      </c>
      <c r="ERM6" s="88">
        <f t="shared" si="60"/>
        <v>0</v>
      </c>
      <c r="ERN6" s="88">
        <f t="shared" si="60"/>
        <v>0</v>
      </c>
      <c r="ERO6" s="88">
        <f t="shared" si="60"/>
        <v>0</v>
      </c>
      <c r="ERP6" s="88">
        <f t="shared" si="60"/>
        <v>0</v>
      </c>
      <c r="ERQ6" s="88">
        <f t="shared" si="60"/>
        <v>0</v>
      </c>
      <c r="ERR6" s="88">
        <f t="shared" si="60"/>
        <v>0</v>
      </c>
      <c r="ERS6" s="88">
        <f t="shared" si="60"/>
        <v>0</v>
      </c>
      <c r="ERT6" s="88">
        <f t="shared" si="60"/>
        <v>0</v>
      </c>
      <c r="ERU6" s="88">
        <f t="shared" si="60"/>
        <v>0</v>
      </c>
      <c r="ERV6" s="88">
        <f t="shared" si="60"/>
        <v>0</v>
      </c>
      <c r="ERW6" s="88">
        <f t="shared" si="60"/>
        <v>0</v>
      </c>
      <c r="ERX6" s="88">
        <f t="shared" si="60"/>
        <v>0</v>
      </c>
      <c r="ERY6" s="88">
        <f t="shared" si="60"/>
        <v>0</v>
      </c>
      <c r="ERZ6" s="88">
        <f t="shared" si="60"/>
        <v>0</v>
      </c>
      <c r="ESA6" s="88">
        <f t="shared" si="60"/>
        <v>0</v>
      </c>
      <c r="ESB6" s="88">
        <f t="shared" si="60"/>
        <v>0</v>
      </c>
      <c r="ESC6" s="88">
        <f t="shared" si="60"/>
        <v>0</v>
      </c>
      <c r="ESD6" s="88">
        <f t="shared" si="60"/>
        <v>0</v>
      </c>
      <c r="ESE6" s="88">
        <f t="shared" si="60"/>
        <v>0</v>
      </c>
      <c r="ESF6" s="88">
        <f t="shared" si="60"/>
        <v>0</v>
      </c>
      <c r="ESG6" s="88">
        <f t="shared" si="60"/>
        <v>0</v>
      </c>
      <c r="ESH6" s="88">
        <f t="shared" si="60"/>
        <v>0</v>
      </c>
      <c r="ESI6" s="88">
        <f t="shared" si="60"/>
        <v>0</v>
      </c>
      <c r="ESJ6" s="88">
        <f t="shared" si="60"/>
        <v>0</v>
      </c>
      <c r="ESK6" s="88">
        <f t="shared" si="60"/>
        <v>0</v>
      </c>
      <c r="ESL6" s="88">
        <f t="shared" si="60"/>
        <v>0</v>
      </c>
      <c r="ESM6" s="88">
        <f t="shared" si="60"/>
        <v>0</v>
      </c>
      <c r="ESN6" s="88">
        <f t="shared" si="60"/>
        <v>0</v>
      </c>
      <c r="ESO6" s="88">
        <f t="shared" si="60"/>
        <v>0</v>
      </c>
      <c r="ESP6" s="88">
        <f t="shared" si="60"/>
        <v>0</v>
      </c>
      <c r="ESQ6" s="88">
        <f t="shared" si="60"/>
        <v>0</v>
      </c>
      <c r="ESR6" s="88">
        <f t="shared" si="60"/>
        <v>0</v>
      </c>
      <c r="ESS6" s="88">
        <f t="shared" si="60"/>
        <v>0</v>
      </c>
      <c r="EST6" s="88">
        <f t="shared" si="60"/>
        <v>0</v>
      </c>
      <c r="ESU6" s="88">
        <f t="shared" si="60"/>
        <v>0</v>
      </c>
      <c r="ESV6" s="88">
        <f t="shared" si="60"/>
        <v>0</v>
      </c>
      <c r="ESW6" s="88">
        <f t="shared" si="60"/>
        <v>0</v>
      </c>
      <c r="ESX6" s="88">
        <f t="shared" si="60"/>
        <v>0</v>
      </c>
      <c r="ESY6" s="88">
        <f t="shared" si="60"/>
        <v>0</v>
      </c>
      <c r="ESZ6" s="88">
        <f t="shared" si="60"/>
        <v>0</v>
      </c>
      <c r="ETA6" s="88">
        <f t="shared" si="60"/>
        <v>0</v>
      </c>
      <c r="ETB6" s="88">
        <f t="shared" si="60"/>
        <v>0</v>
      </c>
      <c r="ETC6" s="88">
        <f t="shared" si="60"/>
        <v>0</v>
      </c>
      <c r="ETD6" s="88">
        <f t="shared" si="60"/>
        <v>0</v>
      </c>
      <c r="ETE6" s="88">
        <f t="shared" si="60"/>
        <v>0</v>
      </c>
      <c r="ETF6" s="88">
        <f t="shared" si="60"/>
        <v>0</v>
      </c>
      <c r="ETG6" s="88">
        <f t="shared" si="60"/>
        <v>0</v>
      </c>
      <c r="ETH6" s="88">
        <f t="shared" si="60"/>
        <v>0</v>
      </c>
      <c r="ETI6" s="88">
        <f t="shared" si="60"/>
        <v>0</v>
      </c>
      <c r="ETJ6" s="88">
        <f t="shared" si="60"/>
        <v>0</v>
      </c>
      <c r="ETK6" s="88">
        <f t="shared" si="60"/>
        <v>0</v>
      </c>
      <c r="ETL6" s="88">
        <f t="shared" si="60"/>
        <v>0</v>
      </c>
      <c r="ETM6" s="88">
        <f t="shared" si="60"/>
        <v>0</v>
      </c>
      <c r="ETN6" s="88">
        <f t="shared" si="60"/>
        <v>0</v>
      </c>
      <c r="ETO6" s="88">
        <f t="shared" si="60"/>
        <v>0</v>
      </c>
      <c r="ETP6" s="88">
        <f t="shared" ref="ETP6:EWA6" si="61">SUM(ETQ3:ETQ5)</f>
        <v>0</v>
      </c>
      <c r="ETQ6" s="88">
        <f t="shared" si="61"/>
        <v>0</v>
      </c>
      <c r="ETR6" s="88">
        <f t="shared" si="61"/>
        <v>0</v>
      </c>
      <c r="ETS6" s="88">
        <f t="shared" si="61"/>
        <v>0</v>
      </c>
      <c r="ETT6" s="88">
        <f t="shared" si="61"/>
        <v>0</v>
      </c>
      <c r="ETU6" s="88">
        <f t="shared" si="61"/>
        <v>0</v>
      </c>
      <c r="ETV6" s="88">
        <f t="shared" si="61"/>
        <v>0</v>
      </c>
      <c r="ETW6" s="88">
        <f t="shared" si="61"/>
        <v>0</v>
      </c>
      <c r="ETX6" s="88">
        <f t="shared" si="61"/>
        <v>0</v>
      </c>
      <c r="ETY6" s="88">
        <f t="shared" si="61"/>
        <v>0</v>
      </c>
      <c r="ETZ6" s="88">
        <f t="shared" si="61"/>
        <v>0</v>
      </c>
      <c r="EUA6" s="88">
        <f t="shared" si="61"/>
        <v>0</v>
      </c>
      <c r="EUB6" s="88">
        <f t="shared" si="61"/>
        <v>0</v>
      </c>
      <c r="EUC6" s="88">
        <f t="shared" si="61"/>
        <v>0</v>
      </c>
      <c r="EUD6" s="88">
        <f t="shared" si="61"/>
        <v>0</v>
      </c>
      <c r="EUE6" s="88">
        <f t="shared" si="61"/>
        <v>0</v>
      </c>
      <c r="EUF6" s="88">
        <f t="shared" si="61"/>
        <v>0</v>
      </c>
      <c r="EUG6" s="88">
        <f t="shared" si="61"/>
        <v>0</v>
      </c>
      <c r="EUH6" s="88">
        <f t="shared" si="61"/>
        <v>0</v>
      </c>
      <c r="EUI6" s="88">
        <f t="shared" si="61"/>
        <v>0</v>
      </c>
      <c r="EUJ6" s="88">
        <f t="shared" si="61"/>
        <v>0</v>
      </c>
      <c r="EUK6" s="88">
        <f t="shared" si="61"/>
        <v>0</v>
      </c>
      <c r="EUL6" s="88">
        <f t="shared" si="61"/>
        <v>0</v>
      </c>
      <c r="EUM6" s="88">
        <f t="shared" si="61"/>
        <v>0</v>
      </c>
      <c r="EUN6" s="88">
        <f t="shared" si="61"/>
        <v>0</v>
      </c>
      <c r="EUO6" s="88">
        <f t="shared" si="61"/>
        <v>0</v>
      </c>
      <c r="EUP6" s="88">
        <f t="shared" si="61"/>
        <v>0</v>
      </c>
      <c r="EUQ6" s="88">
        <f t="shared" si="61"/>
        <v>0</v>
      </c>
      <c r="EUR6" s="88">
        <f t="shared" si="61"/>
        <v>0</v>
      </c>
      <c r="EUS6" s="88">
        <f t="shared" si="61"/>
        <v>0</v>
      </c>
      <c r="EUT6" s="88">
        <f t="shared" si="61"/>
        <v>0</v>
      </c>
      <c r="EUU6" s="88">
        <f t="shared" si="61"/>
        <v>0</v>
      </c>
      <c r="EUV6" s="88">
        <f t="shared" si="61"/>
        <v>0</v>
      </c>
      <c r="EUW6" s="88">
        <f t="shared" si="61"/>
        <v>0</v>
      </c>
      <c r="EUX6" s="88">
        <f t="shared" si="61"/>
        <v>0</v>
      </c>
      <c r="EUY6" s="88">
        <f t="shared" si="61"/>
        <v>0</v>
      </c>
      <c r="EUZ6" s="88">
        <f t="shared" si="61"/>
        <v>0</v>
      </c>
      <c r="EVA6" s="88">
        <f t="shared" si="61"/>
        <v>0</v>
      </c>
      <c r="EVB6" s="88">
        <f t="shared" si="61"/>
        <v>0</v>
      </c>
      <c r="EVC6" s="88">
        <f t="shared" si="61"/>
        <v>0</v>
      </c>
      <c r="EVD6" s="88">
        <f t="shared" si="61"/>
        <v>0</v>
      </c>
      <c r="EVE6" s="88">
        <f t="shared" si="61"/>
        <v>0</v>
      </c>
      <c r="EVF6" s="88">
        <f t="shared" si="61"/>
        <v>0</v>
      </c>
      <c r="EVG6" s="88">
        <f t="shared" si="61"/>
        <v>0</v>
      </c>
      <c r="EVH6" s="88">
        <f t="shared" si="61"/>
        <v>0</v>
      </c>
      <c r="EVI6" s="88">
        <f t="shared" si="61"/>
        <v>0</v>
      </c>
      <c r="EVJ6" s="88">
        <f t="shared" si="61"/>
        <v>0</v>
      </c>
      <c r="EVK6" s="88">
        <f t="shared" si="61"/>
        <v>0</v>
      </c>
      <c r="EVL6" s="88">
        <f t="shared" si="61"/>
        <v>0</v>
      </c>
      <c r="EVM6" s="88">
        <f t="shared" si="61"/>
        <v>0</v>
      </c>
      <c r="EVN6" s="88">
        <f t="shared" si="61"/>
        <v>0</v>
      </c>
      <c r="EVO6" s="88">
        <f t="shared" si="61"/>
        <v>0</v>
      </c>
      <c r="EVP6" s="88">
        <f t="shared" si="61"/>
        <v>0</v>
      </c>
      <c r="EVQ6" s="88">
        <f t="shared" si="61"/>
        <v>0</v>
      </c>
      <c r="EVR6" s="88">
        <f t="shared" si="61"/>
        <v>0</v>
      </c>
      <c r="EVS6" s="88">
        <f t="shared" si="61"/>
        <v>0</v>
      </c>
      <c r="EVT6" s="88">
        <f t="shared" si="61"/>
        <v>0</v>
      </c>
      <c r="EVU6" s="88">
        <f t="shared" si="61"/>
        <v>0</v>
      </c>
      <c r="EVV6" s="88">
        <f t="shared" si="61"/>
        <v>0</v>
      </c>
      <c r="EVW6" s="88">
        <f t="shared" si="61"/>
        <v>0</v>
      </c>
      <c r="EVX6" s="88">
        <f t="shared" si="61"/>
        <v>0</v>
      </c>
      <c r="EVY6" s="88">
        <f t="shared" si="61"/>
        <v>0</v>
      </c>
      <c r="EVZ6" s="88">
        <f t="shared" si="61"/>
        <v>0</v>
      </c>
      <c r="EWA6" s="88">
        <f t="shared" si="61"/>
        <v>0</v>
      </c>
      <c r="EWB6" s="88">
        <f t="shared" ref="EWB6:EYM6" si="62">SUM(EWC3:EWC5)</f>
        <v>0</v>
      </c>
      <c r="EWC6" s="88">
        <f t="shared" si="62"/>
        <v>0</v>
      </c>
      <c r="EWD6" s="88">
        <f t="shared" si="62"/>
        <v>0</v>
      </c>
      <c r="EWE6" s="88">
        <f t="shared" si="62"/>
        <v>0</v>
      </c>
      <c r="EWF6" s="88">
        <f t="shared" si="62"/>
        <v>0</v>
      </c>
      <c r="EWG6" s="88">
        <f t="shared" si="62"/>
        <v>0</v>
      </c>
      <c r="EWH6" s="88">
        <f t="shared" si="62"/>
        <v>0</v>
      </c>
      <c r="EWI6" s="88">
        <f t="shared" si="62"/>
        <v>0</v>
      </c>
      <c r="EWJ6" s="88">
        <f t="shared" si="62"/>
        <v>0</v>
      </c>
      <c r="EWK6" s="88">
        <f t="shared" si="62"/>
        <v>0</v>
      </c>
      <c r="EWL6" s="88">
        <f t="shared" si="62"/>
        <v>0</v>
      </c>
      <c r="EWM6" s="88">
        <f t="shared" si="62"/>
        <v>0</v>
      </c>
      <c r="EWN6" s="88">
        <f t="shared" si="62"/>
        <v>0</v>
      </c>
      <c r="EWO6" s="88">
        <f t="shared" si="62"/>
        <v>0</v>
      </c>
      <c r="EWP6" s="88">
        <f t="shared" si="62"/>
        <v>0</v>
      </c>
      <c r="EWQ6" s="88">
        <f t="shared" si="62"/>
        <v>0</v>
      </c>
      <c r="EWR6" s="88">
        <f t="shared" si="62"/>
        <v>0</v>
      </c>
      <c r="EWS6" s="88">
        <f t="shared" si="62"/>
        <v>0</v>
      </c>
      <c r="EWT6" s="88">
        <f t="shared" si="62"/>
        <v>0</v>
      </c>
      <c r="EWU6" s="88">
        <f t="shared" si="62"/>
        <v>0</v>
      </c>
      <c r="EWV6" s="88">
        <f t="shared" si="62"/>
        <v>0</v>
      </c>
      <c r="EWW6" s="88">
        <f t="shared" si="62"/>
        <v>0</v>
      </c>
      <c r="EWX6" s="88">
        <f t="shared" si="62"/>
        <v>0</v>
      </c>
      <c r="EWY6" s="88">
        <f t="shared" si="62"/>
        <v>0</v>
      </c>
      <c r="EWZ6" s="88">
        <f t="shared" si="62"/>
        <v>0</v>
      </c>
      <c r="EXA6" s="88">
        <f t="shared" si="62"/>
        <v>0</v>
      </c>
      <c r="EXB6" s="88">
        <f t="shared" si="62"/>
        <v>0</v>
      </c>
      <c r="EXC6" s="88">
        <f t="shared" si="62"/>
        <v>0</v>
      </c>
      <c r="EXD6" s="88">
        <f t="shared" si="62"/>
        <v>0</v>
      </c>
      <c r="EXE6" s="88">
        <f t="shared" si="62"/>
        <v>0</v>
      </c>
      <c r="EXF6" s="88">
        <f t="shared" si="62"/>
        <v>0</v>
      </c>
      <c r="EXG6" s="88">
        <f t="shared" si="62"/>
        <v>0</v>
      </c>
      <c r="EXH6" s="88">
        <f t="shared" si="62"/>
        <v>0</v>
      </c>
      <c r="EXI6" s="88">
        <f t="shared" si="62"/>
        <v>0</v>
      </c>
      <c r="EXJ6" s="88">
        <f t="shared" si="62"/>
        <v>0</v>
      </c>
      <c r="EXK6" s="88">
        <f t="shared" si="62"/>
        <v>0</v>
      </c>
      <c r="EXL6" s="88">
        <f t="shared" si="62"/>
        <v>0</v>
      </c>
      <c r="EXM6" s="88">
        <f t="shared" si="62"/>
        <v>0</v>
      </c>
      <c r="EXN6" s="88">
        <f t="shared" si="62"/>
        <v>0</v>
      </c>
      <c r="EXO6" s="88">
        <f t="shared" si="62"/>
        <v>0</v>
      </c>
      <c r="EXP6" s="88">
        <f t="shared" si="62"/>
        <v>0</v>
      </c>
      <c r="EXQ6" s="88">
        <f t="shared" si="62"/>
        <v>0</v>
      </c>
      <c r="EXR6" s="88">
        <f t="shared" si="62"/>
        <v>0</v>
      </c>
      <c r="EXS6" s="88">
        <f t="shared" si="62"/>
        <v>0</v>
      </c>
      <c r="EXT6" s="88">
        <f t="shared" si="62"/>
        <v>0</v>
      </c>
      <c r="EXU6" s="88">
        <f t="shared" si="62"/>
        <v>0</v>
      </c>
      <c r="EXV6" s="88">
        <f t="shared" si="62"/>
        <v>0</v>
      </c>
      <c r="EXW6" s="88">
        <f t="shared" si="62"/>
        <v>0</v>
      </c>
      <c r="EXX6" s="88">
        <f t="shared" si="62"/>
        <v>0</v>
      </c>
      <c r="EXY6" s="88">
        <f t="shared" si="62"/>
        <v>0</v>
      </c>
      <c r="EXZ6" s="88">
        <f t="shared" si="62"/>
        <v>0</v>
      </c>
      <c r="EYA6" s="88">
        <f t="shared" si="62"/>
        <v>0</v>
      </c>
      <c r="EYB6" s="88">
        <f t="shared" si="62"/>
        <v>0</v>
      </c>
      <c r="EYC6" s="88">
        <f t="shared" si="62"/>
        <v>0</v>
      </c>
      <c r="EYD6" s="88">
        <f t="shared" si="62"/>
        <v>0</v>
      </c>
      <c r="EYE6" s="88">
        <f t="shared" si="62"/>
        <v>0</v>
      </c>
      <c r="EYF6" s="88">
        <f t="shared" si="62"/>
        <v>0</v>
      </c>
      <c r="EYG6" s="88">
        <f t="shared" si="62"/>
        <v>0</v>
      </c>
      <c r="EYH6" s="88">
        <f t="shared" si="62"/>
        <v>0</v>
      </c>
      <c r="EYI6" s="88">
        <f t="shared" si="62"/>
        <v>0</v>
      </c>
      <c r="EYJ6" s="88">
        <f t="shared" si="62"/>
        <v>0</v>
      </c>
      <c r="EYK6" s="88">
        <f t="shared" si="62"/>
        <v>0</v>
      </c>
      <c r="EYL6" s="88">
        <f t="shared" si="62"/>
        <v>0</v>
      </c>
      <c r="EYM6" s="88">
        <f t="shared" si="62"/>
        <v>0</v>
      </c>
      <c r="EYN6" s="88">
        <f t="shared" ref="EYN6:FAY6" si="63">SUM(EYO3:EYO5)</f>
        <v>0</v>
      </c>
      <c r="EYO6" s="88">
        <f t="shared" si="63"/>
        <v>0</v>
      </c>
      <c r="EYP6" s="88">
        <f t="shared" si="63"/>
        <v>0</v>
      </c>
      <c r="EYQ6" s="88">
        <f t="shared" si="63"/>
        <v>0</v>
      </c>
      <c r="EYR6" s="88">
        <f t="shared" si="63"/>
        <v>0</v>
      </c>
      <c r="EYS6" s="88">
        <f t="shared" si="63"/>
        <v>0</v>
      </c>
      <c r="EYT6" s="88">
        <f t="shared" si="63"/>
        <v>0</v>
      </c>
      <c r="EYU6" s="88">
        <f t="shared" si="63"/>
        <v>0</v>
      </c>
      <c r="EYV6" s="88">
        <f t="shared" si="63"/>
        <v>0</v>
      </c>
      <c r="EYW6" s="88">
        <f t="shared" si="63"/>
        <v>0</v>
      </c>
      <c r="EYX6" s="88">
        <f t="shared" si="63"/>
        <v>0</v>
      </c>
      <c r="EYY6" s="88">
        <f t="shared" si="63"/>
        <v>0</v>
      </c>
      <c r="EYZ6" s="88">
        <f t="shared" si="63"/>
        <v>0</v>
      </c>
      <c r="EZA6" s="88">
        <f t="shared" si="63"/>
        <v>0</v>
      </c>
      <c r="EZB6" s="88">
        <f t="shared" si="63"/>
        <v>0</v>
      </c>
      <c r="EZC6" s="88">
        <f t="shared" si="63"/>
        <v>0</v>
      </c>
      <c r="EZD6" s="88">
        <f t="shared" si="63"/>
        <v>0</v>
      </c>
      <c r="EZE6" s="88">
        <f t="shared" si="63"/>
        <v>0</v>
      </c>
      <c r="EZF6" s="88">
        <f t="shared" si="63"/>
        <v>0</v>
      </c>
      <c r="EZG6" s="88">
        <f t="shared" si="63"/>
        <v>0</v>
      </c>
      <c r="EZH6" s="88">
        <f t="shared" si="63"/>
        <v>0</v>
      </c>
      <c r="EZI6" s="88">
        <f t="shared" si="63"/>
        <v>0</v>
      </c>
      <c r="EZJ6" s="88">
        <f t="shared" si="63"/>
        <v>0</v>
      </c>
      <c r="EZK6" s="88">
        <f t="shared" si="63"/>
        <v>0</v>
      </c>
      <c r="EZL6" s="88">
        <f t="shared" si="63"/>
        <v>0</v>
      </c>
      <c r="EZM6" s="88">
        <f t="shared" si="63"/>
        <v>0</v>
      </c>
      <c r="EZN6" s="88">
        <f t="shared" si="63"/>
        <v>0</v>
      </c>
      <c r="EZO6" s="88">
        <f t="shared" si="63"/>
        <v>0</v>
      </c>
      <c r="EZP6" s="88">
        <f t="shared" si="63"/>
        <v>0</v>
      </c>
      <c r="EZQ6" s="88">
        <f t="shared" si="63"/>
        <v>0</v>
      </c>
      <c r="EZR6" s="88">
        <f t="shared" si="63"/>
        <v>0</v>
      </c>
      <c r="EZS6" s="88">
        <f t="shared" si="63"/>
        <v>0</v>
      </c>
      <c r="EZT6" s="88">
        <f t="shared" si="63"/>
        <v>0</v>
      </c>
      <c r="EZU6" s="88">
        <f t="shared" si="63"/>
        <v>0</v>
      </c>
      <c r="EZV6" s="88">
        <f t="shared" si="63"/>
        <v>0</v>
      </c>
      <c r="EZW6" s="88">
        <f t="shared" si="63"/>
        <v>0</v>
      </c>
      <c r="EZX6" s="88">
        <f t="shared" si="63"/>
        <v>0</v>
      </c>
      <c r="EZY6" s="88">
        <f t="shared" si="63"/>
        <v>0</v>
      </c>
      <c r="EZZ6" s="88">
        <f t="shared" si="63"/>
        <v>0</v>
      </c>
      <c r="FAA6" s="88">
        <f t="shared" si="63"/>
        <v>0</v>
      </c>
      <c r="FAB6" s="88">
        <f t="shared" si="63"/>
        <v>0</v>
      </c>
      <c r="FAC6" s="88">
        <f t="shared" si="63"/>
        <v>0</v>
      </c>
      <c r="FAD6" s="88">
        <f t="shared" si="63"/>
        <v>0</v>
      </c>
      <c r="FAE6" s="88">
        <f t="shared" si="63"/>
        <v>0</v>
      </c>
      <c r="FAF6" s="88">
        <f t="shared" si="63"/>
        <v>0</v>
      </c>
      <c r="FAG6" s="88">
        <f t="shared" si="63"/>
        <v>0</v>
      </c>
      <c r="FAH6" s="88">
        <f t="shared" si="63"/>
        <v>0</v>
      </c>
      <c r="FAI6" s="88">
        <f t="shared" si="63"/>
        <v>0</v>
      </c>
      <c r="FAJ6" s="88">
        <f t="shared" si="63"/>
        <v>0</v>
      </c>
      <c r="FAK6" s="88">
        <f t="shared" si="63"/>
        <v>0</v>
      </c>
      <c r="FAL6" s="88">
        <f t="shared" si="63"/>
        <v>0</v>
      </c>
      <c r="FAM6" s="88">
        <f t="shared" si="63"/>
        <v>0</v>
      </c>
      <c r="FAN6" s="88">
        <f t="shared" si="63"/>
        <v>0</v>
      </c>
      <c r="FAO6" s="88">
        <f t="shared" si="63"/>
        <v>0</v>
      </c>
      <c r="FAP6" s="88">
        <f t="shared" si="63"/>
        <v>0</v>
      </c>
      <c r="FAQ6" s="88">
        <f t="shared" si="63"/>
        <v>0</v>
      </c>
      <c r="FAR6" s="88">
        <f t="shared" si="63"/>
        <v>0</v>
      </c>
      <c r="FAS6" s="88">
        <f t="shared" si="63"/>
        <v>0</v>
      </c>
      <c r="FAT6" s="88">
        <f t="shared" si="63"/>
        <v>0</v>
      </c>
      <c r="FAU6" s="88">
        <f t="shared" si="63"/>
        <v>0</v>
      </c>
      <c r="FAV6" s="88">
        <f t="shared" si="63"/>
        <v>0</v>
      </c>
      <c r="FAW6" s="88">
        <f t="shared" si="63"/>
        <v>0</v>
      </c>
      <c r="FAX6" s="88">
        <f t="shared" si="63"/>
        <v>0</v>
      </c>
      <c r="FAY6" s="88">
        <f t="shared" si="63"/>
        <v>0</v>
      </c>
      <c r="FAZ6" s="88">
        <f t="shared" ref="FAZ6:FDK6" si="64">SUM(FBA3:FBA5)</f>
        <v>0</v>
      </c>
      <c r="FBA6" s="88">
        <f t="shared" si="64"/>
        <v>0</v>
      </c>
      <c r="FBB6" s="88">
        <f t="shared" si="64"/>
        <v>0</v>
      </c>
      <c r="FBC6" s="88">
        <f t="shared" si="64"/>
        <v>0</v>
      </c>
      <c r="FBD6" s="88">
        <f t="shared" si="64"/>
        <v>0</v>
      </c>
      <c r="FBE6" s="88">
        <f t="shared" si="64"/>
        <v>0</v>
      </c>
      <c r="FBF6" s="88">
        <f t="shared" si="64"/>
        <v>0</v>
      </c>
      <c r="FBG6" s="88">
        <f t="shared" si="64"/>
        <v>0</v>
      </c>
      <c r="FBH6" s="88">
        <f t="shared" si="64"/>
        <v>0</v>
      </c>
      <c r="FBI6" s="88">
        <f t="shared" si="64"/>
        <v>0</v>
      </c>
      <c r="FBJ6" s="88">
        <f t="shared" si="64"/>
        <v>0</v>
      </c>
      <c r="FBK6" s="88">
        <f t="shared" si="64"/>
        <v>0</v>
      </c>
      <c r="FBL6" s="88">
        <f t="shared" si="64"/>
        <v>0</v>
      </c>
      <c r="FBM6" s="88">
        <f t="shared" si="64"/>
        <v>0</v>
      </c>
      <c r="FBN6" s="88">
        <f t="shared" si="64"/>
        <v>0</v>
      </c>
      <c r="FBO6" s="88">
        <f t="shared" si="64"/>
        <v>0</v>
      </c>
      <c r="FBP6" s="88">
        <f t="shared" si="64"/>
        <v>0</v>
      </c>
      <c r="FBQ6" s="88">
        <f t="shared" si="64"/>
        <v>0</v>
      </c>
      <c r="FBR6" s="88">
        <f t="shared" si="64"/>
        <v>0</v>
      </c>
      <c r="FBS6" s="88">
        <f t="shared" si="64"/>
        <v>0</v>
      </c>
      <c r="FBT6" s="88">
        <f t="shared" si="64"/>
        <v>0</v>
      </c>
      <c r="FBU6" s="88">
        <f t="shared" si="64"/>
        <v>0</v>
      </c>
      <c r="FBV6" s="88">
        <f t="shared" si="64"/>
        <v>0</v>
      </c>
      <c r="FBW6" s="88">
        <f t="shared" si="64"/>
        <v>0</v>
      </c>
      <c r="FBX6" s="88">
        <f t="shared" si="64"/>
        <v>0</v>
      </c>
      <c r="FBY6" s="88">
        <f t="shared" si="64"/>
        <v>0</v>
      </c>
      <c r="FBZ6" s="88">
        <f t="shared" si="64"/>
        <v>0</v>
      </c>
      <c r="FCA6" s="88">
        <f t="shared" si="64"/>
        <v>0</v>
      </c>
      <c r="FCB6" s="88">
        <f t="shared" si="64"/>
        <v>0</v>
      </c>
      <c r="FCC6" s="88">
        <f t="shared" si="64"/>
        <v>0</v>
      </c>
      <c r="FCD6" s="88">
        <f t="shared" si="64"/>
        <v>0</v>
      </c>
      <c r="FCE6" s="88">
        <f t="shared" si="64"/>
        <v>0</v>
      </c>
      <c r="FCF6" s="88">
        <f t="shared" si="64"/>
        <v>0</v>
      </c>
      <c r="FCG6" s="88">
        <f t="shared" si="64"/>
        <v>0</v>
      </c>
      <c r="FCH6" s="88">
        <f t="shared" si="64"/>
        <v>0</v>
      </c>
      <c r="FCI6" s="88">
        <f t="shared" si="64"/>
        <v>0</v>
      </c>
      <c r="FCJ6" s="88">
        <f t="shared" si="64"/>
        <v>0</v>
      </c>
      <c r="FCK6" s="88">
        <f t="shared" si="64"/>
        <v>0</v>
      </c>
      <c r="FCL6" s="88">
        <f t="shared" si="64"/>
        <v>0</v>
      </c>
      <c r="FCM6" s="88">
        <f t="shared" si="64"/>
        <v>0</v>
      </c>
      <c r="FCN6" s="88">
        <f t="shared" si="64"/>
        <v>0</v>
      </c>
      <c r="FCO6" s="88">
        <f t="shared" si="64"/>
        <v>0</v>
      </c>
      <c r="FCP6" s="88">
        <f t="shared" si="64"/>
        <v>0</v>
      </c>
      <c r="FCQ6" s="88">
        <f t="shared" si="64"/>
        <v>0</v>
      </c>
      <c r="FCR6" s="88">
        <f t="shared" si="64"/>
        <v>0</v>
      </c>
      <c r="FCS6" s="88">
        <f t="shared" si="64"/>
        <v>0</v>
      </c>
      <c r="FCT6" s="88">
        <f t="shared" si="64"/>
        <v>0</v>
      </c>
      <c r="FCU6" s="88">
        <f t="shared" si="64"/>
        <v>0</v>
      </c>
      <c r="FCV6" s="88">
        <f t="shared" si="64"/>
        <v>0</v>
      </c>
      <c r="FCW6" s="88">
        <f t="shared" si="64"/>
        <v>0</v>
      </c>
      <c r="FCX6" s="88">
        <f t="shared" si="64"/>
        <v>0</v>
      </c>
      <c r="FCY6" s="88">
        <f t="shared" si="64"/>
        <v>0</v>
      </c>
      <c r="FCZ6" s="88">
        <f t="shared" si="64"/>
        <v>0</v>
      </c>
      <c r="FDA6" s="88">
        <f t="shared" si="64"/>
        <v>0</v>
      </c>
      <c r="FDB6" s="88">
        <f t="shared" si="64"/>
        <v>0</v>
      </c>
      <c r="FDC6" s="88">
        <f t="shared" si="64"/>
        <v>0</v>
      </c>
      <c r="FDD6" s="88">
        <f t="shared" si="64"/>
        <v>0</v>
      </c>
      <c r="FDE6" s="88">
        <f t="shared" si="64"/>
        <v>0</v>
      </c>
      <c r="FDF6" s="88">
        <f t="shared" si="64"/>
        <v>0</v>
      </c>
      <c r="FDG6" s="88">
        <f t="shared" si="64"/>
        <v>0</v>
      </c>
      <c r="FDH6" s="88">
        <f t="shared" si="64"/>
        <v>0</v>
      </c>
      <c r="FDI6" s="88">
        <f t="shared" si="64"/>
        <v>0</v>
      </c>
      <c r="FDJ6" s="88">
        <f t="shared" si="64"/>
        <v>0</v>
      </c>
      <c r="FDK6" s="88">
        <f t="shared" si="64"/>
        <v>0</v>
      </c>
      <c r="FDL6" s="88">
        <f t="shared" ref="FDL6:FFW6" si="65">SUM(FDM3:FDM5)</f>
        <v>0</v>
      </c>
      <c r="FDM6" s="88">
        <f t="shared" si="65"/>
        <v>0</v>
      </c>
      <c r="FDN6" s="88">
        <f t="shared" si="65"/>
        <v>0</v>
      </c>
      <c r="FDO6" s="88">
        <f t="shared" si="65"/>
        <v>0</v>
      </c>
      <c r="FDP6" s="88">
        <f t="shared" si="65"/>
        <v>0</v>
      </c>
      <c r="FDQ6" s="88">
        <f t="shared" si="65"/>
        <v>0</v>
      </c>
      <c r="FDR6" s="88">
        <f t="shared" si="65"/>
        <v>0</v>
      </c>
      <c r="FDS6" s="88">
        <f t="shared" si="65"/>
        <v>0</v>
      </c>
      <c r="FDT6" s="88">
        <f t="shared" si="65"/>
        <v>0</v>
      </c>
      <c r="FDU6" s="88">
        <f t="shared" si="65"/>
        <v>0</v>
      </c>
      <c r="FDV6" s="88">
        <f t="shared" si="65"/>
        <v>0</v>
      </c>
      <c r="FDW6" s="88">
        <f t="shared" si="65"/>
        <v>0</v>
      </c>
      <c r="FDX6" s="88">
        <f t="shared" si="65"/>
        <v>0</v>
      </c>
      <c r="FDY6" s="88">
        <f t="shared" si="65"/>
        <v>0</v>
      </c>
      <c r="FDZ6" s="88">
        <f t="shared" si="65"/>
        <v>0</v>
      </c>
      <c r="FEA6" s="88">
        <f t="shared" si="65"/>
        <v>0</v>
      </c>
      <c r="FEB6" s="88">
        <f t="shared" si="65"/>
        <v>0</v>
      </c>
      <c r="FEC6" s="88">
        <f t="shared" si="65"/>
        <v>0</v>
      </c>
      <c r="FED6" s="88">
        <f t="shared" si="65"/>
        <v>0</v>
      </c>
      <c r="FEE6" s="88">
        <f t="shared" si="65"/>
        <v>0</v>
      </c>
      <c r="FEF6" s="88">
        <f t="shared" si="65"/>
        <v>0</v>
      </c>
      <c r="FEG6" s="88">
        <f t="shared" si="65"/>
        <v>0</v>
      </c>
      <c r="FEH6" s="88">
        <f t="shared" si="65"/>
        <v>0</v>
      </c>
      <c r="FEI6" s="88">
        <f t="shared" si="65"/>
        <v>0</v>
      </c>
      <c r="FEJ6" s="88">
        <f t="shared" si="65"/>
        <v>0</v>
      </c>
      <c r="FEK6" s="88">
        <f t="shared" si="65"/>
        <v>0</v>
      </c>
      <c r="FEL6" s="88">
        <f t="shared" si="65"/>
        <v>0</v>
      </c>
      <c r="FEM6" s="88">
        <f t="shared" si="65"/>
        <v>0</v>
      </c>
      <c r="FEN6" s="88">
        <f t="shared" si="65"/>
        <v>0</v>
      </c>
      <c r="FEO6" s="88">
        <f t="shared" si="65"/>
        <v>0</v>
      </c>
      <c r="FEP6" s="88">
        <f t="shared" si="65"/>
        <v>0</v>
      </c>
      <c r="FEQ6" s="88">
        <f t="shared" si="65"/>
        <v>0</v>
      </c>
      <c r="FER6" s="88">
        <f t="shared" si="65"/>
        <v>0</v>
      </c>
      <c r="FES6" s="88">
        <f t="shared" si="65"/>
        <v>0</v>
      </c>
      <c r="FET6" s="88">
        <f t="shared" si="65"/>
        <v>0</v>
      </c>
      <c r="FEU6" s="88">
        <f t="shared" si="65"/>
        <v>0</v>
      </c>
      <c r="FEV6" s="88">
        <f t="shared" si="65"/>
        <v>0</v>
      </c>
      <c r="FEW6" s="88">
        <f t="shared" si="65"/>
        <v>0</v>
      </c>
      <c r="FEX6" s="88">
        <f t="shared" si="65"/>
        <v>0</v>
      </c>
      <c r="FEY6" s="88">
        <f t="shared" si="65"/>
        <v>0</v>
      </c>
      <c r="FEZ6" s="88">
        <f t="shared" si="65"/>
        <v>0</v>
      </c>
      <c r="FFA6" s="88">
        <f t="shared" si="65"/>
        <v>0</v>
      </c>
      <c r="FFB6" s="88">
        <f t="shared" si="65"/>
        <v>0</v>
      </c>
      <c r="FFC6" s="88">
        <f t="shared" si="65"/>
        <v>0</v>
      </c>
      <c r="FFD6" s="88">
        <f t="shared" si="65"/>
        <v>0</v>
      </c>
      <c r="FFE6" s="88">
        <f t="shared" si="65"/>
        <v>0</v>
      </c>
      <c r="FFF6" s="88">
        <f t="shared" si="65"/>
        <v>0</v>
      </c>
      <c r="FFG6" s="88">
        <f t="shared" si="65"/>
        <v>0</v>
      </c>
      <c r="FFH6" s="88">
        <f t="shared" si="65"/>
        <v>0</v>
      </c>
      <c r="FFI6" s="88">
        <f t="shared" si="65"/>
        <v>0</v>
      </c>
      <c r="FFJ6" s="88">
        <f t="shared" si="65"/>
        <v>0</v>
      </c>
      <c r="FFK6" s="88">
        <f t="shared" si="65"/>
        <v>0</v>
      </c>
      <c r="FFL6" s="88">
        <f t="shared" si="65"/>
        <v>0</v>
      </c>
      <c r="FFM6" s="88">
        <f t="shared" si="65"/>
        <v>0</v>
      </c>
      <c r="FFN6" s="88">
        <f t="shared" si="65"/>
        <v>0</v>
      </c>
      <c r="FFO6" s="88">
        <f t="shared" si="65"/>
        <v>0</v>
      </c>
      <c r="FFP6" s="88">
        <f t="shared" si="65"/>
        <v>0</v>
      </c>
      <c r="FFQ6" s="88">
        <f t="shared" si="65"/>
        <v>0</v>
      </c>
      <c r="FFR6" s="88">
        <f t="shared" si="65"/>
        <v>0</v>
      </c>
      <c r="FFS6" s="88">
        <f t="shared" si="65"/>
        <v>0</v>
      </c>
      <c r="FFT6" s="88">
        <f t="shared" si="65"/>
        <v>0</v>
      </c>
      <c r="FFU6" s="88">
        <f t="shared" si="65"/>
        <v>0</v>
      </c>
      <c r="FFV6" s="88">
        <f t="shared" si="65"/>
        <v>0</v>
      </c>
      <c r="FFW6" s="88">
        <f t="shared" si="65"/>
        <v>0</v>
      </c>
      <c r="FFX6" s="88">
        <f t="shared" ref="FFX6:FII6" si="66">SUM(FFY3:FFY5)</f>
        <v>0</v>
      </c>
      <c r="FFY6" s="88">
        <f t="shared" si="66"/>
        <v>0</v>
      </c>
      <c r="FFZ6" s="88">
        <f t="shared" si="66"/>
        <v>0</v>
      </c>
      <c r="FGA6" s="88">
        <f t="shared" si="66"/>
        <v>0</v>
      </c>
      <c r="FGB6" s="88">
        <f t="shared" si="66"/>
        <v>0</v>
      </c>
      <c r="FGC6" s="88">
        <f t="shared" si="66"/>
        <v>0</v>
      </c>
      <c r="FGD6" s="88">
        <f t="shared" si="66"/>
        <v>0</v>
      </c>
      <c r="FGE6" s="88">
        <f t="shared" si="66"/>
        <v>0</v>
      </c>
      <c r="FGF6" s="88">
        <f t="shared" si="66"/>
        <v>0</v>
      </c>
      <c r="FGG6" s="88">
        <f t="shared" si="66"/>
        <v>0</v>
      </c>
      <c r="FGH6" s="88">
        <f t="shared" si="66"/>
        <v>0</v>
      </c>
      <c r="FGI6" s="88">
        <f t="shared" si="66"/>
        <v>0</v>
      </c>
      <c r="FGJ6" s="88">
        <f t="shared" si="66"/>
        <v>0</v>
      </c>
      <c r="FGK6" s="88">
        <f t="shared" si="66"/>
        <v>0</v>
      </c>
      <c r="FGL6" s="88">
        <f t="shared" si="66"/>
        <v>0</v>
      </c>
      <c r="FGM6" s="88">
        <f t="shared" si="66"/>
        <v>0</v>
      </c>
      <c r="FGN6" s="88">
        <f t="shared" si="66"/>
        <v>0</v>
      </c>
      <c r="FGO6" s="88">
        <f t="shared" si="66"/>
        <v>0</v>
      </c>
      <c r="FGP6" s="88">
        <f t="shared" si="66"/>
        <v>0</v>
      </c>
      <c r="FGQ6" s="88">
        <f t="shared" si="66"/>
        <v>0</v>
      </c>
      <c r="FGR6" s="88">
        <f t="shared" si="66"/>
        <v>0</v>
      </c>
      <c r="FGS6" s="88">
        <f t="shared" si="66"/>
        <v>0</v>
      </c>
      <c r="FGT6" s="88">
        <f t="shared" si="66"/>
        <v>0</v>
      </c>
      <c r="FGU6" s="88">
        <f t="shared" si="66"/>
        <v>0</v>
      </c>
      <c r="FGV6" s="88">
        <f t="shared" si="66"/>
        <v>0</v>
      </c>
      <c r="FGW6" s="88">
        <f t="shared" si="66"/>
        <v>0</v>
      </c>
      <c r="FGX6" s="88">
        <f t="shared" si="66"/>
        <v>0</v>
      </c>
      <c r="FGY6" s="88">
        <f t="shared" si="66"/>
        <v>0</v>
      </c>
      <c r="FGZ6" s="88">
        <f t="shared" si="66"/>
        <v>0</v>
      </c>
      <c r="FHA6" s="88">
        <f t="shared" si="66"/>
        <v>0</v>
      </c>
      <c r="FHB6" s="88">
        <f t="shared" si="66"/>
        <v>0</v>
      </c>
      <c r="FHC6" s="88">
        <f t="shared" si="66"/>
        <v>0</v>
      </c>
      <c r="FHD6" s="88">
        <f t="shared" si="66"/>
        <v>0</v>
      </c>
      <c r="FHE6" s="88">
        <f t="shared" si="66"/>
        <v>0</v>
      </c>
      <c r="FHF6" s="88">
        <f t="shared" si="66"/>
        <v>0</v>
      </c>
      <c r="FHG6" s="88">
        <f t="shared" si="66"/>
        <v>0</v>
      </c>
      <c r="FHH6" s="88">
        <f t="shared" si="66"/>
        <v>0</v>
      </c>
      <c r="FHI6" s="88">
        <f t="shared" si="66"/>
        <v>0</v>
      </c>
      <c r="FHJ6" s="88">
        <f t="shared" si="66"/>
        <v>0</v>
      </c>
      <c r="FHK6" s="88">
        <f t="shared" si="66"/>
        <v>0</v>
      </c>
      <c r="FHL6" s="88">
        <f t="shared" si="66"/>
        <v>0</v>
      </c>
      <c r="FHM6" s="88">
        <f t="shared" si="66"/>
        <v>0</v>
      </c>
      <c r="FHN6" s="88">
        <f t="shared" si="66"/>
        <v>0</v>
      </c>
      <c r="FHO6" s="88">
        <f t="shared" si="66"/>
        <v>0</v>
      </c>
      <c r="FHP6" s="88">
        <f t="shared" si="66"/>
        <v>0</v>
      </c>
      <c r="FHQ6" s="88">
        <f t="shared" si="66"/>
        <v>0</v>
      </c>
      <c r="FHR6" s="88">
        <f t="shared" si="66"/>
        <v>0</v>
      </c>
      <c r="FHS6" s="88">
        <f t="shared" si="66"/>
        <v>0</v>
      </c>
      <c r="FHT6" s="88">
        <f t="shared" si="66"/>
        <v>0</v>
      </c>
      <c r="FHU6" s="88">
        <f t="shared" si="66"/>
        <v>0</v>
      </c>
      <c r="FHV6" s="88">
        <f t="shared" si="66"/>
        <v>0</v>
      </c>
      <c r="FHW6" s="88">
        <f t="shared" si="66"/>
        <v>0</v>
      </c>
      <c r="FHX6" s="88">
        <f t="shared" si="66"/>
        <v>0</v>
      </c>
      <c r="FHY6" s="88">
        <f t="shared" si="66"/>
        <v>0</v>
      </c>
      <c r="FHZ6" s="88">
        <f t="shared" si="66"/>
        <v>0</v>
      </c>
      <c r="FIA6" s="88">
        <f t="shared" si="66"/>
        <v>0</v>
      </c>
      <c r="FIB6" s="88">
        <f t="shared" si="66"/>
        <v>0</v>
      </c>
      <c r="FIC6" s="88">
        <f t="shared" si="66"/>
        <v>0</v>
      </c>
      <c r="FID6" s="88">
        <f t="shared" si="66"/>
        <v>0</v>
      </c>
      <c r="FIE6" s="88">
        <f t="shared" si="66"/>
        <v>0</v>
      </c>
      <c r="FIF6" s="88">
        <f t="shared" si="66"/>
        <v>0</v>
      </c>
      <c r="FIG6" s="88">
        <f t="shared" si="66"/>
        <v>0</v>
      </c>
      <c r="FIH6" s="88">
        <f t="shared" si="66"/>
        <v>0</v>
      </c>
      <c r="FII6" s="88">
        <f t="shared" si="66"/>
        <v>0</v>
      </c>
      <c r="FIJ6" s="88">
        <f t="shared" ref="FIJ6:FKU6" si="67">SUM(FIK3:FIK5)</f>
        <v>0</v>
      </c>
      <c r="FIK6" s="88">
        <f t="shared" si="67"/>
        <v>0</v>
      </c>
      <c r="FIL6" s="88">
        <f t="shared" si="67"/>
        <v>0</v>
      </c>
      <c r="FIM6" s="88">
        <f t="shared" si="67"/>
        <v>0</v>
      </c>
      <c r="FIN6" s="88">
        <f t="shared" si="67"/>
        <v>0</v>
      </c>
      <c r="FIO6" s="88">
        <f t="shared" si="67"/>
        <v>0</v>
      </c>
      <c r="FIP6" s="88">
        <f t="shared" si="67"/>
        <v>0</v>
      </c>
      <c r="FIQ6" s="88">
        <f t="shared" si="67"/>
        <v>0</v>
      </c>
      <c r="FIR6" s="88">
        <f t="shared" si="67"/>
        <v>0</v>
      </c>
      <c r="FIS6" s="88">
        <f t="shared" si="67"/>
        <v>0</v>
      </c>
      <c r="FIT6" s="88">
        <f t="shared" si="67"/>
        <v>0</v>
      </c>
      <c r="FIU6" s="88">
        <f t="shared" si="67"/>
        <v>0</v>
      </c>
      <c r="FIV6" s="88">
        <f t="shared" si="67"/>
        <v>0</v>
      </c>
      <c r="FIW6" s="88">
        <f t="shared" si="67"/>
        <v>0</v>
      </c>
      <c r="FIX6" s="88">
        <f t="shared" si="67"/>
        <v>0</v>
      </c>
      <c r="FIY6" s="88">
        <f t="shared" si="67"/>
        <v>0</v>
      </c>
      <c r="FIZ6" s="88">
        <f t="shared" si="67"/>
        <v>0</v>
      </c>
      <c r="FJA6" s="88">
        <f t="shared" si="67"/>
        <v>0</v>
      </c>
      <c r="FJB6" s="88">
        <f t="shared" si="67"/>
        <v>0</v>
      </c>
      <c r="FJC6" s="88">
        <f t="shared" si="67"/>
        <v>0</v>
      </c>
      <c r="FJD6" s="88">
        <f t="shared" si="67"/>
        <v>0</v>
      </c>
      <c r="FJE6" s="88">
        <f t="shared" si="67"/>
        <v>0</v>
      </c>
      <c r="FJF6" s="88">
        <f t="shared" si="67"/>
        <v>0</v>
      </c>
      <c r="FJG6" s="88">
        <f t="shared" si="67"/>
        <v>0</v>
      </c>
      <c r="FJH6" s="88">
        <f t="shared" si="67"/>
        <v>0</v>
      </c>
      <c r="FJI6" s="88">
        <f t="shared" si="67"/>
        <v>0</v>
      </c>
      <c r="FJJ6" s="88">
        <f t="shared" si="67"/>
        <v>0</v>
      </c>
      <c r="FJK6" s="88">
        <f t="shared" si="67"/>
        <v>0</v>
      </c>
      <c r="FJL6" s="88">
        <f t="shared" si="67"/>
        <v>0</v>
      </c>
      <c r="FJM6" s="88">
        <f t="shared" si="67"/>
        <v>0</v>
      </c>
      <c r="FJN6" s="88">
        <f t="shared" si="67"/>
        <v>0</v>
      </c>
      <c r="FJO6" s="88">
        <f t="shared" si="67"/>
        <v>0</v>
      </c>
      <c r="FJP6" s="88">
        <f t="shared" si="67"/>
        <v>0</v>
      </c>
      <c r="FJQ6" s="88">
        <f t="shared" si="67"/>
        <v>0</v>
      </c>
      <c r="FJR6" s="88">
        <f t="shared" si="67"/>
        <v>0</v>
      </c>
      <c r="FJS6" s="88">
        <f t="shared" si="67"/>
        <v>0</v>
      </c>
      <c r="FJT6" s="88">
        <f t="shared" si="67"/>
        <v>0</v>
      </c>
      <c r="FJU6" s="88">
        <f t="shared" si="67"/>
        <v>0</v>
      </c>
      <c r="FJV6" s="88">
        <f t="shared" si="67"/>
        <v>0</v>
      </c>
      <c r="FJW6" s="88">
        <f t="shared" si="67"/>
        <v>0</v>
      </c>
      <c r="FJX6" s="88">
        <f t="shared" si="67"/>
        <v>0</v>
      </c>
      <c r="FJY6" s="88">
        <f t="shared" si="67"/>
        <v>0</v>
      </c>
      <c r="FJZ6" s="88">
        <f t="shared" si="67"/>
        <v>0</v>
      </c>
      <c r="FKA6" s="88">
        <f t="shared" si="67"/>
        <v>0</v>
      </c>
      <c r="FKB6" s="88">
        <f t="shared" si="67"/>
        <v>0</v>
      </c>
      <c r="FKC6" s="88">
        <f t="shared" si="67"/>
        <v>0</v>
      </c>
      <c r="FKD6" s="88">
        <f t="shared" si="67"/>
        <v>0</v>
      </c>
      <c r="FKE6" s="88">
        <f t="shared" si="67"/>
        <v>0</v>
      </c>
      <c r="FKF6" s="88">
        <f t="shared" si="67"/>
        <v>0</v>
      </c>
      <c r="FKG6" s="88">
        <f t="shared" si="67"/>
        <v>0</v>
      </c>
      <c r="FKH6" s="88">
        <f t="shared" si="67"/>
        <v>0</v>
      </c>
      <c r="FKI6" s="88">
        <f t="shared" si="67"/>
        <v>0</v>
      </c>
      <c r="FKJ6" s="88">
        <f t="shared" si="67"/>
        <v>0</v>
      </c>
      <c r="FKK6" s="88">
        <f t="shared" si="67"/>
        <v>0</v>
      </c>
      <c r="FKL6" s="88">
        <f t="shared" si="67"/>
        <v>0</v>
      </c>
      <c r="FKM6" s="88">
        <f t="shared" si="67"/>
        <v>0</v>
      </c>
      <c r="FKN6" s="88">
        <f t="shared" si="67"/>
        <v>0</v>
      </c>
      <c r="FKO6" s="88">
        <f t="shared" si="67"/>
        <v>0</v>
      </c>
      <c r="FKP6" s="88">
        <f t="shared" si="67"/>
        <v>0</v>
      </c>
      <c r="FKQ6" s="88">
        <f t="shared" si="67"/>
        <v>0</v>
      </c>
      <c r="FKR6" s="88">
        <f t="shared" si="67"/>
        <v>0</v>
      </c>
      <c r="FKS6" s="88">
        <f t="shared" si="67"/>
        <v>0</v>
      </c>
      <c r="FKT6" s="88">
        <f t="shared" si="67"/>
        <v>0</v>
      </c>
      <c r="FKU6" s="88">
        <f t="shared" si="67"/>
        <v>0</v>
      </c>
      <c r="FKV6" s="88">
        <f t="shared" ref="FKV6:FNG6" si="68">SUM(FKW3:FKW5)</f>
        <v>0</v>
      </c>
      <c r="FKW6" s="88">
        <f t="shared" si="68"/>
        <v>0</v>
      </c>
      <c r="FKX6" s="88">
        <f t="shared" si="68"/>
        <v>0</v>
      </c>
      <c r="FKY6" s="88">
        <f t="shared" si="68"/>
        <v>0</v>
      </c>
      <c r="FKZ6" s="88">
        <f t="shared" si="68"/>
        <v>0</v>
      </c>
      <c r="FLA6" s="88">
        <f t="shared" si="68"/>
        <v>0</v>
      </c>
      <c r="FLB6" s="88">
        <f t="shared" si="68"/>
        <v>0</v>
      </c>
      <c r="FLC6" s="88">
        <f t="shared" si="68"/>
        <v>0</v>
      </c>
      <c r="FLD6" s="88">
        <f t="shared" si="68"/>
        <v>0</v>
      </c>
      <c r="FLE6" s="88">
        <f t="shared" si="68"/>
        <v>0</v>
      </c>
      <c r="FLF6" s="88">
        <f t="shared" si="68"/>
        <v>0</v>
      </c>
      <c r="FLG6" s="88">
        <f t="shared" si="68"/>
        <v>0</v>
      </c>
      <c r="FLH6" s="88">
        <f t="shared" si="68"/>
        <v>0</v>
      </c>
      <c r="FLI6" s="88">
        <f t="shared" si="68"/>
        <v>0</v>
      </c>
      <c r="FLJ6" s="88">
        <f t="shared" si="68"/>
        <v>0</v>
      </c>
      <c r="FLK6" s="88">
        <f t="shared" si="68"/>
        <v>0</v>
      </c>
      <c r="FLL6" s="88">
        <f t="shared" si="68"/>
        <v>0</v>
      </c>
      <c r="FLM6" s="88">
        <f t="shared" si="68"/>
        <v>0</v>
      </c>
      <c r="FLN6" s="88">
        <f t="shared" si="68"/>
        <v>0</v>
      </c>
      <c r="FLO6" s="88">
        <f t="shared" si="68"/>
        <v>0</v>
      </c>
      <c r="FLP6" s="88">
        <f t="shared" si="68"/>
        <v>0</v>
      </c>
      <c r="FLQ6" s="88">
        <f t="shared" si="68"/>
        <v>0</v>
      </c>
      <c r="FLR6" s="88">
        <f t="shared" si="68"/>
        <v>0</v>
      </c>
      <c r="FLS6" s="88">
        <f t="shared" si="68"/>
        <v>0</v>
      </c>
      <c r="FLT6" s="88">
        <f t="shared" si="68"/>
        <v>0</v>
      </c>
      <c r="FLU6" s="88">
        <f t="shared" si="68"/>
        <v>0</v>
      </c>
      <c r="FLV6" s="88">
        <f t="shared" si="68"/>
        <v>0</v>
      </c>
      <c r="FLW6" s="88">
        <f t="shared" si="68"/>
        <v>0</v>
      </c>
      <c r="FLX6" s="88">
        <f t="shared" si="68"/>
        <v>0</v>
      </c>
      <c r="FLY6" s="88">
        <f t="shared" si="68"/>
        <v>0</v>
      </c>
      <c r="FLZ6" s="88">
        <f t="shared" si="68"/>
        <v>0</v>
      </c>
      <c r="FMA6" s="88">
        <f t="shared" si="68"/>
        <v>0</v>
      </c>
      <c r="FMB6" s="88">
        <f t="shared" si="68"/>
        <v>0</v>
      </c>
      <c r="FMC6" s="88">
        <f t="shared" si="68"/>
        <v>0</v>
      </c>
      <c r="FMD6" s="88">
        <f t="shared" si="68"/>
        <v>0</v>
      </c>
      <c r="FME6" s="88">
        <f t="shared" si="68"/>
        <v>0</v>
      </c>
      <c r="FMF6" s="88">
        <f t="shared" si="68"/>
        <v>0</v>
      </c>
      <c r="FMG6" s="88">
        <f t="shared" si="68"/>
        <v>0</v>
      </c>
      <c r="FMH6" s="88">
        <f t="shared" si="68"/>
        <v>0</v>
      </c>
      <c r="FMI6" s="88">
        <f t="shared" si="68"/>
        <v>0</v>
      </c>
      <c r="FMJ6" s="88">
        <f t="shared" si="68"/>
        <v>0</v>
      </c>
      <c r="FMK6" s="88">
        <f t="shared" si="68"/>
        <v>0</v>
      </c>
      <c r="FML6" s="88">
        <f t="shared" si="68"/>
        <v>0</v>
      </c>
      <c r="FMM6" s="88">
        <f t="shared" si="68"/>
        <v>0</v>
      </c>
      <c r="FMN6" s="88">
        <f t="shared" si="68"/>
        <v>0</v>
      </c>
      <c r="FMO6" s="88">
        <f t="shared" si="68"/>
        <v>0</v>
      </c>
      <c r="FMP6" s="88">
        <f t="shared" si="68"/>
        <v>0</v>
      </c>
      <c r="FMQ6" s="88">
        <f t="shared" si="68"/>
        <v>0</v>
      </c>
      <c r="FMR6" s="88">
        <f t="shared" si="68"/>
        <v>0</v>
      </c>
      <c r="FMS6" s="88">
        <f t="shared" si="68"/>
        <v>0</v>
      </c>
      <c r="FMT6" s="88">
        <f t="shared" si="68"/>
        <v>0</v>
      </c>
      <c r="FMU6" s="88">
        <f t="shared" si="68"/>
        <v>0</v>
      </c>
      <c r="FMV6" s="88">
        <f t="shared" si="68"/>
        <v>0</v>
      </c>
      <c r="FMW6" s="88">
        <f t="shared" si="68"/>
        <v>0</v>
      </c>
      <c r="FMX6" s="88">
        <f t="shared" si="68"/>
        <v>0</v>
      </c>
      <c r="FMY6" s="88">
        <f t="shared" si="68"/>
        <v>0</v>
      </c>
      <c r="FMZ6" s="88">
        <f t="shared" si="68"/>
        <v>0</v>
      </c>
      <c r="FNA6" s="88">
        <f t="shared" si="68"/>
        <v>0</v>
      </c>
      <c r="FNB6" s="88">
        <f t="shared" si="68"/>
        <v>0</v>
      </c>
      <c r="FNC6" s="88">
        <f t="shared" si="68"/>
        <v>0</v>
      </c>
      <c r="FND6" s="88">
        <f t="shared" si="68"/>
        <v>0</v>
      </c>
      <c r="FNE6" s="88">
        <f t="shared" si="68"/>
        <v>0</v>
      </c>
      <c r="FNF6" s="88">
        <f t="shared" si="68"/>
        <v>0</v>
      </c>
      <c r="FNG6" s="88">
        <f t="shared" si="68"/>
        <v>0</v>
      </c>
      <c r="FNH6" s="88">
        <f t="shared" ref="FNH6:FPS6" si="69">SUM(FNI3:FNI5)</f>
        <v>0</v>
      </c>
      <c r="FNI6" s="88">
        <f t="shared" si="69"/>
        <v>0</v>
      </c>
      <c r="FNJ6" s="88">
        <f t="shared" si="69"/>
        <v>0</v>
      </c>
      <c r="FNK6" s="88">
        <f t="shared" si="69"/>
        <v>0</v>
      </c>
      <c r="FNL6" s="88">
        <f t="shared" si="69"/>
        <v>0</v>
      </c>
      <c r="FNM6" s="88">
        <f t="shared" si="69"/>
        <v>0</v>
      </c>
      <c r="FNN6" s="88">
        <f t="shared" si="69"/>
        <v>0</v>
      </c>
      <c r="FNO6" s="88">
        <f t="shared" si="69"/>
        <v>0</v>
      </c>
      <c r="FNP6" s="88">
        <f t="shared" si="69"/>
        <v>0</v>
      </c>
      <c r="FNQ6" s="88">
        <f t="shared" si="69"/>
        <v>0</v>
      </c>
      <c r="FNR6" s="88">
        <f t="shared" si="69"/>
        <v>0</v>
      </c>
      <c r="FNS6" s="88">
        <f t="shared" si="69"/>
        <v>0</v>
      </c>
      <c r="FNT6" s="88">
        <f t="shared" si="69"/>
        <v>0</v>
      </c>
      <c r="FNU6" s="88">
        <f t="shared" si="69"/>
        <v>0</v>
      </c>
      <c r="FNV6" s="88">
        <f t="shared" si="69"/>
        <v>0</v>
      </c>
      <c r="FNW6" s="88">
        <f t="shared" si="69"/>
        <v>0</v>
      </c>
      <c r="FNX6" s="88">
        <f t="shared" si="69"/>
        <v>0</v>
      </c>
      <c r="FNY6" s="88">
        <f t="shared" si="69"/>
        <v>0</v>
      </c>
      <c r="FNZ6" s="88">
        <f t="shared" si="69"/>
        <v>0</v>
      </c>
      <c r="FOA6" s="88">
        <f t="shared" si="69"/>
        <v>0</v>
      </c>
      <c r="FOB6" s="88">
        <f t="shared" si="69"/>
        <v>0</v>
      </c>
      <c r="FOC6" s="88">
        <f t="shared" si="69"/>
        <v>0</v>
      </c>
      <c r="FOD6" s="88">
        <f t="shared" si="69"/>
        <v>0</v>
      </c>
      <c r="FOE6" s="88">
        <f t="shared" si="69"/>
        <v>0</v>
      </c>
      <c r="FOF6" s="88">
        <f t="shared" si="69"/>
        <v>0</v>
      </c>
      <c r="FOG6" s="88">
        <f t="shared" si="69"/>
        <v>0</v>
      </c>
      <c r="FOH6" s="88">
        <f t="shared" si="69"/>
        <v>0</v>
      </c>
      <c r="FOI6" s="88">
        <f t="shared" si="69"/>
        <v>0</v>
      </c>
      <c r="FOJ6" s="88">
        <f t="shared" si="69"/>
        <v>0</v>
      </c>
      <c r="FOK6" s="88">
        <f t="shared" si="69"/>
        <v>0</v>
      </c>
      <c r="FOL6" s="88">
        <f t="shared" si="69"/>
        <v>0</v>
      </c>
      <c r="FOM6" s="88">
        <f t="shared" si="69"/>
        <v>0</v>
      </c>
      <c r="FON6" s="88">
        <f t="shared" si="69"/>
        <v>0</v>
      </c>
      <c r="FOO6" s="88">
        <f t="shared" si="69"/>
        <v>0</v>
      </c>
      <c r="FOP6" s="88">
        <f t="shared" si="69"/>
        <v>0</v>
      </c>
      <c r="FOQ6" s="88">
        <f t="shared" si="69"/>
        <v>0</v>
      </c>
      <c r="FOR6" s="88">
        <f t="shared" si="69"/>
        <v>0</v>
      </c>
      <c r="FOS6" s="88">
        <f t="shared" si="69"/>
        <v>0</v>
      </c>
      <c r="FOT6" s="88">
        <f t="shared" si="69"/>
        <v>0</v>
      </c>
      <c r="FOU6" s="88">
        <f t="shared" si="69"/>
        <v>0</v>
      </c>
      <c r="FOV6" s="88">
        <f t="shared" si="69"/>
        <v>0</v>
      </c>
      <c r="FOW6" s="88">
        <f t="shared" si="69"/>
        <v>0</v>
      </c>
      <c r="FOX6" s="88">
        <f t="shared" si="69"/>
        <v>0</v>
      </c>
      <c r="FOY6" s="88">
        <f t="shared" si="69"/>
        <v>0</v>
      </c>
      <c r="FOZ6" s="88">
        <f t="shared" si="69"/>
        <v>0</v>
      </c>
      <c r="FPA6" s="88">
        <f t="shared" si="69"/>
        <v>0</v>
      </c>
      <c r="FPB6" s="88">
        <f t="shared" si="69"/>
        <v>0</v>
      </c>
      <c r="FPC6" s="88">
        <f t="shared" si="69"/>
        <v>0</v>
      </c>
      <c r="FPD6" s="88">
        <f t="shared" si="69"/>
        <v>0</v>
      </c>
      <c r="FPE6" s="88">
        <f t="shared" si="69"/>
        <v>0</v>
      </c>
      <c r="FPF6" s="88">
        <f t="shared" si="69"/>
        <v>0</v>
      </c>
      <c r="FPG6" s="88">
        <f t="shared" si="69"/>
        <v>0</v>
      </c>
      <c r="FPH6" s="88">
        <f t="shared" si="69"/>
        <v>0</v>
      </c>
      <c r="FPI6" s="88">
        <f t="shared" si="69"/>
        <v>0</v>
      </c>
      <c r="FPJ6" s="88">
        <f t="shared" si="69"/>
        <v>0</v>
      </c>
      <c r="FPK6" s="88">
        <f t="shared" si="69"/>
        <v>0</v>
      </c>
      <c r="FPL6" s="88">
        <f t="shared" si="69"/>
        <v>0</v>
      </c>
      <c r="FPM6" s="88">
        <f t="shared" si="69"/>
        <v>0</v>
      </c>
      <c r="FPN6" s="88">
        <f t="shared" si="69"/>
        <v>0</v>
      </c>
      <c r="FPO6" s="88">
        <f t="shared" si="69"/>
        <v>0</v>
      </c>
      <c r="FPP6" s="88">
        <f t="shared" si="69"/>
        <v>0</v>
      </c>
      <c r="FPQ6" s="88">
        <f t="shared" si="69"/>
        <v>0</v>
      </c>
      <c r="FPR6" s="88">
        <f t="shared" si="69"/>
        <v>0</v>
      </c>
      <c r="FPS6" s="88">
        <f t="shared" si="69"/>
        <v>0</v>
      </c>
      <c r="FPT6" s="88">
        <f t="shared" ref="FPT6:FSE6" si="70">SUM(FPU3:FPU5)</f>
        <v>0</v>
      </c>
      <c r="FPU6" s="88">
        <f t="shared" si="70"/>
        <v>0</v>
      </c>
      <c r="FPV6" s="88">
        <f t="shared" si="70"/>
        <v>0</v>
      </c>
      <c r="FPW6" s="88">
        <f t="shared" si="70"/>
        <v>0</v>
      </c>
      <c r="FPX6" s="88">
        <f t="shared" si="70"/>
        <v>0</v>
      </c>
      <c r="FPY6" s="88">
        <f t="shared" si="70"/>
        <v>0</v>
      </c>
      <c r="FPZ6" s="88">
        <f t="shared" si="70"/>
        <v>0</v>
      </c>
      <c r="FQA6" s="88">
        <f t="shared" si="70"/>
        <v>0</v>
      </c>
      <c r="FQB6" s="88">
        <f t="shared" si="70"/>
        <v>0</v>
      </c>
      <c r="FQC6" s="88">
        <f t="shared" si="70"/>
        <v>0</v>
      </c>
      <c r="FQD6" s="88">
        <f t="shared" si="70"/>
        <v>0</v>
      </c>
      <c r="FQE6" s="88">
        <f t="shared" si="70"/>
        <v>0</v>
      </c>
      <c r="FQF6" s="88">
        <f t="shared" si="70"/>
        <v>0</v>
      </c>
      <c r="FQG6" s="88">
        <f t="shared" si="70"/>
        <v>0</v>
      </c>
      <c r="FQH6" s="88">
        <f t="shared" si="70"/>
        <v>0</v>
      </c>
      <c r="FQI6" s="88">
        <f t="shared" si="70"/>
        <v>0</v>
      </c>
      <c r="FQJ6" s="88">
        <f t="shared" si="70"/>
        <v>0</v>
      </c>
      <c r="FQK6" s="88">
        <f t="shared" si="70"/>
        <v>0</v>
      </c>
      <c r="FQL6" s="88">
        <f t="shared" si="70"/>
        <v>0</v>
      </c>
      <c r="FQM6" s="88">
        <f t="shared" si="70"/>
        <v>0</v>
      </c>
      <c r="FQN6" s="88">
        <f t="shared" si="70"/>
        <v>0</v>
      </c>
      <c r="FQO6" s="88">
        <f t="shared" si="70"/>
        <v>0</v>
      </c>
      <c r="FQP6" s="88">
        <f t="shared" si="70"/>
        <v>0</v>
      </c>
      <c r="FQQ6" s="88">
        <f t="shared" si="70"/>
        <v>0</v>
      </c>
      <c r="FQR6" s="88">
        <f t="shared" si="70"/>
        <v>0</v>
      </c>
      <c r="FQS6" s="88">
        <f t="shared" si="70"/>
        <v>0</v>
      </c>
      <c r="FQT6" s="88">
        <f t="shared" si="70"/>
        <v>0</v>
      </c>
      <c r="FQU6" s="88">
        <f t="shared" si="70"/>
        <v>0</v>
      </c>
      <c r="FQV6" s="88">
        <f t="shared" si="70"/>
        <v>0</v>
      </c>
      <c r="FQW6" s="88">
        <f t="shared" si="70"/>
        <v>0</v>
      </c>
      <c r="FQX6" s="88">
        <f t="shared" si="70"/>
        <v>0</v>
      </c>
      <c r="FQY6" s="88">
        <f t="shared" si="70"/>
        <v>0</v>
      </c>
      <c r="FQZ6" s="88">
        <f t="shared" si="70"/>
        <v>0</v>
      </c>
      <c r="FRA6" s="88">
        <f t="shared" si="70"/>
        <v>0</v>
      </c>
      <c r="FRB6" s="88">
        <f t="shared" si="70"/>
        <v>0</v>
      </c>
      <c r="FRC6" s="88">
        <f t="shared" si="70"/>
        <v>0</v>
      </c>
      <c r="FRD6" s="88">
        <f t="shared" si="70"/>
        <v>0</v>
      </c>
      <c r="FRE6" s="88">
        <f t="shared" si="70"/>
        <v>0</v>
      </c>
      <c r="FRF6" s="88">
        <f t="shared" si="70"/>
        <v>0</v>
      </c>
      <c r="FRG6" s="88">
        <f t="shared" si="70"/>
        <v>0</v>
      </c>
      <c r="FRH6" s="88">
        <f t="shared" si="70"/>
        <v>0</v>
      </c>
      <c r="FRI6" s="88">
        <f t="shared" si="70"/>
        <v>0</v>
      </c>
      <c r="FRJ6" s="88">
        <f t="shared" si="70"/>
        <v>0</v>
      </c>
      <c r="FRK6" s="88">
        <f t="shared" si="70"/>
        <v>0</v>
      </c>
      <c r="FRL6" s="88">
        <f t="shared" si="70"/>
        <v>0</v>
      </c>
      <c r="FRM6" s="88">
        <f t="shared" si="70"/>
        <v>0</v>
      </c>
      <c r="FRN6" s="88">
        <f t="shared" si="70"/>
        <v>0</v>
      </c>
      <c r="FRO6" s="88">
        <f t="shared" si="70"/>
        <v>0</v>
      </c>
      <c r="FRP6" s="88">
        <f t="shared" si="70"/>
        <v>0</v>
      </c>
      <c r="FRQ6" s="88">
        <f t="shared" si="70"/>
        <v>0</v>
      </c>
      <c r="FRR6" s="88">
        <f t="shared" si="70"/>
        <v>0</v>
      </c>
      <c r="FRS6" s="88">
        <f t="shared" si="70"/>
        <v>0</v>
      </c>
      <c r="FRT6" s="88">
        <f t="shared" si="70"/>
        <v>0</v>
      </c>
      <c r="FRU6" s="88">
        <f t="shared" si="70"/>
        <v>0</v>
      </c>
      <c r="FRV6" s="88">
        <f t="shared" si="70"/>
        <v>0</v>
      </c>
      <c r="FRW6" s="88">
        <f t="shared" si="70"/>
        <v>0</v>
      </c>
      <c r="FRX6" s="88">
        <f t="shared" si="70"/>
        <v>0</v>
      </c>
      <c r="FRY6" s="88">
        <f t="shared" si="70"/>
        <v>0</v>
      </c>
      <c r="FRZ6" s="88">
        <f t="shared" si="70"/>
        <v>0</v>
      </c>
      <c r="FSA6" s="88">
        <f t="shared" si="70"/>
        <v>0</v>
      </c>
      <c r="FSB6" s="88">
        <f t="shared" si="70"/>
        <v>0</v>
      </c>
      <c r="FSC6" s="88">
        <f t="shared" si="70"/>
        <v>0</v>
      </c>
      <c r="FSD6" s="88">
        <f t="shared" si="70"/>
        <v>0</v>
      </c>
      <c r="FSE6" s="88">
        <f t="shared" si="70"/>
        <v>0</v>
      </c>
      <c r="FSF6" s="88">
        <f t="shared" ref="FSF6:FUQ6" si="71">SUM(FSG3:FSG5)</f>
        <v>0</v>
      </c>
      <c r="FSG6" s="88">
        <f t="shared" si="71"/>
        <v>0</v>
      </c>
      <c r="FSH6" s="88">
        <f t="shared" si="71"/>
        <v>0</v>
      </c>
      <c r="FSI6" s="88">
        <f t="shared" si="71"/>
        <v>0</v>
      </c>
      <c r="FSJ6" s="88">
        <f t="shared" si="71"/>
        <v>0</v>
      </c>
      <c r="FSK6" s="88">
        <f t="shared" si="71"/>
        <v>0</v>
      </c>
      <c r="FSL6" s="88">
        <f t="shared" si="71"/>
        <v>0</v>
      </c>
      <c r="FSM6" s="88">
        <f t="shared" si="71"/>
        <v>0</v>
      </c>
      <c r="FSN6" s="88">
        <f t="shared" si="71"/>
        <v>0</v>
      </c>
      <c r="FSO6" s="88">
        <f t="shared" si="71"/>
        <v>0</v>
      </c>
      <c r="FSP6" s="88">
        <f t="shared" si="71"/>
        <v>0</v>
      </c>
      <c r="FSQ6" s="88">
        <f t="shared" si="71"/>
        <v>0</v>
      </c>
      <c r="FSR6" s="88">
        <f t="shared" si="71"/>
        <v>0</v>
      </c>
      <c r="FSS6" s="88">
        <f t="shared" si="71"/>
        <v>0</v>
      </c>
      <c r="FST6" s="88">
        <f t="shared" si="71"/>
        <v>0</v>
      </c>
      <c r="FSU6" s="88">
        <f t="shared" si="71"/>
        <v>0</v>
      </c>
      <c r="FSV6" s="88">
        <f t="shared" si="71"/>
        <v>0</v>
      </c>
      <c r="FSW6" s="88">
        <f t="shared" si="71"/>
        <v>0</v>
      </c>
      <c r="FSX6" s="88">
        <f t="shared" si="71"/>
        <v>0</v>
      </c>
      <c r="FSY6" s="88">
        <f t="shared" si="71"/>
        <v>0</v>
      </c>
      <c r="FSZ6" s="88">
        <f t="shared" si="71"/>
        <v>0</v>
      </c>
      <c r="FTA6" s="88">
        <f t="shared" si="71"/>
        <v>0</v>
      </c>
      <c r="FTB6" s="88">
        <f t="shared" si="71"/>
        <v>0</v>
      </c>
      <c r="FTC6" s="88">
        <f t="shared" si="71"/>
        <v>0</v>
      </c>
      <c r="FTD6" s="88">
        <f t="shared" si="71"/>
        <v>0</v>
      </c>
      <c r="FTE6" s="88">
        <f t="shared" si="71"/>
        <v>0</v>
      </c>
      <c r="FTF6" s="88">
        <f t="shared" si="71"/>
        <v>0</v>
      </c>
      <c r="FTG6" s="88">
        <f t="shared" si="71"/>
        <v>0</v>
      </c>
      <c r="FTH6" s="88">
        <f t="shared" si="71"/>
        <v>0</v>
      </c>
      <c r="FTI6" s="88">
        <f t="shared" si="71"/>
        <v>0</v>
      </c>
      <c r="FTJ6" s="88">
        <f t="shared" si="71"/>
        <v>0</v>
      </c>
      <c r="FTK6" s="88">
        <f t="shared" si="71"/>
        <v>0</v>
      </c>
      <c r="FTL6" s="88">
        <f t="shared" si="71"/>
        <v>0</v>
      </c>
      <c r="FTM6" s="88">
        <f t="shared" si="71"/>
        <v>0</v>
      </c>
      <c r="FTN6" s="88">
        <f t="shared" si="71"/>
        <v>0</v>
      </c>
      <c r="FTO6" s="88">
        <f t="shared" si="71"/>
        <v>0</v>
      </c>
      <c r="FTP6" s="88">
        <f t="shared" si="71"/>
        <v>0</v>
      </c>
      <c r="FTQ6" s="88">
        <f t="shared" si="71"/>
        <v>0</v>
      </c>
      <c r="FTR6" s="88">
        <f t="shared" si="71"/>
        <v>0</v>
      </c>
      <c r="FTS6" s="88">
        <f t="shared" si="71"/>
        <v>0</v>
      </c>
      <c r="FTT6" s="88">
        <f t="shared" si="71"/>
        <v>0</v>
      </c>
      <c r="FTU6" s="88">
        <f t="shared" si="71"/>
        <v>0</v>
      </c>
      <c r="FTV6" s="88">
        <f t="shared" si="71"/>
        <v>0</v>
      </c>
      <c r="FTW6" s="88">
        <f t="shared" si="71"/>
        <v>0</v>
      </c>
      <c r="FTX6" s="88">
        <f t="shared" si="71"/>
        <v>0</v>
      </c>
      <c r="FTY6" s="88">
        <f t="shared" si="71"/>
        <v>0</v>
      </c>
      <c r="FTZ6" s="88">
        <f t="shared" si="71"/>
        <v>0</v>
      </c>
      <c r="FUA6" s="88">
        <f t="shared" si="71"/>
        <v>0</v>
      </c>
      <c r="FUB6" s="88">
        <f t="shared" si="71"/>
        <v>0</v>
      </c>
      <c r="FUC6" s="88">
        <f t="shared" si="71"/>
        <v>0</v>
      </c>
      <c r="FUD6" s="88">
        <f t="shared" si="71"/>
        <v>0</v>
      </c>
      <c r="FUE6" s="88">
        <f t="shared" si="71"/>
        <v>0</v>
      </c>
      <c r="FUF6" s="88">
        <f t="shared" si="71"/>
        <v>0</v>
      </c>
      <c r="FUG6" s="88">
        <f t="shared" si="71"/>
        <v>0</v>
      </c>
      <c r="FUH6" s="88">
        <f t="shared" si="71"/>
        <v>0</v>
      </c>
      <c r="FUI6" s="88">
        <f t="shared" si="71"/>
        <v>0</v>
      </c>
      <c r="FUJ6" s="88">
        <f t="shared" si="71"/>
        <v>0</v>
      </c>
      <c r="FUK6" s="88">
        <f t="shared" si="71"/>
        <v>0</v>
      </c>
      <c r="FUL6" s="88">
        <f t="shared" si="71"/>
        <v>0</v>
      </c>
      <c r="FUM6" s="88">
        <f t="shared" si="71"/>
        <v>0</v>
      </c>
      <c r="FUN6" s="88">
        <f t="shared" si="71"/>
        <v>0</v>
      </c>
      <c r="FUO6" s="88">
        <f t="shared" si="71"/>
        <v>0</v>
      </c>
      <c r="FUP6" s="88">
        <f t="shared" si="71"/>
        <v>0</v>
      </c>
      <c r="FUQ6" s="88">
        <f t="shared" si="71"/>
        <v>0</v>
      </c>
      <c r="FUR6" s="88">
        <f t="shared" ref="FUR6:FXC6" si="72">SUM(FUS3:FUS5)</f>
        <v>0</v>
      </c>
      <c r="FUS6" s="88">
        <f t="shared" si="72"/>
        <v>0</v>
      </c>
      <c r="FUT6" s="88">
        <f t="shared" si="72"/>
        <v>0</v>
      </c>
      <c r="FUU6" s="88">
        <f t="shared" si="72"/>
        <v>0</v>
      </c>
      <c r="FUV6" s="88">
        <f t="shared" si="72"/>
        <v>0</v>
      </c>
      <c r="FUW6" s="88">
        <f t="shared" si="72"/>
        <v>0</v>
      </c>
      <c r="FUX6" s="88">
        <f t="shared" si="72"/>
        <v>0</v>
      </c>
      <c r="FUY6" s="88">
        <f t="shared" si="72"/>
        <v>0</v>
      </c>
      <c r="FUZ6" s="88">
        <f t="shared" si="72"/>
        <v>0</v>
      </c>
      <c r="FVA6" s="88">
        <f t="shared" si="72"/>
        <v>0</v>
      </c>
      <c r="FVB6" s="88">
        <f t="shared" si="72"/>
        <v>0</v>
      </c>
      <c r="FVC6" s="88">
        <f t="shared" si="72"/>
        <v>0</v>
      </c>
      <c r="FVD6" s="88">
        <f t="shared" si="72"/>
        <v>0</v>
      </c>
      <c r="FVE6" s="88">
        <f t="shared" si="72"/>
        <v>0</v>
      </c>
      <c r="FVF6" s="88">
        <f t="shared" si="72"/>
        <v>0</v>
      </c>
      <c r="FVG6" s="88">
        <f t="shared" si="72"/>
        <v>0</v>
      </c>
      <c r="FVH6" s="88">
        <f t="shared" si="72"/>
        <v>0</v>
      </c>
      <c r="FVI6" s="88">
        <f t="shared" si="72"/>
        <v>0</v>
      </c>
      <c r="FVJ6" s="88">
        <f t="shared" si="72"/>
        <v>0</v>
      </c>
      <c r="FVK6" s="88">
        <f t="shared" si="72"/>
        <v>0</v>
      </c>
      <c r="FVL6" s="88">
        <f t="shared" si="72"/>
        <v>0</v>
      </c>
      <c r="FVM6" s="88">
        <f t="shared" si="72"/>
        <v>0</v>
      </c>
      <c r="FVN6" s="88">
        <f t="shared" si="72"/>
        <v>0</v>
      </c>
      <c r="FVO6" s="88">
        <f t="shared" si="72"/>
        <v>0</v>
      </c>
      <c r="FVP6" s="88">
        <f t="shared" si="72"/>
        <v>0</v>
      </c>
      <c r="FVQ6" s="88">
        <f t="shared" si="72"/>
        <v>0</v>
      </c>
      <c r="FVR6" s="88">
        <f t="shared" si="72"/>
        <v>0</v>
      </c>
      <c r="FVS6" s="88">
        <f t="shared" si="72"/>
        <v>0</v>
      </c>
      <c r="FVT6" s="88">
        <f t="shared" si="72"/>
        <v>0</v>
      </c>
      <c r="FVU6" s="88">
        <f t="shared" si="72"/>
        <v>0</v>
      </c>
      <c r="FVV6" s="88">
        <f t="shared" si="72"/>
        <v>0</v>
      </c>
      <c r="FVW6" s="88">
        <f t="shared" si="72"/>
        <v>0</v>
      </c>
      <c r="FVX6" s="88">
        <f t="shared" si="72"/>
        <v>0</v>
      </c>
      <c r="FVY6" s="88">
        <f t="shared" si="72"/>
        <v>0</v>
      </c>
      <c r="FVZ6" s="88">
        <f t="shared" si="72"/>
        <v>0</v>
      </c>
      <c r="FWA6" s="88">
        <f t="shared" si="72"/>
        <v>0</v>
      </c>
      <c r="FWB6" s="88">
        <f t="shared" si="72"/>
        <v>0</v>
      </c>
      <c r="FWC6" s="88">
        <f t="shared" si="72"/>
        <v>0</v>
      </c>
      <c r="FWD6" s="88">
        <f t="shared" si="72"/>
        <v>0</v>
      </c>
      <c r="FWE6" s="88">
        <f t="shared" si="72"/>
        <v>0</v>
      </c>
      <c r="FWF6" s="88">
        <f t="shared" si="72"/>
        <v>0</v>
      </c>
      <c r="FWG6" s="88">
        <f t="shared" si="72"/>
        <v>0</v>
      </c>
      <c r="FWH6" s="88">
        <f t="shared" si="72"/>
        <v>0</v>
      </c>
      <c r="FWI6" s="88">
        <f t="shared" si="72"/>
        <v>0</v>
      </c>
      <c r="FWJ6" s="88">
        <f t="shared" si="72"/>
        <v>0</v>
      </c>
      <c r="FWK6" s="88">
        <f t="shared" si="72"/>
        <v>0</v>
      </c>
      <c r="FWL6" s="88">
        <f t="shared" si="72"/>
        <v>0</v>
      </c>
      <c r="FWM6" s="88">
        <f t="shared" si="72"/>
        <v>0</v>
      </c>
      <c r="FWN6" s="88">
        <f t="shared" si="72"/>
        <v>0</v>
      </c>
      <c r="FWO6" s="88">
        <f t="shared" si="72"/>
        <v>0</v>
      </c>
      <c r="FWP6" s="88">
        <f t="shared" si="72"/>
        <v>0</v>
      </c>
      <c r="FWQ6" s="88">
        <f t="shared" si="72"/>
        <v>0</v>
      </c>
      <c r="FWR6" s="88">
        <f t="shared" si="72"/>
        <v>0</v>
      </c>
      <c r="FWS6" s="88">
        <f t="shared" si="72"/>
        <v>0</v>
      </c>
      <c r="FWT6" s="88">
        <f t="shared" si="72"/>
        <v>0</v>
      </c>
      <c r="FWU6" s="88">
        <f t="shared" si="72"/>
        <v>0</v>
      </c>
      <c r="FWV6" s="88">
        <f t="shared" si="72"/>
        <v>0</v>
      </c>
      <c r="FWW6" s="88">
        <f t="shared" si="72"/>
        <v>0</v>
      </c>
      <c r="FWX6" s="88">
        <f t="shared" si="72"/>
        <v>0</v>
      </c>
      <c r="FWY6" s="88">
        <f t="shared" si="72"/>
        <v>0</v>
      </c>
      <c r="FWZ6" s="88">
        <f t="shared" si="72"/>
        <v>0</v>
      </c>
      <c r="FXA6" s="88">
        <f t="shared" si="72"/>
        <v>0</v>
      </c>
      <c r="FXB6" s="88">
        <f t="shared" si="72"/>
        <v>0</v>
      </c>
      <c r="FXC6" s="88">
        <f t="shared" si="72"/>
        <v>0</v>
      </c>
      <c r="FXD6" s="88">
        <f t="shared" ref="FXD6:FZO6" si="73">SUM(FXE3:FXE5)</f>
        <v>0</v>
      </c>
      <c r="FXE6" s="88">
        <f t="shared" si="73"/>
        <v>0</v>
      </c>
      <c r="FXF6" s="88">
        <f t="shared" si="73"/>
        <v>0</v>
      </c>
      <c r="FXG6" s="88">
        <f t="shared" si="73"/>
        <v>0</v>
      </c>
      <c r="FXH6" s="88">
        <f t="shared" si="73"/>
        <v>0</v>
      </c>
      <c r="FXI6" s="88">
        <f t="shared" si="73"/>
        <v>0</v>
      </c>
      <c r="FXJ6" s="88">
        <f t="shared" si="73"/>
        <v>0</v>
      </c>
      <c r="FXK6" s="88">
        <f t="shared" si="73"/>
        <v>0</v>
      </c>
      <c r="FXL6" s="88">
        <f t="shared" si="73"/>
        <v>0</v>
      </c>
      <c r="FXM6" s="88">
        <f t="shared" si="73"/>
        <v>0</v>
      </c>
      <c r="FXN6" s="88">
        <f t="shared" si="73"/>
        <v>0</v>
      </c>
      <c r="FXO6" s="88">
        <f t="shared" si="73"/>
        <v>0</v>
      </c>
      <c r="FXP6" s="88">
        <f t="shared" si="73"/>
        <v>0</v>
      </c>
      <c r="FXQ6" s="88">
        <f t="shared" si="73"/>
        <v>0</v>
      </c>
      <c r="FXR6" s="88">
        <f t="shared" si="73"/>
        <v>0</v>
      </c>
      <c r="FXS6" s="88">
        <f t="shared" si="73"/>
        <v>0</v>
      </c>
      <c r="FXT6" s="88">
        <f t="shared" si="73"/>
        <v>0</v>
      </c>
      <c r="FXU6" s="88">
        <f t="shared" si="73"/>
        <v>0</v>
      </c>
      <c r="FXV6" s="88">
        <f t="shared" si="73"/>
        <v>0</v>
      </c>
      <c r="FXW6" s="88">
        <f t="shared" si="73"/>
        <v>0</v>
      </c>
      <c r="FXX6" s="88">
        <f t="shared" si="73"/>
        <v>0</v>
      </c>
      <c r="FXY6" s="88">
        <f t="shared" si="73"/>
        <v>0</v>
      </c>
      <c r="FXZ6" s="88">
        <f t="shared" si="73"/>
        <v>0</v>
      </c>
      <c r="FYA6" s="88">
        <f t="shared" si="73"/>
        <v>0</v>
      </c>
      <c r="FYB6" s="88">
        <f t="shared" si="73"/>
        <v>0</v>
      </c>
      <c r="FYC6" s="88">
        <f t="shared" si="73"/>
        <v>0</v>
      </c>
      <c r="FYD6" s="88">
        <f t="shared" si="73"/>
        <v>0</v>
      </c>
      <c r="FYE6" s="88">
        <f t="shared" si="73"/>
        <v>0</v>
      </c>
      <c r="FYF6" s="88">
        <f t="shared" si="73"/>
        <v>0</v>
      </c>
      <c r="FYG6" s="88">
        <f t="shared" si="73"/>
        <v>0</v>
      </c>
      <c r="FYH6" s="88">
        <f t="shared" si="73"/>
        <v>0</v>
      </c>
      <c r="FYI6" s="88">
        <f t="shared" si="73"/>
        <v>0</v>
      </c>
      <c r="FYJ6" s="88">
        <f t="shared" si="73"/>
        <v>0</v>
      </c>
      <c r="FYK6" s="88">
        <f t="shared" si="73"/>
        <v>0</v>
      </c>
      <c r="FYL6" s="88">
        <f t="shared" si="73"/>
        <v>0</v>
      </c>
      <c r="FYM6" s="88">
        <f t="shared" si="73"/>
        <v>0</v>
      </c>
      <c r="FYN6" s="88">
        <f t="shared" si="73"/>
        <v>0</v>
      </c>
      <c r="FYO6" s="88">
        <f t="shared" si="73"/>
        <v>0</v>
      </c>
      <c r="FYP6" s="88">
        <f t="shared" si="73"/>
        <v>0</v>
      </c>
      <c r="FYQ6" s="88">
        <f t="shared" si="73"/>
        <v>0</v>
      </c>
      <c r="FYR6" s="88">
        <f t="shared" si="73"/>
        <v>0</v>
      </c>
      <c r="FYS6" s="88">
        <f t="shared" si="73"/>
        <v>0</v>
      </c>
      <c r="FYT6" s="88">
        <f t="shared" si="73"/>
        <v>0</v>
      </c>
      <c r="FYU6" s="88">
        <f t="shared" si="73"/>
        <v>0</v>
      </c>
      <c r="FYV6" s="88">
        <f t="shared" si="73"/>
        <v>0</v>
      </c>
      <c r="FYW6" s="88">
        <f t="shared" si="73"/>
        <v>0</v>
      </c>
      <c r="FYX6" s="88">
        <f t="shared" si="73"/>
        <v>0</v>
      </c>
      <c r="FYY6" s="88">
        <f t="shared" si="73"/>
        <v>0</v>
      </c>
      <c r="FYZ6" s="88">
        <f t="shared" si="73"/>
        <v>0</v>
      </c>
      <c r="FZA6" s="88">
        <f t="shared" si="73"/>
        <v>0</v>
      </c>
      <c r="FZB6" s="88">
        <f t="shared" si="73"/>
        <v>0</v>
      </c>
      <c r="FZC6" s="88">
        <f t="shared" si="73"/>
        <v>0</v>
      </c>
      <c r="FZD6" s="88">
        <f t="shared" si="73"/>
        <v>0</v>
      </c>
      <c r="FZE6" s="88">
        <f t="shared" si="73"/>
        <v>0</v>
      </c>
      <c r="FZF6" s="88">
        <f t="shared" si="73"/>
        <v>0</v>
      </c>
      <c r="FZG6" s="88">
        <f t="shared" si="73"/>
        <v>0</v>
      </c>
      <c r="FZH6" s="88">
        <f t="shared" si="73"/>
        <v>0</v>
      </c>
      <c r="FZI6" s="88">
        <f t="shared" si="73"/>
        <v>0</v>
      </c>
      <c r="FZJ6" s="88">
        <f t="shared" si="73"/>
        <v>0</v>
      </c>
      <c r="FZK6" s="88">
        <f t="shared" si="73"/>
        <v>0</v>
      </c>
      <c r="FZL6" s="88">
        <f t="shared" si="73"/>
        <v>0</v>
      </c>
      <c r="FZM6" s="88">
        <f t="shared" si="73"/>
        <v>0</v>
      </c>
      <c r="FZN6" s="88">
        <f t="shared" si="73"/>
        <v>0</v>
      </c>
      <c r="FZO6" s="88">
        <f t="shared" si="73"/>
        <v>0</v>
      </c>
      <c r="FZP6" s="88">
        <f t="shared" ref="FZP6:GCA6" si="74">SUM(FZQ3:FZQ5)</f>
        <v>0</v>
      </c>
      <c r="FZQ6" s="88">
        <f t="shared" si="74"/>
        <v>0</v>
      </c>
      <c r="FZR6" s="88">
        <f t="shared" si="74"/>
        <v>0</v>
      </c>
      <c r="FZS6" s="88">
        <f t="shared" si="74"/>
        <v>0</v>
      </c>
      <c r="FZT6" s="88">
        <f t="shared" si="74"/>
        <v>0</v>
      </c>
      <c r="FZU6" s="88">
        <f t="shared" si="74"/>
        <v>0</v>
      </c>
      <c r="FZV6" s="88">
        <f t="shared" si="74"/>
        <v>0</v>
      </c>
      <c r="FZW6" s="88">
        <f t="shared" si="74"/>
        <v>0</v>
      </c>
      <c r="FZX6" s="88">
        <f t="shared" si="74"/>
        <v>0</v>
      </c>
      <c r="FZY6" s="88">
        <f t="shared" si="74"/>
        <v>0</v>
      </c>
      <c r="FZZ6" s="88">
        <f t="shared" si="74"/>
        <v>0</v>
      </c>
      <c r="GAA6" s="88">
        <f t="shared" si="74"/>
        <v>0</v>
      </c>
      <c r="GAB6" s="88">
        <f t="shared" si="74"/>
        <v>0</v>
      </c>
      <c r="GAC6" s="88">
        <f t="shared" si="74"/>
        <v>0</v>
      </c>
      <c r="GAD6" s="88">
        <f t="shared" si="74"/>
        <v>0</v>
      </c>
      <c r="GAE6" s="88">
        <f t="shared" si="74"/>
        <v>0</v>
      </c>
      <c r="GAF6" s="88">
        <f t="shared" si="74"/>
        <v>0</v>
      </c>
      <c r="GAG6" s="88">
        <f t="shared" si="74"/>
        <v>0</v>
      </c>
      <c r="GAH6" s="88">
        <f t="shared" si="74"/>
        <v>0</v>
      </c>
      <c r="GAI6" s="88">
        <f t="shared" si="74"/>
        <v>0</v>
      </c>
      <c r="GAJ6" s="88">
        <f t="shared" si="74"/>
        <v>0</v>
      </c>
      <c r="GAK6" s="88">
        <f t="shared" si="74"/>
        <v>0</v>
      </c>
      <c r="GAL6" s="88">
        <f t="shared" si="74"/>
        <v>0</v>
      </c>
      <c r="GAM6" s="88">
        <f t="shared" si="74"/>
        <v>0</v>
      </c>
      <c r="GAN6" s="88">
        <f t="shared" si="74"/>
        <v>0</v>
      </c>
      <c r="GAO6" s="88">
        <f t="shared" si="74"/>
        <v>0</v>
      </c>
      <c r="GAP6" s="88">
        <f t="shared" si="74"/>
        <v>0</v>
      </c>
      <c r="GAQ6" s="88">
        <f t="shared" si="74"/>
        <v>0</v>
      </c>
      <c r="GAR6" s="88">
        <f t="shared" si="74"/>
        <v>0</v>
      </c>
      <c r="GAS6" s="88">
        <f t="shared" si="74"/>
        <v>0</v>
      </c>
      <c r="GAT6" s="88">
        <f t="shared" si="74"/>
        <v>0</v>
      </c>
      <c r="GAU6" s="88">
        <f t="shared" si="74"/>
        <v>0</v>
      </c>
      <c r="GAV6" s="88">
        <f t="shared" si="74"/>
        <v>0</v>
      </c>
      <c r="GAW6" s="88">
        <f t="shared" si="74"/>
        <v>0</v>
      </c>
      <c r="GAX6" s="88">
        <f t="shared" si="74"/>
        <v>0</v>
      </c>
      <c r="GAY6" s="88">
        <f t="shared" si="74"/>
        <v>0</v>
      </c>
      <c r="GAZ6" s="88">
        <f t="shared" si="74"/>
        <v>0</v>
      </c>
      <c r="GBA6" s="88">
        <f t="shared" si="74"/>
        <v>0</v>
      </c>
      <c r="GBB6" s="88">
        <f t="shared" si="74"/>
        <v>0</v>
      </c>
      <c r="GBC6" s="88">
        <f t="shared" si="74"/>
        <v>0</v>
      </c>
      <c r="GBD6" s="88">
        <f t="shared" si="74"/>
        <v>0</v>
      </c>
      <c r="GBE6" s="88">
        <f t="shared" si="74"/>
        <v>0</v>
      </c>
      <c r="GBF6" s="88">
        <f t="shared" si="74"/>
        <v>0</v>
      </c>
      <c r="GBG6" s="88">
        <f t="shared" si="74"/>
        <v>0</v>
      </c>
      <c r="GBH6" s="88">
        <f t="shared" si="74"/>
        <v>0</v>
      </c>
      <c r="GBI6" s="88">
        <f t="shared" si="74"/>
        <v>0</v>
      </c>
      <c r="GBJ6" s="88">
        <f t="shared" si="74"/>
        <v>0</v>
      </c>
      <c r="GBK6" s="88">
        <f t="shared" si="74"/>
        <v>0</v>
      </c>
      <c r="GBL6" s="88">
        <f t="shared" si="74"/>
        <v>0</v>
      </c>
      <c r="GBM6" s="88">
        <f t="shared" si="74"/>
        <v>0</v>
      </c>
      <c r="GBN6" s="88">
        <f t="shared" si="74"/>
        <v>0</v>
      </c>
      <c r="GBO6" s="88">
        <f t="shared" si="74"/>
        <v>0</v>
      </c>
      <c r="GBP6" s="88">
        <f t="shared" si="74"/>
        <v>0</v>
      </c>
      <c r="GBQ6" s="88">
        <f t="shared" si="74"/>
        <v>0</v>
      </c>
      <c r="GBR6" s="88">
        <f t="shared" si="74"/>
        <v>0</v>
      </c>
      <c r="GBS6" s="88">
        <f t="shared" si="74"/>
        <v>0</v>
      </c>
      <c r="GBT6" s="88">
        <f t="shared" si="74"/>
        <v>0</v>
      </c>
      <c r="GBU6" s="88">
        <f t="shared" si="74"/>
        <v>0</v>
      </c>
      <c r="GBV6" s="88">
        <f t="shared" si="74"/>
        <v>0</v>
      </c>
      <c r="GBW6" s="88">
        <f t="shared" si="74"/>
        <v>0</v>
      </c>
      <c r="GBX6" s="88">
        <f t="shared" si="74"/>
        <v>0</v>
      </c>
      <c r="GBY6" s="88">
        <f t="shared" si="74"/>
        <v>0</v>
      </c>
      <c r="GBZ6" s="88">
        <f t="shared" si="74"/>
        <v>0</v>
      </c>
      <c r="GCA6" s="88">
        <f t="shared" si="74"/>
        <v>0</v>
      </c>
      <c r="GCB6" s="88">
        <f t="shared" ref="GCB6:GEM6" si="75">SUM(GCC3:GCC5)</f>
        <v>0</v>
      </c>
      <c r="GCC6" s="88">
        <f t="shared" si="75"/>
        <v>0</v>
      </c>
      <c r="GCD6" s="88">
        <f t="shared" si="75"/>
        <v>0</v>
      </c>
      <c r="GCE6" s="88">
        <f t="shared" si="75"/>
        <v>0</v>
      </c>
      <c r="GCF6" s="88">
        <f t="shared" si="75"/>
        <v>0</v>
      </c>
      <c r="GCG6" s="88">
        <f t="shared" si="75"/>
        <v>0</v>
      </c>
      <c r="GCH6" s="88">
        <f t="shared" si="75"/>
        <v>0</v>
      </c>
      <c r="GCI6" s="88">
        <f t="shared" si="75"/>
        <v>0</v>
      </c>
      <c r="GCJ6" s="88">
        <f t="shared" si="75"/>
        <v>0</v>
      </c>
      <c r="GCK6" s="88">
        <f t="shared" si="75"/>
        <v>0</v>
      </c>
      <c r="GCL6" s="88">
        <f t="shared" si="75"/>
        <v>0</v>
      </c>
      <c r="GCM6" s="88">
        <f t="shared" si="75"/>
        <v>0</v>
      </c>
      <c r="GCN6" s="88">
        <f t="shared" si="75"/>
        <v>0</v>
      </c>
      <c r="GCO6" s="88">
        <f t="shared" si="75"/>
        <v>0</v>
      </c>
      <c r="GCP6" s="88">
        <f t="shared" si="75"/>
        <v>0</v>
      </c>
      <c r="GCQ6" s="88">
        <f t="shared" si="75"/>
        <v>0</v>
      </c>
      <c r="GCR6" s="88">
        <f t="shared" si="75"/>
        <v>0</v>
      </c>
      <c r="GCS6" s="88">
        <f t="shared" si="75"/>
        <v>0</v>
      </c>
      <c r="GCT6" s="88">
        <f t="shared" si="75"/>
        <v>0</v>
      </c>
      <c r="GCU6" s="88">
        <f t="shared" si="75"/>
        <v>0</v>
      </c>
      <c r="GCV6" s="88">
        <f t="shared" si="75"/>
        <v>0</v>
      </c>
      <c r="GCW6" s="88">
        <f t="shared" si="75"/>
        <v>0</v>
      </c>
      <c r="GCX6" s="88">
        <f t="shared" si="75"/>
        <v>0</v>
      </c>
      <c r="GCY6" s="88">
        <f t="shared" si="75"/>
        <v>0</v>
      </c>
      <c r="GCZ6" s="88">
        <f t="shared" si="75"/>
        <v>0</v>
      </c>
      <c r="GDA6" s="88">
        <f t="shared" si="75"/>
        <v>0</v>
      </c>
      <c r="GDB6" s="88">
        <f t="shared" si="75"/>
        <v>0</v>
      </c>
      <c r="GDC6" s="88">
        <f t="shared" si="75"/>
        <v>0</v>
      </c>
      <c r="GDD6" s="88">
        <f t="shared" si="75"/>
        <v>0</v>
      </c>
      <c r="GDE6" s="88">
        <f t="shared" si="75"/>
        <v>0</v>
      </c>
      <c r="GDF6" s="88">
        <f t="shared" si="75"/>
        <v>0</v>
      </c>
      <c r="GDG6" s="88">
        <f t="shared" si="75"/>
        <v>0</v>
      </c>
      <c r="GDH6" s="88">
        <f t="shared" si="75"/>
        <v>0</v>
      </c>
      <c r="GDI6" s="88">
        <f t="shared" si="75"/>
        <v>0</v>
      </c>
      <c r="GDJ6" s="88">
        <f t="shared" si="75"/>
        <v>0</v>
      </c>
      <c r="GDK6" s="88">
        <f t="shared" si="75"/>
        <v>0</v>
      </c>
      <c r="GDL6" s="88">
        <f t="shared" si="75"/>
        <v>0</v>
      </c>
      <c r="GDM6" s="88">
        <f t="shared" si="75"/>
        <v>0</v>
      </c>
      <c r="GDN6" s="88">
        <f t="shared" si="75"/>
        <v>0</v>
      </c>
      <c r="GDO6" s="88">
        <f t="shared" si="75"/>
        <v>0</v>
      </c>
      <c r="GDP6" s="88">
        <f t="shared" si="75"/>
        <v>0</v>
      </c>
      <c r="GDQ6" s="88">
        <f t="shared" si="75"/>
        <v>0</v>
      </c>
      <c r="GDR6" s="88">
        <f t="shared" si="75"/>
        <v>0</v>
      </c>
      <c r="GDS6" s="88">
        <f t="shared" si="75"/>
        <v>0</v>
      </c>
      <c r="GDT6" s="88">
        <f t="shared" si="75"/>
        <v>0</v>
      </c>
      <c r="GDU6" s="88">
        <f t="shared" si="75"/>
        <v>0</v>
      </c>
      <c r="GDV6" s="88">
        <f t="shared" si="75"/>
        <v>0</v>
      </c>
      <c r="GDW6" s="88">
        <f t="shared" si="75"/>
        <v>0</v>
      </c>
      <c r="GDX6" s="88">
        <f t="shared" si="75"/>
        <v>0</v>
      </c>
      <c r="GDY6" s="88">
        <f t="shared" si="75"/>
        <v>0</v>
      </c>
      <c r="GDZ6" s="88">
        <f t="shared" si="75"/>
        <v>0</v>
      </c>
      <c r="GEA6" s="88">
        <f t="shared" si="75"/>
        <v>0</v>
      </c>
      <c r="GEB6" s="88">
        <f t="shared" si="75"/>
        <v>0</v>
      </c>
      <c r="GEC6" s="88">
        <f t="shared" si="75"/>
        <v>0</v>
      </c>
      <c r="GED6" s="88">
        <f t="shared" si="75"/>
        <v>0</v>
      </c>
      <c r="GEE6" s="88">
        <f t="shared" si="75"/>
        <v>0</v>
      </c>
      <c r="GEF6" s="88">
        <f t="shared" si="75"/>
        <v>0</v>
      </c>
      <c r="GEG6" s="88">
        <f t="shared" si="75"/>
        <v>0</v>
      </c>
      <c r="GEH6" s="88">
        <f t="shared" si="75"/>
        <v>0</v>
      </c>
      <c r="GEI6" s="88">
        <f t="shared" si="75"/>
        <v>0</v>
      </c>
      <c r="GEJ6" s="88">
        <f t="shared" si="75"/>
        <v>0</v>
      </c>
      <c r="GEK6" s="88">
        <f t="shared" si="75"/>
        <v>0</v>
      </c>
      <c r="GEL6" s="88">
        <f t="shared" si="75"/>
        <v>0</v>
      </c>
      <c r="GEM6" s="88">
        <f t="shared" si="75"/>
        <v>0</v>
      </c>
      <c r="GEN6" s="88">
        <f t="shared" ref="GEN6:GGY6" si="76">SUM(GEO3:GEO5)</f>
        <v>0</v>
      </c>
      <c r="GEO6" s="88">
        <f t="shared" si="76"/>
        <v>0</v>
      </c>
      <c r="GEP6" s="88">
        <f t="shared" si="76"/>
        <v>0</v>
      </c>
      <c r="GEQ6" s="88">
        <f t="shared" si="76"/>
        <v>0</v>
      </c>
      <c r="GER6" s="88">
        <f t="shared" si="76"/>
        <v>0</v>
      </c>
      <c r="GES6" s="88">
        <f t="shared" si="76"/>
        <v>0</v>
      </c>
      <c r="GET6" s="88">
        <f t="shared" si="76"/>
        <v>0</v>
      </c>
      <c r="GEU6" s="88">
        <f t="shared" si="76"/>
        <v>0</v>
      </c>
      <c r="GEV6" s="88">
        <f t="shared" si="76"/>
        <v>0</v>
      </c>
      <c r="GEW6" s="88">
        <f t="shared" si="76"/>
        <v>0</v>
      </c>
      <c r="GEX6" s="88">
        <f t="shared" si="76"/>
        <v>0</v>
      </c>
      <c r="GEY6" s="88">
        <f t="shared" si="76"/>
        <v>0</v>
      </c>
      <c r="GEZ6" s="88">
        <f t="shared" si="76"/>
        <v>0</v>
      </c>
      <c r="GFA6" s="88">
        <f t="shared" si="76"/>
        <v>0</v>
      </c>
      <c r="GFB6" s="88">
        <f t="shared" si="76"/>
        <v>0</v>
      </c>
      <c r="GFC6" s="88">
        <f t="shared" si="76"/>
        <v>0</v>
      </c>
      <c r="GFD6" s="88">
        <f t="shared" si="76"/>
        <v>0</v>
      </c>
      <c r="GFE6" s="88">
        <f t="shared" si="76"/>
        <v>0</v>
      </c>
      <c r="GFF6" s="88">
        <f t="shared" si="76"/>
        <v>0</v>
      </c>
      <c r="GFG6" s="88">
        <f t="shared" si="76"/>
        <v>0</v>
      </c>
      <c r="GFH6" s="88">
        <f t="shared" si="76"/>
        <v>0</v>
      </c>
      <c r="GFI6" s="88">
        <f t="shared" si="76"/>
        <v>0</v>
      </c>
      <c r="GFJ6" s="88">
        <f t="shared" si="76"/>
        <v>0</v>
      </c>
      <c r="GFK6" s="88">
        <f t="shared" si="76"/>
        <v>0</v>
      </c>
      <c r="GFL6" s="88">
        <f t="shared" si="76"/>
        <v>0</v>
      </c>
      <c r="GFM6" s="88">
        <f t="shared" si="76"/>
        <v>0</v>
      </c>
      <c r="GFN6" s="88">
        <f t="shared" si="76"/>
        <v>0</v>
      </c>
      <c r="GFO6" s="88">
        <f t="shared" si="76"/>
        <v>0</v>
      </c>
      <c r="GFP6" s="88">
        <f t="shared" si="76"/>
        <v>0</v>
      </c>
      <c r="GFQ6" s="88">
        <f t="shared" si="76"/>
        <v>0</v>
      </c>
      <c r="GFR6" s="88">
        <f t="shared" si="76"/>
        <v>0</v>
      </c>
      <c r="GFS6" s="88">
        <f t="shared" si="76"/>
        <v>0</v>
      </c>
      <c r="GFT6" s="88">
        <f t="shared" si="76"/>
        <v>0</v>
      </c>
      <c r="GFU6" s="88">
        <f t="shared" si="76"/>
        <v>0</v>
      </c>
      <c r="GFV6" s="88">
        <f t="shared" si="76"/>
        <v>0</v>
      </c>
      <c r="GFW6" s="88">
        <f t="shared" si="76"/>
        <v>0</v>
      </c>
      <c r="GFX6" s="88">
        <f t="shared" si="76"/>
        <v>0</v>
      </c>
      <c r="GFY6" s="88">
        <f t="shared" si="76"/>
        <v>0</v>
      </c>
      <c r="GFZ6" s="88">
        <f t="shared" si="76"/>
        <v>0</v>
      </c>
      <c r="GGA6" s="88">
        <f t="shared" si="76"/>
        <v>0</v>
      </c>
      <c r="GGB6" s="88">
        <f t="shared" si="76"/>
        <v>0</v>
      </c>
      <c r="GGC6" s="88">
        <f t="shared" si="76"/>
        <v>0</v>
      </c>
      <c r="GGD6" s="88">
        <f t="shared" si="76"/>
        <v>0</v>
      </c>
      <c r="GGE6" s="88">
        <f t="shared" si="76"/>
        <v>0</v>
      </c>
      <c r="GGF6" s="88">
        <f t="shared" si="76"/>
        <v>0</v>
      </c>
      <c r="GGG6" s="88">
        <f t="shared" si="76"/>
        <v>0</v>
      </c>
      <c r="GGH6" s="88">
        <f t="shared" si="76"/>
        <v>0</v>
      </c>
      <c r="GGI6" s="88">
        <f t="shared" si="76"/>
        <v>0</v>
      </c>
      <c r="GGJ6" s="88">
        <f t="shared" si="76"/>
        <v>0</v>
      </c>
      <c r="GGK6" s="88">
        <f t="shared" si="76"/>
        <v>0</v>
      </c>
      <c r="GGL6" s="88">
        <f t="shared" si="76"/>
        <v>0</v>
      </c>
      <c r="GGM6" s="88">
        <f t="shared" si="76"/>
        <v>0</v>
      </c>
      <c r="GGN6" s="88">
        <f t="shared" si="76"/>
        <v>0</v>
      </c>
      <c r="GGO6" s="88">
        <f t="shared" si="76"/>
        <v>0</v>
      </c>
      <c r="GGP6" s="88">
        <f t="shared" si="76"/>
        <v>0</v>
      </c>
      <c r="GGQ6" s="88">
        <f t="shared" si="76"/>
        <v>0</v>
      </c>
      <c r="GGR6" s="88">
        <f t="shared" si="76"/>
        <v>0</v>
      </c>
      <c r="GGS6" s="88">
        <f t="shared" si="76"/>
        <v>0</v>
      </c>
      <c r="GGT6" s="88">
        <f t="shared" si="76"/>
        <v>0</v>
      </c>
      <c r="GGU6" s="88">
        <f t="shared" si="76"/>
        <v>0</v>
      </c>
      <c r="GGV6" s="88">
        <f t="shared" si="76"/>
        <v>0</v>
      </c>
      <c r="GGW6" s="88">
        <f t="shared" si="76"/>
        <v>0</v>
      </c>
      <c r="GGX6" s="88">
        <f t="shared" si="76"/>
        <v>0</v>
      </c>
      <c r="GGY6" s="88">
        <f t="shared" si="76"/>
        <v>0</v>
      </c>
      <c r="GGZ6" s="88">
        <f t="shared" ref="GGZ6:GJK6" si="77">SUM(GHA3:GHA5)</f>
        <v>0</v>
      </c>
      <c r="GHA6" s="88">
        <f t="shared" si="77"/>
        <v>0</v>
      </c>
      <c r="GHB6" s="88">
        <f t="shared" si="77"/>
        <v>0</v>
      </c>
      <c r="GHC6" s="88">
        <f t="shared" si="77"/>
        <v>0</v>
      </c>
      <c r="GHD6" s="88">
        <f t="shared" si="77"/>
        <v>0</v>
      </c>
      <c r="GHE6" s="88">
        <f t="shared" si="77"/>
        <v>0</v>
      </c>
      <c r="GHF6" s="88">
        <f t="shared" si="77"/>
        <v>0</v>
      </c>
      <c r="GHG6" s="88">
        <f t="shared" si="77"/>
        <v>0</v>
      </c>
      <c r="GHH6" s="88">
        <f t="shared" si="77"/>
        <v>0</v>
      </c>
      <c r="GHI6" s="88">
        <f t="shared" si="77"/>
        <v>0</v>
      </c>
      <c r="GHJ6" s="88">
        <f t="shared" si="77"/>
        <v>0</v>
      </c>
      <c r="GHK6" s="88">
        <f t="shared" si="77"/>
        <v>0</v>
      </c>
      <c r="GHL6" s="88">
        <f t="shared" si="77"/>
        <v>0</v>
      </c>
      <c r="GHM6" s="88">
        <f t="shared" si="77"/>
        <v>0</v>
      </c>
      <c r="GHN6" s="88">
        <f t="shared" si="77"/>
        <v>0</v>
      </c>
      <c r="GHO6" s="88">
        <f t="shared" si="77"/>
        <v>0</v>
      </c>
      <c r="GHP6" s="88">
        <f t="shared" si="77"/>
        <v>0</v>
      </c>
      <c r="GHQ6" s="88">
        <f t="shared" si="77"/>
        <v>0</v>
      </c>
      <c r="GHR6" s="88">
        <f t="shared" si="77"/>
        <v>0</v>
      </c>
      <c r="GHS6" s="88">
        <f t="shared" si="77"/>
        <v>0</v>
      </c>
      <c r="GHT6" s="88">
        <f t="shared" si="77"/>
        <v>0</v>
      </c>
      <c r="GHU6" s="88">
        <f t="shared" si="77"/>
        <v>0</v>
      </c>
      <c r="GHV6" s="88">
        <f t="shared" si="77"/>
        <v>0</v>
      </c>
      <c r="GHW6" s="88">
        <f t="shared" si="77"/>
        <v>0</v>
      </c>
      <c r="GHX6" s="88">
        <f t="shared" si="77"/>
        <v>0</v>
      </c>
      <c r="GHY6" s="88">
        <f t="shared" si="77"/>
        <v>0</v>
      </c>
      <c r="GHZ6" s="88">
        <f t="shared" si="77"/>
        <v>0</v>
      </c>
      <c r="GIA6" s="88">
        <f t="shared" si="77"/>
        <v>0</v>
      </c>
      <c r="GIB6" s="88">
        <f t="shared" si="77"/>
        <v>0</v>
      </c>
      <c r="GIC6" s="88">
        <f t="shared" si="77"/>
        <v>0</v>
      </c>
      <c r="GID6" s="88">
        <f t="shared" si="77"/>
        <v>0</v>
      </c>
      <c r="GIE6" s="88">
        <f t="shared" si="77"/>
        <v>0</v>
      </c>
      <c r="GIF6" s="88">
        <f t="shared" si="77"/>
        <v>0</v>
      </c>
      <c r="GIG6" s="88">
        <f t="shared" si="77"/>
        <v>0</v>
      </c>
      <c r="GIH6" s="88">
        <f t="shared" si="77"/>
        <v>0</v>
      </c>
      <c r="GII6" s="88">
        <f t="shared" si="77"/>
        <v>0</v>
      </c>
      <c r="GIJ6" s="88">
        <f t="shared" si="77"/>
        <v>0</v>
      </c>
      <c r="GIK6" s="88">
        <f t="shared" si="77"/>
        <v>0</v>
      </c>
      <c r="GIL6" s="88">
        <f t="shared" si="77"/>
        <v>0</v>
      </c>
      <c r="GIM6" s="88">
        <f t="shared" si="77"/>
        <v>0</v>
      </c>
      <c r="GIN6" s="88">
        <f t="shared" si="77"/>
        <v>0</v>
      </c>
      <c r="GIO6" s="88">
        <f t="shared" si="77"/>
        <v>0</v>
      </c>
      <c r="GIP6" s="88">
        <f t="shared" si="77"/>
        <v>0</v>
      </c>
      <c r="GIQ6" s="88">
        <f t="shared" si="77"/>
        <v>0</v>
      </c>
      <c r="GIR6" s="88">
        <f t="shared" si="77"/>
        <v>0</v>
      </c>
      <c r="GIS6" s="88">
        <f t="shared" si="77"/>
        <v>0</v>
      </c>
      <c r="GIT6" s="88">
        <f t="shared" si="77"/>
        <v>0</v>
      </c>
      <c r="GIU6" s="88">
        <f t="shared" si="77"/>
        <v>0</v>
      </c>
      <c r="GIV6" s="88">
        <f t="shared" si="77"/>
        <v>0</v>
      </c>
      <c r="GIW6" s="88">
        <f t="shared" si="77"/>
        <v>0</v>
      </c>
      <c r="GIX6" s="88">
        <f t="shared" si="77"/>
        <v>0</v>
      </c>
      <c r="GIY6" s="88">
        <f t="shared" si="77"/>
        <v>0</v>
      </c>
      <c r="GIZ6" s="88">
        <f t="shared" si="77"/>
        <v>0</v>
      </c>
      <c r="GJA6" s="88">
        <f t="shared" si="77"/>
        <v>0</v>
      </c>
      <c r="GJB6" s="88">
        <f t="shared" si="77"/>
        <v>0</v>
      </c>
      <c r="GJC6" s="88">
        <f t="shared" si="77"/>
        <v>0</v>
      </c>
      <c r="GJD6" s="88">
        <f t="shared" si="77"/>
        <v>0</v>
      </c>
      <c r="GJE6" s="88">
        <f t="shared" si="77"/>
        <v>0</v>
      </c>
      <c r="GJF6" s="88">
        <f t="shared" si="77"/>
        <v>0</v>
      </c>
      <c r="GJG6" s="88">
        <f t="shared" si="77"/>
        <v>0</v>
      </c>
      <c r="GJH6" s="88">
        <f t="shared" si="77"/>
        <v>0</v>
      </c>
      <c r="GJI6" s="88">
        <f t="shared" si="77"/>
        <v>0</v>
      </c>
      <c r="GJJ6" s="88">
        <f t="shared" si="77"/>
        <v>0</v>
      </c>
      <c r="GJK6" s="88">
        <f t="shared" si="77"/>
        <v>0</v>
      </c>
      <c r="GJL6" s="88">
        <f t="shared" ref="GJL6:GLW6" si="78">SUM(GJM3:GJM5)</f>
        <v>0</v>
      </c>
      <c r="GJM6" s="88">
        <f t="shared" si="78"/>
        <v>0</v>
      </c>
      <c r="GJN6" s="88">
        <f t="shared" si="78"/>
        <v>0</v>
      </c>
      <c r="GJO6" s="88">
        <f t="shared" si="78"/>
        <v>0</v>
      </c>
      <c r="GJP6" s="88">
        <f t="shared" si="78"/>
        <v>0</v>
      </c>
      <c r="GJQ6" s="88">
        <f t="shared" si="78"/>
        <v>0</v>
      </c>
      <c r="GJR6" s="88">
        <f t="shared" si="78"/>
        <v>0</v>
      </c>
      <c r="GJS6" s="88">
        <f t="shared" si="78"/>
        <v>0</v>
      </c>
      <c r="GJT6" s="88">
        <f t="shared" si="78"/>
        <v>0</v>
      </c>
      <c r="GJU6" s="88">
        <f t="shared" si="78"/>
        <v>0</v>
      </c>
      <c r="GJV6" s="88">
        <f t="shared" si="78"/>
        <v>0</v>
      </c>
      <c r="GJW6" s="88">
        <f t="shared" si="78"/>
        <v>0</v>
      </c>
      <c r="GJX6" s="88">
        <f t="shared" si="78"/>
        <v>0</v>
      </c>
      <c r="GJY6" s="88">
        <f t="shared" si="78"/>
        <v>0</v>
      </c>
      <c r="GJZ6" s="88">
        <f t="shared" si="78"/>
        <v>0</v>
      </c>
      <c r="GKA6" s="88">
        <f t="shared" si="78"/>
        <v>0</v>
      </c>
      <c r="GKB6" s="88">
        <f t="shared" si="78"/>
        <v>0</v>
      </c>
      <c r="GKC6" s="88">
        <f t="shared" si="78"/>
        <v>0</v>
      </c>
      <c r="GKD6" s="88">
        <f t="shared" si="78"/>
        <v>0</v>
      </c>
      <c r="GKE6" s="88">
        <f t="shared" si="78"/>
        <v>0</v>
      </c>
      <c r="GKF6" s="88">
        <f t="shared" si="78"/>
        <v>0</v>
      </c>
      <c r="GKG6" s="88">
        <f t="shared" si="78"/>
        <v>0</v>
      </c>
      <c r="GKH6" s="88">
        <f t="shared" si="78"/>
        <v>0</v>
      </c>
      <c r="GKI6" s="88">
        <f t="shared" si="78"/>
        <v>0</v>
      </c>
      <c r="GKJ6" s="88">
        <f t="shared" si="78"/>
        <v>0</v>
      </c>
      <c r="GKK6" s="88">
        <f t="shared" si="78"/>
        <v>0</v>
      </c>
      <c r="GKL6" s="88">
        <f t="shared" si="78"/>
        <v>0</v>
      </c>
      <c r="GKM6" s="88">
        <f t="shared" si="78"/>
        <v>0</v>
      </c>
      <c r="GKN6" s="88">
        <f t="shared" si="78"/>
        <v>0</v>
      </c>
      <c r="GKO6" s="88">
        <f t="shared" si="78"/>
        <v>0</v>
      </c>
      <c r="GKP6" s="88">
        <f t="shared" si="78"/>
        <v>0</v>
      </c>
      <c r="GKQ6" s="88">
        <f t="shared" si="78"/>
        <v>0</v>
      </c>
      <c r="GKR6" s="88">
        <f t="shared" si="78"/>
        <v>0</v>
      </c>
      <c r="GKS6" s="88">
        <f t="shared" si="78"/>
        <v>0</v>
      </c>
      <c r="GKT6" s="88">
        <f t="shared" si="78"/>
        <v>0</v>
      </c>
      <c r="GKU6" s="88">
        <f t="shared" si="78"/>
        <v>0</v>
      </c>
      <c r="GKV6" s="88">
        <f t="shared" si="78"/>
        <v>0</v>
      </c>
      <c r="GKW6" s="88">
        <f t="shared" si="78"/>
        <v>0</v>
      </c>
      <c r="GKX6" s="88">
        <f t="shared" si="78"/>
        <v>0</v>
      </c>
      <c r="GKY6" s="88">
        <f t="shared" si="78"/>
        <v>0</v>
      </c>
      <c r="GKZ6" s="88">
        <f t="shared" si="78"/>
        <v>0</v>
      </c>
      <c r="GLA6" s="88">
        <f t="shared" si="78"/>
        <v>0</v>
      </c>
      <c r="GLB6" s="88">
        <f t="shared" si="78"/>
        <v>0</v>
      </c>
      <c r="GLC6" s="88">
        <f t="shared" si="78"/>
        <v>0</v>
      </c>
      <c r="GLD6" s="88">
        <f t="shared" si="78"/>
        <v>0</v>
      </c>
      <c r="GLE6" s="88">
        <f t="shared" si="78"/>
        <v>0</v>
      </c>
      <c r="GLF6" s="88">
        <f t="shared" si="78"/>
        <v>0</v>
      </c>
      <c r="GLG6" s="88">
        <f t="shared" si="78"/>
        <v>0</v>
      </c>
      <c r="GLH6" s="88">
        <f t="shared" si="78"/>
        <v>0</v>
      </c>
      <c r="GLI6" s="88">
        <f t="shared" si="78"/>
        <v>0</v>
      </c>
      <c r="GLJ6" s="88">
        <f t="shared" si="78"/>
        <v>0</v>
      </c>
      <c r="GLK6" s="88">
        <f t="shared" si="78"/>
        <v>0</v>
      </c>
      <c r="GLL6" s="88">
        <f t="shared" si="78"/>
        <v>0</v>
      </c>
      <c r="GLM6" s="88">
        <f t="shared" si="78"/>
        <v>0</v>
      </c>
      <c r="GLN6" s="88">
        <f t="shared" si="78"/>
        <v>0</v>
      </c>
      <c r="GLO6" s="88">
        <f t="shared" si="78"/>
        <v>0</v>
      </c>
      <c r="GLP6" s="88">
        <f t="shared" si="78"/>
        <v>0</v>
      </c>
      <c r="GLQ6" s="88">
        <f t="shared" si="78"/>
        <v>0</v>
      </c>
      <c r="GLR6" s="88">
        <f t="shared" si="78"/>
        <v>0</v>
      </c>
      <c r="GLS6" s="88">
        <f t="shared" si="78"/>
        <v>0</v>
      </c>
      <c r="GLT6" s="88">
        <f t="shared" si="78"/>
        <v>0</v>
      </c>
      <c r="GLU6" s="88">
        <f t="shared" si="78"/>
        <v>0</v>
      </c>
      <c r="GLV6" s="88">
        <f t="shared" si="78"/>
        <v>0</v>
      </c>
      <c r="GLW6" s="88">
        <f t="shared" si="78"/>
        <v>0</v>
      </c>
      <c r="GLX6" s="88">
        <f t="shared" ref="GLX6:GOI6" si="79">SUM(GLY3:GLY5)</f>
        <v>0</v>
      </c>
      <c r="GLY6" s="88">
        <f t="shared" si="79"/>
        <v>0</v>
      </c>
      <c r="GLZ6" s="88">
        <f t="shared" si="79"/>
        <v>0</v>
      </c>
      <c r="GMA6" s="88">
        <f t="shared" si="79"/>
        <v>0</v>
      </c>
      <c r="GMB6" s="88">
        <f t="shared" si="79"/>
        <v>0</v>
      </c>
      <c r="GMC6" s="88">
        <f t="shared" si="79"/>
        <v>0</v>
      </c>
      <c r="GMD6" s="88">
        <f t="shared" si="79"/>
        <v>0</v>
      </c>
      <c r="GME6" s="88">
        <f t="shared" si="79"/>
        <v>0</v>
      </c>
      <c r="GMF6" s="88">
        <f t="shared" si="79"/>
        <v>0</v>
      </c>
      <c r="GMG6" s="88">
        <f t="shared" si="79"/>
        <v>0</v>
      </c>
      <c r="GMH6" s="88">
        <f t="shared" si="79"/>
        <v>0</v>
      </c>
      <c r="GMI6" s="88">
        <f t="shared" si="79"/>
        <v>0</v>
      </c>
      <c r="GMJ6" s="88">
        <f t="shared" si="79"/>
        <v>0</v>
      </c>
      <c r="GMK6" s="88">
        <f t="shared" si="79"/>
        <v>0</v>
      </c>
      <c r="GML6" s="88">
        <f t="shared" si="79"/>
        <v>0</v>
      </c>
      <c r="GMM6" s="88">
        <f t="shared" si="79"/>
        <v>0</v>
      </c>
      <c r="GMN6" s="88">
        <f t="shared" si="79"/>
        <v>0</v>
      </c>
      <c r="GMO6" s="88">
        <f t="shared" si="79"/>
        <v>0</v>
      </c>
      <c r="GMP6" s="88">
        <f t="shared" si="79"/>
        <v>0</v>
      </c>
      <c r="GMQ6" s="88">
        <f t="shared" si="79"/>
        <v>0</v>
      </c>
      <c r="GMR6" s="88">
        <f t="shared" si="79"/>
        <v>0</v>
      </c>
      <c r="GMS6" s="88">
        <f t="shared" si="79"/>
        <v>0</v>
      </c>
      <c r="GMT6" s="88">
        <f t="shared" si="79"/>
        <v>0</v>
      </c>
      <c r="GMU6" s="88">
        <f t="shared" si="79"/>
        <v>0</v>
      </c>
      <c r="GMV6" s="88">
        <f t="shared" si="79"/>
        <v>0</v>
      </c>
      <c r="GMW6" s="88">
        <f t="shared" si="79"/>
        <v>0</v>
      </c>
      <c r="GMX6" s="88">
        <f t="shared" si="79"/>
        <v>0</v>
      </c>
      <c r="GMY6" s="88">
        <f t="shared" si="79"/>
        <v>0</v>
      </c>
      <c r="GMZ6" s="88">
        <f t="shared" si="79"/>
        <v>0</v>
      </c>
      <c r="GNA6" s="88">
        <f t="shared" si="79"/>
        <v>0</v>
      </c>
      <c r="GNB6" s="88">
        <f t="shared" si="79"/>
        <v>0</v>
      </c>
      <c r="GNC6" s="88">
        <f t="shared" si="79"/>
        <v>0</v>
      </c>
      <c r="GND6" s="88">
        <f t="shared" si="79"/>
        <v>0</v>
      </c>
      <c r="GNE6" s="88">
        <f t="shared" si="79"/>
        <v>0</v>
      </c>
      <c r="GNF6" s="88">
        <f t="shared" si="79"/>
        <v>0</v>
      </c>
      <c r="GNG6" s="88">
        <f t="shared" si="79"/>
        <v>0</v>
      </c>
      <c r="GNH6" s="88">
        <f t="shared" si="79"/>
        <v>0</v>
      </c>
      <c r="GNI6" s="88">
        <f t="shared" si="79"/>
        <v>0</v>
      </c>
      <c r="GNJ6" s="88">
        <f t="shared" si="79"/>
        <v>0</v>
      </c>
      <c r="GNK6" s="88">
        <f t="shared" si="79"/>
        <v>0</v>
      </c>
      <c r="GNL6" s="88">
        <f t="shared" si="79"/>
        <v>0</v>
      </c>
      <c r="GNM6" s="88">
        <f t="shared" si="79"/>
        <v>0</v>
      </c>
      <c r="GNN6" s="88">
        <f t="shared" si="79"/>
        <v>0</v>
      </c>
      <c r="GNO6" s="88">
        <f t="shared" si="79"/>
        <v>0</v>
      </c>
      <c r="GNP6" s="88">
        <f t="shared" si="79"/>
        <v>0</v>
      </c>
      <c r="GNQ6" s="88">
        <f t="shared" si="79"/>
        <v>0</v>
      </c>
      <c r="GNR6" s="88">
        <f t="shared" si="79"/>
        <v>0</v>
      </c>
      <c r="GNS6" s="88">
        <f t="shared" si="79"/>
        <v>0</v>
      </c>
      <c r="GNT6" s="88">
        <f t="shared" si="79"/>
        <v>0</v>
      </c>
      <c r="GNU6" s="88">
        <f t="shared" si="79"/>
        <v>0</v>
      </c>
      <c r="GNV6" s="88">
        <f t="shared" si="79"/>
        <v>0</v>
      </c>
      <c r="GNW6" s="88">
        <f t="shared" si="79"/>
        <v>0</v>
      </c>
      <c r="GNX6" s="88">
        <f t="shared" si="79"/>
        <v>0</v>
      </c>
      <c r="GNY6" s="88">
        <f t="shared" si="79"/>
        <v>0</v>
      </c>
      <c r="GNZ6" s="88">
        <f t="shared" si="79"/>
        <v>0</v>
      </c>
      <c r="GOA6" s="88">
        <f t="shared" si="79"/>
        <v>0</v>
      </c>
      <c r="GOB6" s="88">
        <f t="shared" si="79"/>
        <v>0</v>
      </c>
      <c r="GOC6" s="88">
        <f t="shared" si="79"/>
        <v>0</v>
      </c>
      <c r="GOD6" s="88">
        <f t="shared" si="79"/>
        <v>0</v>
      </c>
      <c r="GOE6" s="88">
        <f t="shared" si="79"/>
        <v>0</v>
      </c>
      <c r="GOF6" s="88">
        <f t="shared" si="79"/>
        <v>0</v>
      </c>
      <c r="GOG6" s="88">
        <f t="shared" si="79"/>
        <v>0</v>
      </c>
      <c r="GOH6" s="88">
        <f t="shared" si="79"/>
        <v>0</v>
      </c>
      <c r="GOI6" s="88">
        <f t="shared" si="79"/>
        <v>0</v>
      </c>
      <c r="GOJ6" s="88">
        <f t="shared" ref="GOJ6:GQU6" si="80">SUM(GOK3:GOK5)</f>
        <v>0</v>
      </c>
      <c r="GOK6" s="88">
        <f t="shared" si="80"/>
        <v>0</v>
      </c>
      <c r="GOL6" s="88">
        <f t="shared" si="80"/>
        <v>0</v>
      </c>
      <c r="GOM6" s="88">
        <f t="shared" si="80"/>
        <v>0</v>
      </c>
      <c r="GON6" s="88">
        <f t="shared" si="80"/>
        <v>0</v>
      </c>
      <c r="GOO6" s="88">
        <f t="shared" si="80"/>
        <v>0</v>
      </c>
      <c r="GOP6" s="88">
        <f t="shared" si="80"/>
        <v>0</v>
      </c>
      <c r="GOQ6" s="88">
        <f t="shared" si="80"/>
        <v>0</v>
      </c>
      <c r="GOR6" s="88">
        <f t="shared" si="80"/>
        <v>0</v>
      </c>
      <c r="GOS6" s="88">
        <f t="shared" si="80"/>
        <v>0</v>
      </c>
      <c r="GOT6" s="88">
        <f t="shared" si="80"/>
        <v>0</v>
      </c>
      <c r="GOU6" s="88">
        <f t="shared" si="80"/>
        <v>0</v>
      </c>
      <c r="GOV6" s="88">
        <f t="shared" si="80"/>
        <v>0</v>
      </c>
      <c r="GOW6" s="88">
        <f t="shared" si="80"/>
        <v>0</v>
      </c>
      <c r="GOX6" s="88">
        <f t="shared" si="80"/>
        <v>0</v>
      </c>
      <c r="GOY6" s="88">
        <f t="shared" si="80"/>
        <v>0</v>
      </c>
      <c r="GOZ6" s="88">
        <f t="shared" si="80"/>
        <v>0</v>
      </c>
      <c r="GPA6" s="88">
        <f t="shared" si="80"/>
        <v>0</v>
      </c>
      <c r="GPB6" s="88">
        <f t="shared" si="80"/>
        <v>0</v>
      </c>
      <c r="GPC6" s="88">
        <f t="shared" si="80"/>
        <v>0</v>
      </c>
      <c r="GPD6" s="88">
        <f t="shared" si="80"/>
        <v>0</v>
      </c>
      <c r="GPE6" s="88">
        <f t="shared" si="80"/>
        <v>0</v>
      </c>
      <c r="GPF6" s="88">
        <f t="shared" si="80"/>
        <v>0</v>
      </c>
      <c r="GPG6" s="88">
        <f t="shared" si="80"/>
        <v>0</v>
      </c>
      <c r="GPH6" s="88">
        <f t="shared" si="80"/>
        <v>0</v>
      </c>
      <c r="GPI6" s="88">
        <f t="shared" si="80"/>
        <v>0</v>
      </c>
      <c r="GPJ6" s="88">
        <f t="shared" si="80"/>
        <v>0</v>
      </c>
      <c r="GPK6" s="88">
        <f t="shared" si="80"/>
        <v>0</v>
      </c>
      <c r="GPL6" s="88">
        <f t="shared" si="80"/>
        <v>0</v>
      </c>
      <c r="GPM6" s="88">
        <f t="shared" si="80"/>
        <v>0</v>
      </c>
      <c r="GPN6" s="88">
        <f t="shared" si="80"/>
        <v>0</v>
      </c>
      <c r="GPO6" s="88">
        <f t="shared" si="80"/>
        <v>0</v>
      </c>
      <c r="GPP6" s="88">
        <f t="shared" si="80"/>
        <v>0</v>
      </c>
      <c r="GPQ6" s="88">
        <f t="shared" si="80"/>
        <v>0</v>
      </c>
      <c r="GPR6" s="88">
        <f t="shared" si="80"/>
        <v>0</v>
      </c>
      <c r="GPS6" s="88">
        <f t="shared" si="80"/>
        <v>0</v>
      </c>
      <c r="GPT6" s="88">
        <f t="shared" si="80"/>
        <v>0</v>
      </c>
      <c r="GPU6" s="88">
        <f t="shared" si="80"/>
        <v>0</v>
      </c>
      <c r="GPV6" s="88">
        <f t="shared" si="80"/>
        <v>0</v>
      </c>
      <c r="GPW6" s="88">
        <f t="shared" si="80"/>
        <v>0</v>
      </c>
      <c r="GPX6" s="88">
        <f t="shared" si="80"/>
        <v>0</v>
      </c>
      <c r="GPY6" s="88">
        <f t="shared" si="80"/>
        <v>0</v>
      </c>
      <c r="GPZ6" s="88">
        <f t="shared" si="80"/>
        <v>0</v>
      </c>
      <c r="GQA6" s="88">
        <f t="shared" si="80"/>
        <v>0</v>
      </c>
      <c r="GQB6" s="88">
        <f t="shared" si="80"/>
        <v>0</v>
      </c>
      <c r="GQC6" s="88">
        <f t="shared" si="80"/>
        <v>0</v>
      </c>
      <c r="GQD6" s="88">
        <f t="shared" si="80"/>
        <v>0</v>
      </c>
      <c r="GQE6" s="88">
        <f t="shared" si="80"/>
        <v>0</v>
      </c>
      <c r="GQF6" s="88">
        <f t="shared" si="80"/>
        <v>0</v>
      </c>
      <c r="GQG6" s="88">
        <f t="shared" si="80"/>
        <v>0</v>
      </c>
      <c r="GQH6" s="88">
        <f t="shared" si="80"/>
        <v>0</v>
      </c>
      <c r="GQI6" s="88">
        <f t="shared" si="80"/>
        <v>0</v>
      </c>
      <c r="GQJ6" s="88">
        <f t="shared" si="80"/>
        <v>0</v>
      </c>
      <c r="GQK6" s="88">
        <f t="shared" si="80"/>
        <v>0</v>
      </c>
      <c r="GQL6" s="88">
        <f t="shared" si="80"/>
        <v>0</v>
      </c>
      <c r="GQM6" s="88">
        <f t="shared" si="80"/>
        <v>0</v>
      </c>
      <c r="GQN6" s="88">
        <f t="shared" si="80"/>
        <v>0</v>
      </c>
      <c r="GQO6" s="88">
        <f t="shared" si="80"/>
        <v>0</v>
      </c>
      <c r="GQP6" s="88">
        <f t="shared" si="80"/>
        <v>0</v>
      </c>
      <c r="GQQ6" s="88">
        <f t="shared" si="80"/>
        <v>0</v>
      </c>
      <c r="GQR6" s="88">
        <f t="shared" si="80"/>
        <v>0</v>
      </c>
      <c r="GQS6" s="88">
        <f t="shared" si="80"/>
        <v>0</v>
      </c>
      <c r="GQT6" s="88">
        <f t="shared" si="80"/>
        <v>0</v>
      </c>
      <c r="GQU6" s="88">
        <f t="shared" si="80"/>
        <v>0</v>
      </c>
      <c r="GQV6" s="88">
        <f t="shared" ref="GQV6:GTG6" si="81">SUM(GQW3:GQW5)</f>
        <v>0</v>
      </c>
      <c r="GQW6" s="88">
        <f t="shared" si="81"/>
        <v>0</v>
      </c>
      <c r="GQX6" s="88">
        <f t="shared" si="81"/>
        <v>0</v>
      </c>
      <c r="GQY6" s="88">
        <f t="shared" si="81"/>
        <v>0</v>
      </c>
      <c r="GQZ6" s="88">
        <f t="shared" si="81"/>
        <v>0</v>
      </c>
      <c r="GRA6" s="88">
        <f t="shared" si="81"/>
        <v>0</v>
      </c>
      <c r="GRB6" s="88">
        <f t="shared" si="81"/>
        <v>0</v>
      </c>
      <c r="GRC6" s="88">
        <f t="shared" si="81"/>
        <v>0</v>
      </c>
      <c r="GRD6" s="88">
        <f t="shared" si="81"/>
        <v>0</v>
      </c>
      <c r="GRE6" s="88">
        <f t="shared" si="81"/>
        <v>0</v>
      </c>
      <c r="GRF6" s="88">
        <f t="shared" si="81"/>
        <v>0</v>
      </c>
      <c r="GRG6" s="88">
        <f t="shared" si="81"/>
        <v>0</v>
      </c>
      <c r="GRH6" s="88">
        <f t="shared" si="81"/>
        <v>0</v>
      </c>
      <c r="GRI6" s="88">
        <f t="shared" si="81"/>
        <v>0</v>
      </c>
      <c r="GRJ6" s="88">
        <f t="shared" si="81"/>
        <v>0</v>
      </c>
      <c r="GRK6" s="88">
        <f t="shared" si="81"/>
        <v>0</v>
      </c>
      <c r="GRL6" s="88">
        <f t="shared" si="81"/>
        <v>0</v>
      </c>
      <c r="GRM6" s="88">
        <f t="shared" si="81"/>
        <v>0</v>
      </c>
      <c r="GRN6" s="88">
        <f t="shared" si="81"/>
        <v>0</v>
      </c>
      <c r="GRO6" s="88">
        <f t="shared" si="81"/>
        <v>0</v>
      </c>
      <c r="GRP6" s="88">
        <f t="shared" si="81"/>
        <v>0</v>
      </c>
      <c r="GRQ6" s="88">
        <f t="shared" si="81"/>
        <v>0</v>
      </c>
      <c r="GRR6" s="88">
        <f t="shared" si="81"/>
        <v>0</v>
      </c>
      <c r="GRS6" s="88">
        <f t="shared" si="81"/>
        <v>0</v>
      </c>
      <c r="GRT6" s="88">
        <f t="shared" si="81"/>
        <v>0</v>
      </c>
      <c r="GRU6" s="88">
        <f t="shared" si="81"/>
        <v>0</v>
      </c>
      <c r="GRV6" s="88">
        <f t="shared" si="81"/>
        <v>0</v>
      </c>
      <c r="GRW6" s="88">
        <f t="shared" si="81"/>
        <v>0</v>
      </c>
      <c r="GRX6" s="88">
        <f t="shared" si="81"/>
        <v>0</v>
      </c>
      <c r="GRY6" s="88">
        <f t="shared" si="81"/>
        <v>0</v>
      </c>
      <c r="GRZ6" s="88">
        <f t="shared" si="81"/>
        <v>0</v>
      </c>
      <c r="GSA6" s="88">
        <f t="shared" si="81"/>
        <v>0</v>
      </c>
      <c r="GSB6" s="88">
        <f t="shared" si="81"/>
        <v>0</v>
      </c>
      <c r="GSC6" s="88">
        <f t="shared" si="81"/>
        <v>0</v>
      </c>
      <c r="GSD6" s="88">
        <f t="shared" si="81"/>
        <v>0</v>
      </c>
      <c r="GSE6" s="88">
        <f t="shared" si="81"/>
        <v>0</v>
      </c>
      <c r="GSF6" s="88">
        <f t="shared" si="81"/>
        <v>0</v>
      </c>
      <c r="GSG6" s="88">
        <f t="shared" si="81"/>
        <v>0</v>
      </c>
      <c r="GSH6" s="88">
        <f t="shared" si="81"/>
        <v>0</v>
      </c>
      <c r="GSI6" s="88">
        <f t="shared" si="81"/>
        <v>0</v>
      </c>
      <c r="GSJ6" s="88">
        <f t="shared" si="81"/>
        <v>0</v>
      </c>
      <c r="GSK6" s="88">
        <f t="shared" si="81"/>
        <v>0</v>
      </c>
      <c r="GSL6" s="88">
        <f t="shared" si="81"/>
        <v>0</v>
      </c>
      <c r="GSM6" s="88">
        <f t="shared" si="81"/>
        <v>0</v>
      </c>
      <c r="GSN6" s="88">
        <f t="shared" si="81"/>
        <v>0</v>
      </c>
      <c r="GSO6" s="88">
        <f t="shared" si="81"/>
        <v>0</v>
      </c>
      <c r="GSP6" s="88">
        <f t="shared" si="81"/>
        <v>0</v>
      </c>
      <c r="GSQ6" s="88">
        <f t="shared" si="81"/>
        <v>0</v>
      </c>
      <c r="GSR6" s="88">
        <f t="shared" si="81"/>
        <v>0</v>
      </c>
      <c r="GSS6" s="88">
        <f t="shared" si="81"/>
        <v>0</v>
      </c>
      <c r="GST6" s="88">
        <f t="shared" si="81"/>
        <v>0</v>
      </c>
      <c r="GSU6" s="88">
        <f t="shared" si="81"/>
        <v>0</v>
      </c>
      <c r="GSV6" s="88">
        <f t="shared" si="81"/>
        <v>0</v>
      </c>
      <c r="GSW6" s="88">
        <f t="shared" si="81"/>
        <v>0</v>
      </c>
      <c r="GSX6" s="88">
        <f t="shared" si="81"/>
        <v>0</v>
      </c>
      <c r="GSY6" s="88">
        <f t="shared" si="81"/>
        <v>0</v>
      </c>
      <c r="GSZ6" s="88">
        <f t="shared" si="81"/>
        <v>0</v>
      </c>
      <c r="GTA6" s="88">
        <f t="shared" si="81"/>
        <v>0</v>
      </c>
      <c r="GTB6" s="88">
        <f t="shared" si="81"/>
        <v>0</v>
      </c>
      <c r="GTC6" s="88">
        <f t="shared" si="81"/>
        <v>0</v>
      </c>
      <c r="GTD6" s="88">
        <f t="shared" si="81"/>
        <v>0</v>
      </c>
      <c r="GTE6" s="88">
        <f t="shared" si="81"/>
        <v>0</v>
      </c>
      <c r="GTF6" s="88">
        <f t="shared" si="81"/>
        <v>0</v>
      </c>
      <c r="GTG6" s="88">
        <f t="shared" si="81"/>
        <v>0</v>
      </c>
      <c r="GTH6" s="88">
        <f t="shared" ref="GTH6:GVS6" si="82">SUM(GTI3:GTI5)</f>
        <v>0</v>
      </c>
      <c r="GTI6" s="88">
        <f t="shared" si="82"/>
        <v>0</v>
      </c>
      <c r="GTJ6" s="88">
        <f t="shared" si="82"/>
        <v>0</v>
      </c>
      <c r="GTK6" s="88">
        <f t="shared" si="82"/>
        <v>0</v>
      </c>
      <c r="GTL6" s="88">
        <f t="shared" si="82"/>
        <v>0</v>
      </c>
      <c r="GTM6" s="88">
        <f t="shared" si="82"/>
        <v>0</v>
      </c>
      <c r="GTN6" s="88">
        <f t="shared" si="82"/>
        <v>0</v>
      </c>
      <c r="GTO6" s="88">
        <f t="shared" si="82"/>
        <v>0</v>
      </c>
      <c r="GTP6" s="88">
        <f t="shared" si="82"/>
        <v>0</v>
      </c>
      <c r="GTQ6" s="88">
        <f t="shared" si="82"/>
        <v>0</v>
      </c>
      <c r="GTR6" s="88">
        <f t="shared" si="82"/>
        <v>0</v>
      </c>
      <c r="GTS6" s="88">
        <f t="shared" si="82"/>
        <v>0</v>
      </c>
      <c r="GTT6" s="88">
        <f t="shared" si="82"/>
        <v>0</v>
      </c>
      <c r="GTU6" s="88">
        <f t="shared" si="82"/>
        <v>0</v>
      </c>
      <c r="GTV6" s="88">
        <f t="shared" si="82"/>
        <v>0</v>
      </c>
      <c r="GTW6" s="88">
        <f t="shared" si="82"/>
        <v>0</v>
      </c>
      <c r="GTX6" s="88">
        <f t="shared" si="82"/>
        <v>0</v>
      </c>
      <c r="GTY6" s="88">
        <f t="shared" si="82"/>
        <v>0</v>
      </c>
      <c r="GTZ6" s="88">
        <f t="shared" si="82"/>
        <v>0</v>
      </c>
      <c r="GUA6" s="88">
        <f t="shared" si="82"/>
        <v>0</v>
      </c>
      <c r="GUB6" s="88">
        <f t="shared" si="82"/>
        <v>0</v>
      </c>
      <c r="GUC6" s="88">
        <f t="shared" si="82"/>
        <v>0</v>
      </c>
      <c r="GUD6" s="88">
        <f t="shared" si="82"/>
        <v>0</v>
      </c>
      <c r="GUE6" s="88">
        <f t="shared" si="82"/>
        <v>0</v>
      </c>
      <c r="GUF6" s="88">
        <f t="shared" si="82"/>
        <v>0</v>
      </c>
      <c r="GUG6" s="88">
        <f t="shared" si="82"/>
        <v>0</v>
      </c>
      <c r="GUH6" s="88">
        <f t="shared" si="82"/>
        <v>0</v>
      </c>
      <c r="GUI6" s="88">
        <f t="shared" si="82"/>
        <v>0</v>
      </c>
      <c r="GUJ6" s="88">
        <f t="shared" si="82"/>
        <v>0</v>
      </c>
      <c r="GUK6" s="88">
        <f t="shared" si="82"/>
        <v>0</v>
      </c>
      <c r="GUL6" s="88">
        <f t="shared" si="82"/>
        <v>0</v>
      </c>
      <c r="GUM6" s="88">
        <f t="shared" si="82"/>
        <v>0</v>
      </c>
      <c r="GUN6" s="88">
        <f t="shared" si="82"/>
        <v>0</v>
      </c>
      <c r="GUO6" s="88">
        <f t="shared" si="82"/>
        <v>0</v>
      </c>
      <c r="GUP6" s="88">
        <f t="shared" si="82"/>
        <v>0</v>
      </c>
      <c r="GUQ6" s="88">
        <f t="shared" si="82"/>
        <v>0</v>
      </c>
      <c r="GUR6" s="88">
        <f t="shared" si="82"/>
        <v>0</v>
      </c>
      <c r="GUS6" s="88">
        <f t="shared" si="82"/>
        <v>0</v>
      </c>
      <c r="GUT6" s="88">
        <f t="shared" si="82"/>
        <v>0</v>
      </c>
      <c r="GUU6" s="88">
        <f t="shared" si="82"/>
        <v>0</v>
      </c>
      <c r="GUV6" s="88">
        <f t="shared" si="82"/>
        <v>0</v>
      </c>
      <c r="GUW6" s="88">
        <f t="shared" si="82"/>
        <v>0</v>
      </c>
      <c r="GUX6" s="88">
        <f t="shared" si="82"/>
        <v>0</v>
      </c>
      <c r="GUY6" s="88">
        <f t="shared" si="82"/>
        <v>0</v>
      </c>
      <c r="GUZ6" s="88">
        <f t="shared" si="82"/>
        <v>0</v>
      </c>
      <c r="GVA6" s="88">
        <f t="shared" si="82"/>
        <v>0</v>
      </c>
      <c r="GVB6" s="88">
        <f t="shared" si="82"/>
        <v>0</v>
      </c>
      <c r="GVC6" s="88">
        <f t="shared" si="82"/>
        <v>0</v>
      </c>
      <c r="GVD6" s="88">
        <f t="shared" si="82"/>
        <v>0</v>
      </c>
      <c r="GVE6" s="88">
        <f t="shared" si="82"/>
        <v>0</v>
      </c>
      <c r="GVF6" s="88">
        <f t="shared" si="82"/>
        <v>0</v>
      </c>
      <c r="GVG6" s="88">
        <f t="shared" si="82"/>
        <v>0</v>
      </c>
      <c r="GVH6" s="88">
        <f t="shared" si="82"/>
        <v>0</v>
      </c>
      <c r="GVI6" s="88">
        <f t="shared" si="82"/>
        <v>0</v>
      </c>
      <c r="GVJ6" s="88">
        <f t="shared" si="82"/>
        <v>0</v>
      </c>
      <c r="GVK6" s="88">
        <f t="shared" si="82"/>
        <v>0</v>
      </c>
      <c r="GVL6" s="88">
        <f t="shared" si="82"/>
        <v>0</v>
      </c>
      <c r="GVM6" s="88">
        <f t="shared" si="82"/>
        <v>0</v>
      </c>
      <c r="GVN6" s="88">
        <f t="shared" si="82"/>
        <v>0</v>
      </c>
      <c r="GVO6" s="88">
        <f t="shared" si="82"/>
        <v>0</v>
      </c>
      <c r="GVP6" s="88">
        <f t="shared" si="82"/>
        <v>0</v>
      </c>
      <c r="GVQ6" s="88">
        <f t="shared" si="82"/>
        <v>0</v>
      </c>
      <c r="GVR6" s="88">
        <f t="shared" si="82"/>
        <v>0</v>
      </c>
      <c r="GVS6" s="88">
        <f t="shared" si="82"/>
        <v>0</v>
      </c>
      <c r="GVT6" s="88">
        <f t="shared" ref="GVT6:GYE6" si="83">SUM(GVU3:GVU5)</f>
        <v>0</v>
      </c>
      <c r="GVU6" s="88">
        <f t="shared" si="83"/>
        <v>0</v>
      </c>
      <c r="GVV6" s="88">
        <f t="shared" si="83"/>
        <v>0</v>
      </c>
      <c r="GVW6" s="88">
        <f t="shared" si="83"/>
        <v>0</v>
      </c>
      <c r="GVX6" s="88">
        <f t="shared" si="83"/>
        <v>0</v>
      </c>
      <c r="GVY6" s="88">
        <f t="shared" si="83"/>
        <v>0</v>
      </c>
      <c r="GVZ6" s="88">
        <f t="shared" si="83"/>
        <v>0</v>
      </c>
      <c r="GWA6" s="88">
        <f t="shared" si="83"/>
        <v>0</v>
      </c>
      <c r="GWB6" s="88">
        <f t="shared" si="83"/>
        <v>0</v>
      </c>
      <c r="GWC6" s="88">
        <f t="shared" si="83"/>
        <v>0</v>
      </c>
      <c r="GWD6" s="88">
        <f t="shared" si="83"/>
        <v>0</v>
      </c>
      <c r="GWE6" s="88">
        <f t="shared" si="83"/>
        <v>0</v>
      </c>
      <c r="GWF6" s="88">
        <f t="shared" si="83"/>
        <v>0</v>
      </c>
      <c r="GWG6" s="88">
        <f t="shared" si="83"/>
        <v>0</v>
      </c>
      <c r="GWH6" s="88">
        <f t="shared" si="83"/>
        <v>0</v>
      </c>
      <c r="GWI6" s="88">
        <f t="shared" si="83"/>
        <v>0</v>
      </c>
      <c r="GWJ6" s="88">
        <f t="shared" si="83"/>
        <v>0</v>
      </c>
      <c r="GWK6" s="88">
        <f t="shared" si="83"/>
        <v>0</v>
      </c>
      <c r="GWL6" s="88">
        <f t="shared" si="83"/>
        <v>0</v>
      </c>
      <c r="GWM6" s="88">
        <f t="shared" si="83"/>
        <v>0</v>
      </c>
      <c r="GWN6" s="88">
        <f t="shared" si="83"/>
        <v>0</v>
      </c>
      <c r="GWO6" s="88">
        <f t="shared" si="83"/>
        <v>0</v>
      </c>
      <c r="GWP6" s="88">
        <f t="shared" si="83"/>
        <v>0</v>
      </c>
      <c r="GWQ6" s="88">
        <f t="shared" si="83"/>
        <v>0</v>
      </c>
      <c r="GWR6" s="88">
        <f t="shared" si="83"/>
        <v>0</v>
      </c>
      <c r="GWS6" s="88">
        <f t="shared" si="83"/>
        <v>0</v>
      </c>
      <c r="GWT6" s="88">
        <f t="shared" si="83"/>
        <v>0</v>
      </c>
      <c r="GWU6" s="88">
        <f t="shared" si="83"/>
        <v>0</v>
      </c>
      <c r="GWV6" s="88">
        <f t="shared" si="83"/>
        <v>0</v>
      </c>
      <c r="GWW6" s="88">
        <f t="shared" si="83"/>
        <v>0</v>
      </c>
      <c r="GWX6" s="88">
        <f t="shared" si="83"/>
        <v>0</v>
      </c>
      <c r="GWY6" s="88">
        <f t="shared" si="83"/>
        <v>0</v>
      </c>
      <c r="GWZ6" s="88">
        <f t="shared" si="83"/>
        <v>0</v>
      </c>
      <c r="GXA6" s="88">
        <f t="shared" si="83"/>
        <v>0</v>
      </c>
      <c r="GXB6" s="88">
        <f t="shared" si="83"/>
        <v>0</v>
      </c>
      <c r="GXC6" s="88">
        <f t="shared" si="83"/>
        <v>0</v>
      </c>
      <c r="GXD6" s="88">
        <f t="shared" si="83"/>
        <v>0</v>
      </c>
      <c r="GXE6" s="88">
        <f t="shared" si="83"/>
        <v>0</v>
      </c>
      <c r="GXF6" s="88">
        <f t="shared" si="83"/>
        <v>0</v>
      </c>
      <c r="GXG6" s="88">
        <f t="shared" si="83"/>
        <v>0</v>
      </c>
      <c r="GXH6" s="88">
        <f t="shared" si="83"/>
        <v>0</v>
      </c>
      <c r="GXI6" s="88">
        <f t="shared" si="83"/>
        <v>0</v>
      </c>
      <c r="GXJ6" s="88">
        <f t="shared" si="83"/>
        <v>0</v>
      </c>
      <c r="GXK6" s="88">
        <f t="shared" si="83"/>
        <v>0</v>
      </c>
      <c r="GXL6" s="88">
        <f t="shared" si="83"/>
        <v>0</v>
      </c>
      <c r="GXM6" s="88">
        <f t="shared" si="83"/>
        <v>0</v>
      </c>
      <c r="GXN6" s="88">
        <f t="shared" si="83"/>
        <v>0</v>
      </c>
      <c r="GXO6" s="88">
        <f t="shared" si="83"/>
        <v>0</v>
      </c>
      <c r="GXP6" s="88">
        <f t="shared" si="83"/>
        <v>0</v>
      </c>
      <c r="GXQ6" s="88">
        <f t="shared" si="83"/>
        <v>0</v>
      </c>
      <c r="GXR6" s="88">
        <f t="shared" si="83"/>
        <v>0</v>
      </c>
      <c r="GXS6" s="88">
        <f t="shared" si="83"/>
        <v>0</v>
      </c>
      <c r="GXT6" s="88">
        <f t="shared" si="83"/>
        <v>0</v>
      </c>
      <c r="GXU6" s="88">
        <f t="shared" si="83"/>
        <v>0</v>
      </c>
      <c r="GXV6" s="88">
        <f t="shared" si="83"/>
        <v>0</v>
      </c>
      <c r="GXW6" s="88">
        <f t="shared" si="83"/>
        <v>0</v>
      </c>
      <c r="GXX6" s="88">
        <f t="shared" si="83"/>
        <v>0</v>
      </c>
      <c r="GXY6" s="88">
        <f t="shared" si="83"/>
        <v>0</v>
      </c>
      <c r="GXZ6" s="88">
        <f t="shared" si="83"/>
        <v>0</v>
      </c>
      <c r="GYA6" s="88">
        <f t="shared" si="83"/>
        <v>0</v>
      </c>
      <c r="GYB6" s="88">
        <f t="shared" si="83"/>
        <v>0</v>
      </c>
      <c r="GYC6" s="88">
        <f t="shared" si="83"/>
        <v>0</v>
      </c>
      <c r="GYD6" s="88">
        <f t="shared" si="83"/>
        <v>0</v>
      </c>
      <c r="GYE6" s="88">
        <f t="shared" si="83"/>
        <v>0</v>
      </c>
      <c r="GYF6" s="88">
        <f t="shared" ref="GYF6:HAQ6" si="84">SUM(GYG3:GYG5)</f>
        <v>0</v>
      </c>
      <c r="GYG6" s="88">
        <f t="shared" si="84"/>
        <v>0</v>
      </c>
      <c r="GYH6" s="88">
        <f t="shared" si="84"/>
        <v>0</v>
      </c>
      <c r="GYI6" s="88">
        <f t="shared" si="84"/>
        <v>0</v>
      </c>
      <c r="GYJ6" s="88">
        <f t="shared" si="84"/>
        <v>0</v>
      </c>
      <c r="GYK6" s="88">
        <f t="shared" si="84"/>
        <v>0</v>
      </c>
      <c r="GYL6" s="88">
        <f t="shared" si="84"/>
        <v>0</v>
      </c>
      <c r="GYM6" s="88">
        <f t="shared" si="84"/>
        <v>0</v>
      </c>
      <c r="GYN6" s="88">
        <f t="shared" si="84"/>
        <v>0</v>
      </c>
      <c r="GYO6" s="88">
        <f t="shared" si="84"/>
        <v>0</v>
      </c>
      <c r="GYP6" s="88">
        <f t="shared" si="84"/>
        <v>0</v>
      </c>
      <c r="GYQ6" s="88">
        <f t="shared" si="84"/>
        <v>0</v>
      </c>
      <c r="GYR6" s="88">
        <f t="shared" si="84"/>
        <v>0</v>
      </c>
      <c r="GYS6" s="88">
        <f t="shared" si="84"/>
        <v>0</v>
      </c>
      <c r="GYT6" s="88">
        <f t="shared" si="84"/>
        <v>0</v>
      </c>
      <c r="GYU6" s="88">
        <f t="shared" si="84"/>
        <v>0</v>
      </c>
      <c r="GYV6" s="88">
        <f t="shared" si="84"/>
        <v>0</v>
      </c>
      <c r="GYW6" s="88">
        <f t="shared" si="84"/>
        <v>0</v>
      </c>
      <c r="GYX6" s="88">
        <f t="shared" si="84"/>
        <v>0</v>
      </c>
      <c r="GYY6" s="88">
        <f t="shared" si="84"/>
        <v>0</v>
      </c>
      <c r="GYZ6" s="88">
        <f t="shared" si="84"/>
        <v>0</v>
      </c>
      <c r="GZA6" s="88">
        <f t="shared" si="84"/>
        <v>0</v>
      </c>
      <c r="GZB6" s="88">
        <f t="shared" si="84"/>
        <v>0</v>
      </c>
      <c r="GZC6" s="88">
        <f t="shared" si="84"/>
        <v>0</v>
      </c>
      <c r="GZD6" s="88">
        <f t="shared" si="84"/>
        <v>0</v>
      </c>
      <c r="GZE6" s="88">
        <f t="shared" si="84"/>
        <v>0</v>
      </c>
      <c r="GZF6" s="88">
        <f t="shared" si="84"/>
        <v>0</v>
      </c>
      <c r="GZG6" s="88">
        <f t="shared" si="84"/>
        <v>0</v>
      </c>
      <c r="GZH6" s="88">
        <f t="shared" si="84"/>
        <v>0</v>
      </c>
      <c r="GZI6" s="88">
        <f t="shared" si="84"/>
        <v>0</v>
      </c>
      <c r="GZJ6" s="88">
        <f t="shared" si="84"/>
        <v>0</v>
      </c>
      <c r="GZK6" s="88">
        <f t="shared" si="84"/>
        <v>0</v>
      </c>
      <c r="GZL6" s="88">
        <f t="shared" si="84"/>
        <v>0</v>
      </c>
      <c r="GZM6" s="88">
        <f t="shared" si="84"/>
        <v>0</v>
      </c>
      <c r="GZN6" s="88">
        <f t="shared" si="84"/>
        <v>0</v>
      </c>
      <c r="GZO6" s="88">
        <f t="shared" si="84"/>
        <v>0</v>
      </c>
      <c r="GZP6" s="88">
        <f t="shared" si="84"/>
        <v>0</v>
      </c>
      <c r="GZQ6" s="88">
        <f t="shared" si="84"/>
        <v>0</v>
      </c>
      <c r="GZR6" s="88">
        <f t="shared" si="84"/>
        <v>0</v>
      </c>
      <c r="GZS6" s="88">
        <f t="shared" si="84"/>
        <v>0</v>
      </c>
      <c r="GZT6" s="88">
        <f t="shared" si="84"/>
        <v>0</v>
      </c>
      <c r="GZU6" s="88">
        <f t="shared" si="84"/>
        <v>0</v>
      </c>
      <c r="GZV6" s="88">
        <f t="shared" si="84"/>
        <v>0</v>
      </c>
      <c r="GZW6" s="88">
        <f t="shared" si="84"/>
        <v>0</v>
      </c>
      <c r="GZX6" s="88">
        <f t="shared" si="84"/>
        <v>0</v>
      </c>
      <c r="GZY6" s="88">
        <f t="shared" si="84"/>
        <v>0</v>
      </c>
      <c r="GZZ6" s="88">
        <f t="shared" si="84"/>
        <v>0</v>
      </c>
      <c r="HAA6" s="88">
        <f t="shared" si="84"/>
        <v>0</v>
      </c>
      <c r="HAB6" s="88">
        <f t="shared" si="84"/>
        <v>0</v>
      </c>
      <c r="HAC6" s="88">
        <f t="shared" si="84"/>
        <v>0</v>
      </c>
      <c r="HAD6" s="88">
        <f t="shared" si="84"/>
        <v>0</v>
      </c>
      <c r="HAE6" s="88">
        <f t="shared" si="84"/>
        <v>0</v>
      </c>
      <c r="HAF6" s="88">
        <f t="shared" si="84"/>
        <v>0</v>
      </c>
      <c r="HAG6" s="88">
        <f t="shared" si="84"/>
        <v>0</v>
      </c>
      <c r="HAH6" s="88">
        <f t="shared" si="84"/>
        <v>0</v>
      </c>
      <c r="HAI6" s="88">
        <f t="shared" si="84"/>
        <v>0</v>
      </c>
      <c r="HAJ6" s="88">
        <f t="shared" si="84"/>
        <v>0</v>
      </c>
      <c r="HAK6" s="88">
        <f t="shared" si="84"/>
        <v>0</v>
      </c>
      <c r="HAL6" s="88">
        <f t="shared" si="84"/>
        <v>0</v>
      </c>
      <c r="HAM6" s="88">
        <f t="shared" si="84"/>
        <v>0</v>
      </c>
      <c r="HAN6" s="88">
        <f t="shared" si="84"/>
        <v>0</v>
      </c>
      <c r="HAO6" s="88">
        <f t="shared" si="84"/>
        <v>0</v>
      </c>
      <c r="HAP6" s="88">
        <f t="shared" si="84"/>
        <v>0</v>
      </c>
      <c r="HAQ6" s="88">
        <f t="shared" si="84"/>
        <v>0</v>
      </c>
      <c r="HAR6" s="88">
        <f t="shared" ref="HAR6:HDC6" si="85">SUM(HAS3:HAS5)</f>
        <v>0</v>
      </c>
      <c r="HAS6" s="88">
        <f t="shared" si="85"/>
        <v>0</v>
      </c>
      <c r="HAT6" s="88">
        <f t="shared" si="85"/>
        <v>0</v>
      </c>
      <c r="HAU6" s="88">
        <f t="shared" si="85"/>
        <v>0</v>
      </c>
      <c r="HAV6" s="88">
        <f t="shared" si="85"/>
        <v>0</v>
      </c>
      <c r="HAW6" s="88">
        <f t="shared" si="85"/>
        <v>0</v>
      </c>
      <c r="HAX6" s="88">
        <f t="shared" si="85"/>
        <v>0</v>
      </c>
      <c r="HAY6" s="88">
        <f t="shared" si="85"/>
        <v>0</v>
      </c>
      <c r="HAZ6" s="88">
        <f t="shared" si="85"/>
        <v>0</v>
      </c>
      <c r="HBA6" s="88">
        <f t="shared" si="85"/>
        <v>0</v>
      </c>
      <c r="HBB6" s="88">
        <f t="shared" si="85"/>
        <v>0</v>
      </c>
      <c r="HBC6" s="88">
        <f t="shared" si="85"/>
        <v>0</v>
      </c>
      <c r="HBD6" s="88">
        <f t="shared" si="85"/>
        <v>0</v>
      </c>
      <c r="HBE6" s="88">
        <f t="shared" si="85"/>
        <v>0</v>
      </c>
      <c r="HBF6" s="88">
        <f t="shared" si="85"/>
        <v>0</v>
      </c>
      <c r="HBG6" s="88">
        <f t="shared" si="85"/>
        <v>0</v>
      </c>
      <c r="HBH6" s="88">
        <f t="shared" si="85"/>
        <v>0</v>
      </c>
      <c r="HBI6" s="88">
        <f t="shared" si="85"/>
        <v>0</v>
      </c>
      <c r="HBJ6" s="88">
        <f t="shared" si="85"/>
        <v>0</v>
      </c>
      <c r="HBK6" s="88">
        <f t="shared" si="85"/>
        <v>0</v>
      </c>
      <c r="HBL6" s="88">
        <f t="shared" si="85"/>
        <v>0</v>
      </c>
      <c r="HBM6" s="88">
        <f t="shared" si="85"/>
        <v>0</v>
      </c>
      <c r="HBN6" s="88">
        <f t="shared" si="85"/>
        <v>0</v>
      </c>
      <c r="HBO6" s="88">
        <f t="shared" si="85"/>
        <v>0</v>
      </c>
      <c r="HBP6" s="88">
        <f t="shared" si="85"/>
        <v>0</v>
      </c>
      <c r="HBQ6" s="88">
        <f t="shared" si="85"/>
        <v>0</v>
      </c>
      <c r="HBR6" s="88">
        <f t="shared" si="85"/>
        <v>0</v>
      </c>
      <c r="HBS6" s="88">
        <f t="shared" si="85"/>
        <v>0</v>
      </c>
      <c r="HBT6" s="88">
        <f t="shared" si="85"/>
        <v>0</v>
      </c>
      <c r="HBU6" s="88">
        <f t="shared" si="85"/>
        <v>0</v>
      </c>
      <c r="HBV6" s="88">
        <f t="shared" si="85"/>
        <v>0</v>
      </c>
      <c r="HBW6" s="88">
        <f t="shared" si="85"/>
        <v>0</v>
      </c>
      <c r="HBX6" s="88">
        <f t="shared" si="85"/>
        <v>0</v>
      </c>
      <c r="HBY6" s="88">
        <f t="shared" si="85"/>
        <v>0</v>
      </c>
      <c r="HBZ6" s="88">
        <f t="shared" si="85"/>
        <v>0</v>
      </c>
      <c r="HCA6" s="88">
        <f t="shared" si="85"/>
        <v>0</v>
      </c>
      <c r="HCB6" s="88">
        <f t="shared" si="85"/>
        <v>0</v>
      </c>
      <c r="HCC6" s="88">
        <f t="shared" si="85"/>
        <v>0</v>
      </c>
      <c r="HCD6" s="88">
        <f t="shared" si="85"/>
        <v>0</v>
      </c>
      <c r="HCE6" s="88">
        <f t="shared" si="85"/>
        <v>0</v>
      </c>
      <c r="HCF6" s="88">
        <f t="shared" si="85"/>
        <v>0</v>
      </c>
      <c r="HCG6" s="88">
        <f t="shared" si="85"/>
        <v>0</v>
      </c>
      <c r="HCH6" s="88">
        <f t="shared" si="85"/>
        <v>0</v>
      </c>
      <c r="HCI6" s="88">
        <f t="shared" si="85"/>
        <v>0</v>
      </c>
      <c r="HCJ6" s="88">
        <f t="shared" si="85"/>
        <v>0</v>
      </c>
      <c r="HCK6" s="88">
        <f t="shared" si="85"/>
        <v>0</v>
      </c>
      <c r="HCL6" s="88">
        <f t="shared" si="85"/>
        <v>0</v>
      </c>
      <c r="HCM6" s="88">
        <f t="shared" si="85"/>
        <v>0</v>
      </c>
      <c r="HCN6" s="88">
        <f t="shared" si="85"/>
        <v>0</v>
      </c>
      <c r="HCO6" s="88">
        <f t="shared" si="85"/>
        <v>0</v>
      </c>
      <c r="HCP6" s="88">
        <f t="shared" si="85"/>
        <v>0</v>
      </c>
      <c r="HCQ6" s="88">
        <f t="shared" si="85"/>
        <v>0</v>
      </c>
      <c r="HCR6" s="88">
        <f t="shared" si="85"/>
        <v>0</v>
      </c>
      <c r="HCS6" s="88">
        <f t="shared" si="85"/>
        <v>0</v>
      </c>
      <c r="HCT6" s="88">
        <f t="shared" si="85"/>
        <v>0</v>
      </c>
      <c r="HCU6" s="88">
        <f t="shared" si="85"/>
        <v>0</v>
      </c>
      <c r="HCV6" s="88">
        <f t="shared" si="85"/>
        <v>0</v>
      </c>
      <c r="HCW6" s="88">
        <f t="shared" si="85"/>
        <v>0</v>
      </c>
      <c r="HCX6" s="88">
        <f t="shared" si="85"/>
        <v>0</v>
      </c>
      <c r="HCY6" s="88">
        <f t="shared" si="85"/>
        <v>0</v>
      </c>
      <c r="HCZ6" s="88">
        <f t="shared" si="85"/>
        <v>0</v>
      </c>
      <c r="HDA6" s="88">
        <f t="shared" si="85"/>
        <v>0</v>
      </c>
      <c r="HDB6" s="88">
        <f t="shared" si="85"/>
        <v>0</v>
      </c>
      <c r="HDC6" s="88">
        <f t="shared" si="85"/>
        <v>0</v>
      </c>
      <c r="HDD6" s="88">
        <f t="shared" ref="HDD6:HFO6" si="86">SUM(HDE3:HDE5)</f>
        <v>0</v>
      </c>
      <c r="HDE6" s="88">
        <f t="shared" si="86"/>
        <v>0</v>
      </c>
      <c r="HDF6" s="88">
        <f t="shared" si="86"/>
        <v>0</v>
      </c>
      <c r="HDG6" s="88">
        <f t="shared" si="86"/>
        <v>0</v>
      </c>
      <c r="HDH6" s="88">
        <f t="shared" si="86"/>
        <v>0</v>
      </c>
      <c r="HDI6" s="88">
        <f t="shared" si="86"/>
        <v>0</v>
      </c>
      <c r="HDJ6" s="88">
        <f t="shared" si="86"/>
        <v>0</v>
      </c>
      <c r="HDK6" s="88">
        <f t="shared" si="86"/>
        <v>0</v>
      </c>
      <c r="HDL6" s="88">
        <f t="shared" si="86"/>
        <v>0</v>
      </c>
      <c r="HDM6" s="88">
        <f t="shared" si="86"/>
        <v>0</v>
      </c>
      <c r="HDN6" s="88">
        <f t="shared" si="86"/>
        <v>0</v>
      </c>
      <c r="HDO6" s="88">
        <f t="shared" si="86"/>
        <v>0</v>
      </c>
      <c r="HDP6" s="88">
        <f t="shared" si="86"/>
        <v>0</v>
      </c>
      <c r="HDQ6" s="88">
        <f t="shared" si="86"/>
        <v>0</v>
      </c>
      <c r="HDR6" s="88">
        <f t="shared" si="86"/>
        <v>0</v>
      </c>
      <c r="HDS6" s="88">
        <f t="shared" si="86"/>
        <v>0</v>
      </c>
      <c r="HDT6" s="88">
        <f t="shared" si="86"/>
        <v>0</v>
      </c>
      <c r="HDU6" s="88">
        <f t="shared" si="86"/>
        <v>0</v>
      </c>
      <c r="HDV6" s="88">
        <f t="shared" si="86"/>
        <v>0</v>
      </c>
      <c r="HDW6" s="88">
        <f t="shared" si="86"/>
        <v>0</v>
      </c>
      <c r="HDX6" s="88">
        <f t="shared" si="86"/>
        <v>0</v>
      </c>
      <c r="HDY6" s="88">
        <f t="shared" si="86"/>
        <v>0</v>
      </c>
      <c r="HDZ6" s="88">
        <f t="shared" si="86"/>
        <v>0</v>
      </c>
      <c r="HEA6" s="88">
        <f t="shared" si="86"/>
        <v>0</v>
      </c>
      <c r="HEB6" s="88">
        <f t="shared" si="86"/>
        <v>0</v>
      </c>
      <c r="HEC6" s="88">
        <f t="shared" si="86"/>
        <v>0</v>
      </c>
      <c r="HED6" s="88">
        <f t="shared" si="86"/>
        <v>0</v>
      </c>
      <c r="HEE6" s="88">
        <f t="shared" si="86"/>
        <v>0</v>
      </c>
      <c r="HEF6" s="88">
        <f t="shared" si="86"/>
        <v>0</v>
      </c>
      <c r="HEG6" s="88">
        <f t="shared" si="86"/>
        <v>0</v>
      </c>
      <c r="HEH6" s="88">
        <f t="shared" si="86"/>
        <v>0</v>
      </c>
      <c r="HEI6" s="88">
        <f t="shared" si="86"/>
        <v>0</v>
      </c>
      <c r="HEJ6" s="88">
        <f t="shared" si="86"/>
        <v>0</v>
      </c>
      <c r="HEK6" s="88">
        <f t="shared" si="86"/>
        <v>0</v>
      </c>
      <c r="HEL6" s="88">
        <f t="shared" si="86"/>
        <v>0</v>
      </c>
      <c r="HEM6" s="88">
        <f t="shared" si="86"/>
        <v>0</v>
      </c>
      <c r="HEN6" s="88">
        <f t="shared" si="86"/>
        <v>0</v>
      </c>
      <c r="HEO6" s="88">
        <f t="shared" si="86"/>
        <v>0</v>
      </c>
      <c r="HEP6" s="88">
        <f t="shared" si="86"/>
        <v>0</v>
      </c>
      <c r="HEQ6" s="88">
        <f t="shared" si="86"/>
        <v>0</v>
      </c>
      <c r="HER6" s="88">
        <f t="shared" si="86"/>
        <v>0</v>
      </c>
      <c r="HES6" s="88">
        <f t="shared" si="86"/>
        <v>0</v>
      </c>
      <c r="HET6" s="88">
        <f t="shared" si="86"/>
        <v>0</v>
      </c>
      <c r="HEU6" s="88">
        <f t="shared" si="86"/>
        <v>0</v>
      </c>
      <c r="HEV6" s="88">
        <f t="shared" si="86"/>
        <v>0</v>
      </c>
      <c r="HEW6" s="88">
        <f t="shared" si="86"/>
        <v>0</v>
      </c>
      <c r="HEX6" s="88">
        <f t="shared" si="86"/>
        <v>0</v>
      </c>
      <c r="HEY6" s="88">
        <f t="shared" si="86"/>
        <v>0</v>
      </c>
      <c r="HEZ6" s="88">
        <f t="shared" si="86"/>
        <v>0</v>
      </c>
      <c r="HFA6" s="88">
        <f t="shared" si="86"/>
        <v>0</v>
      </c>
      <c r="HFB6" s="88">
        <f t="shared" si="86"/>
        <v>0</v>
      </c>
      <c r="HFC6" s="88">
        <f t="shared" si="86"/>
        <v>0</v>
      </c>
      <c r="HFD6" s="88">
        <f t="shared" si="86"/>
        <v>0</v>
      </c>
      <c r="HFE6" s="88">
        <f t="shared" si="86"/>
        <v>0</v>
      </c>
      <c r="HFF6" s="88">
        <f t="shared" si="86"/>
        <v>0</v>
      </c>
      <c r="HFG6" s="88">
        <f t="shared" si="86"/>
        <v>0</v>
      </c>
      <c r="HFH6" s="88">
        <f t="shared" si="86"/>
        <v>0</v>
      </c>
      <c r="HFI6" s="88">
        <f t="shared" si="86"/>
        <v>0</v>
      </c>
      <c r="HFJ6" s="88">
        <f t="shared" si="86"/>
        <v>0</v>
      </c>
      <c r="HFK6" s="88">
        <f t="shared" si="86"/>
        <v>0</v>
      </c>
      <c r="HFL6" s="88">
        <f t="shared" si="86"/>
        <v>0</v>
      </c>
      <c r="HFM6" s="88">
        <f t="shared" si="86"/>
        <v>0</v>
      </c>
      <c r="HFN6" s="88">
        <f t="shared" si="86"/>
        <v>0</v>
      </c>
      <c r="HFO6" s="88">
        <f t="shared" si="86"/>
        <v>0</v>
      </c>
      <c r="HFP6" s="88">
        <f t="shared" ref="HFP6:HIA6" si="87">SUM(HFQ3:HFQ5)</f>
        <v>0</v>
      </c>
      <c r="HFQ6" s="88">
        <f t="shared" si="87"/>
        <v>0</v>
      </c>
      <c r="HFR6" s="88">
        <f t="shared" si="87"/>
        <v>0</v>
      </c>
      <c r="HFS6" s="88">
        <f t="shared" si="87"/>
        <v>0</v>
      </c>
      <c r="HFT6" s="88">
        <f t="shared" si="87"/>
        <v>0</v>
      </c>
      <c r="HFU6" s="88">
        <f t="shared" si="87"/>
        <v>0</v>
      </c>
      <c r="HFV6" s="88">
        <f t="shared" si="87"/>
        <v>0</v>
      </c>
      <c r="HFW6" s="88">
        <f t="shared" si="87"/>
        <v>0</v>
      </c>
      <c r="HFX6" s="88">
        <f t="shared" si="87"/>
        <v>0</v>
      </c>
      <c r="HFY6" s="88">
        <f t="shared" si="87"/>
        <v>0</v>
      </c>
      <c r="HFZ6" s="88">
        <f t="shared" si="87"/>
        <v>0</v>
      </c>
      <c r="HGA6" s="88">
        <f t="shared" si="87"/>
        <v>0</v>
      </c>
      <c r="HGB6" s="88">
        <f t="shared" si="87"/>
        <v>0</v>
      </c>
      <c r="HGC6" s="88">
        <f t="shared" si="87"/>
        <v>0</v>
      </c>
      <c r="HGD6" s="88">
        <f t="shared" si="87"/>
        <v>0</v>
      </c>
      <c r="HGE6" s="88">
        <f t="shared" si="87"/>
        <v>0</v>
      </c>
      <c r="HGF6" s="88">
        <f t="shared" si="87"/>
        <v>0</v>
      </c>
      <c r="HGG6" s="88">
        <f t="shared" si="87"/>
        <v>0</v>
      </c>
      <c r="HGH6" s="88">
        <f t="shared" si="87"/>
        <v>0</v>
      </c>
      <c r="HGI6" s="88">
        <f t="shared" si="87"/>
        <v>0</v>
      </c>
      <c r="HGJ6" s="88">
        <f t="shared" si="87"/>
        <v>0</v>
      </c>
      <c r="HGK6" s="88">
        <f t="shared" si="87"/>
        <v>0</v>
      </c>
      <c r="HGL6" s="88">
        <f t="shared" si="87"/>
        <v>0</v>
      </c>
      <c r="HGM6" s="88">
        <f t="shared" si="87"/>
        <v>0</v>
      </c>
      <c r="HGN6" s="88">
        <f t="shared" si="87"/>
        <v>0</v>
      </c>
      <c r="HGO6" s="88">
        <f t="shared" si="87"/>
        <v>0</v>
      </c>
      <c r="HGP6" s="88">
        <f t="shared" si="87"/>
        <v>0</v>
      </c>
      <c r="HGQ6" s="88">
        <f t="shared" si="87"/>
        <v>0</v>
      </c>
      <c r="HGR6" s="88">
        <f t="shared" si="87"/>
        <v>0</v>
      </c>
      <c r="HGS6" s="88">
        <f t="shared" si="87"/>
        <v>0</v>
      </c>
      <c r="HGT6" s="88">
        <f t="shared" si="87"/>
        <v>0</v>
      </c>
      <c r="HGU6" s="88">
        <f t="shared" si="87"/>
        <v>0</v>
      </c>
      <c r="HGV6" s="88">
        <f t="shared" si="87"/>
        <v>0</v>
      </c>
      <c r="HGW6" s="88">
        <f t="shared" si="87"/>
        <v>0</v>
      </c>
      <c r="HGX6" s="88">
        <f t="shared" si="87"/>
        <v>0</v>
      </c>
      <c r="HGY6" s="88">
        <f t="shared" si="87"/>
        <v>0</v>
      </c>
      <c r="HGZ6" s="88">
        <f t="shared" si="87"/>
        <v>0</v>
      </c>
      <c r="HHA6" s="88">
        <f t="shared" si="87"/>
        <v>0</v>
      </c>
      <c r="HHB6" s="88">
        <f t="shared" si="87"/>
        <v>0</v>
      </c>
      <c r="HHC6" s="88">
        <f t="shared" si="87"/>
        <v>0</v>
      </c>
      <c r="HHD6" s="88">
        <f t="shared" si="87"/>
        <v>0</v>
      </c>
      <c r="HHE6" s="88">
        <f t="shared" si="87"/>
        <v>0</v>
      </c>
      <c r="HHF6" s="88">
        <f t="shared" si="87"/>
        <v>0</v>
      </c>
      <c r="HHG6" s="88">
        <f t="shared" si="87"/>
        <v>0</v>
      </c>
      <c r="HHH6" s="88">
        <f t="shared" si="87"/>
        <v>0</v>
      </c>
      <c r="HHI6" s="88">
        <f t="shared" si="87"/>
        <v>0</v>
      </c>
      <c r="HHJ6" s="88">
        <f t="shared" si="87"/>
        <v>0</v>
      </c>
      <c r="HHK6" s="88">
        <f t="shared" si="87"/>
        <v>0</v>
      </c>
      <c r="HHL6" s="88">
        <f t="shared" si="87"/>
        <v>0</v>
      </c>
      <c r="HHM6" s="88">
        <f t="shared" si="87"/>
        <v>0</v>
      </c>
      <c r="HHN6" s="88">
        <f t="shared" si="87"/>
        <v>0</v>
      </c>
      <c r="HHO6" s="88">
        <f t="shared" si="87"/>
        <v>0</v>
      </c>
      <c r="HHP6" s="88">
        <f t="shared" si="87"/>
        <v>0</v>
      </c>
      <c r="HHQ6" s="88">
        <f t="shared" si="87"/>
        <v>0</v>
      </c>
      <c r="HHR6" s="88">
        <f t="shared" si="87"/>
        <v>0</v>
      </c>
      <c r="HHS6" s="88">
        <f t="shared" si="87"/>
        <v>0</v>
      </c>
      <c r="HHT6" s="88">
        <f t="shared" si="87"/>
        <v>0</v>
      </c>
      <c r="HHU6" s="88">
        <f t="shared" si="87"/>
        <v>0</v>
      </c>
      <c r="HHV6" s="88">
        <f t="shared" si="87"/>
        <v>0</v>
      </c>
      <c r="HHW6" s="88">
        <f t="shared" si="87"/>
        <v>0</v>
      </c>
      <c r="HHX6" s="88">
        <f t="shared" si="87"/>
        <v>0</v>
      </c>
      <c r="HHY6" s="88">
        <f t="shared" si="87"/>
        <v>0</v>
      </c>
      <c r="HHZ6" s="88">
        <f t="shared" si="87"/>
        <v>0</v>
      </c>
      <c r="HIA6" s="88">
        <f t="shared" si="87"/>
        <v>0</v>
      </c>
      <c r="HIB6" s="88">
        <f t="shared" ref="HIB6:HKM6" si="88">SUM(HIC3:HIC5)</f>
        <v>0</v>
      </c>
      <c r="HIC6" s="88">
        <f t="shared" si="88"/>
        <v>0</v>
      </c>
      <c r="HID6" s="88">
        <f t="shared" si="88"/>
        <v>0</v>
      </c>
      <c r="HIE6" s="88">
        <f t="shared" si="88"/>
        <v>0</v>
      </c>
      <c r="HIF6" s="88">
        <f t="shared" si="88"/>
        <v>0</v>
      </c>
      <c r="HIG6" s="88">
        <f t="shared" si="88"/>
        <v>0</v>
      </c>
      <c r="HIH6" s="88">
        <f t="shared" si="88"/>
        <v>0</v>
      </c>
      <c r="HII6" s="88">
        <f t="shared" si="88"/>
        <v>0</v>
      </c>
      <c r="HIJ6" s="88">
        <f t="shared" si="88"/>
        <v>0</v>
      </c>
      <c r="HIK6" s="88">
        <f t="shared" si="88"/>
        <v>0</v>
      </c>
      <c r="HIL6" s="88">
        <f t="shared" si="88"/>
        <v>0</v>
      </c>
      <c r="HIM6" s="88">
        <f t="shared" si="88"/>
        <v>0</v>
      </c>
      <c r="HIN6" s="88">
        <f t="shared" si="88"/>
        <v>0</v>
      </c>
      <c r="HIO6" s="88">
        <f t="shared" si="88"/>
        <v>0</v>
      </c>
      <c r="HIP6" s="88">
        <f t="shared" si="88"/>
        <v>0</v>
      </c>
      <c r="HIQ6" s="88">
        <f t="shared" si="88"/>
        <v>0</v>
      </c>
      <c r="HIR6" s="88">
        <f t="shared" si="88"/>
        <v>0</v>
      </c>
      <c r="HIS6" s="88">
        <f t="shared" si="88"/>
        <v>0</v>
      </c>
      <c r="HIT6" s="88">
        <f t="shared" si="88"/>
        <v>0</v>
      </c>
      <c r="HIU6" s="88">
        <f t="shared" si="88"/>
        <v>0</v>
      </c>
      <c r="HIV6" s="88">
        <f t="shared" si="88"/>
        <v>0</v>
      </c>
      <c r="HIW6" s="88">
        <f t="shared" si="88"/>
        <v>0</v>
      </c>
      <c r="HIX6" s="88">
        <f t="shared" si="88"/>
        <v>0</v>
      </c>
      <c r="HIY6" s="88">
        <f t="shared" si="88"/>
        <v>0</v>
      </c>
      <c r="HIZ6" s="88">
        <f t="shared" si="88"/>
        <v>0</v>
      </c>
      <c r="HJA6" s="88">
        <f t="shared" si="88"/>
        <v>0</v>
      </c>
      <c r="HJB6" s="88">
        <f t="shared" si="88"/>
        <v>0</v>
      </c>
      <c r="HJC6" s="88">
        <f t="shared" si="88"/>
        <v>0</v>
      </c>
      <c r="HJD6" s="88">
        <f t="shared" si="88"/>
        <v>0</v>
      </c>
      <c r="HJE6" s="88">
        <f t="shared" si="88"/>
        <v>0</v>
      </c>
      <c r="HJF6" s="88">
        <f t="shared" si="88"/>
        <v>0</v>
      </c>
      <c r="HJG6" s="88">
        <f t="shared" si="88"/>
        <v>0</v>
      </c>
      <c r="HJH6" s="88">
        <f t="shared" si="88"/>
        <v>0</v>
      </c>
      <c r="HJI6" s="88">
        <f t="shared" si="88"/>
        <v>0</v>
      </c>
      <c r="HJJ6" s="88">
        <f t="shared" si="88"/>
        <v>0</v>
      </c>
      <c r="HJK6" s="88">
        <f t="shared" si="88"/>
        <v>0</v>
      </c>
      <c r="HJL6" s="88">
        <f t="shared" si="88"/>
        <v>0</v>
      </c>
      <c r="HJM6" s="88">
        <f t="shared" si="88"/>
        <v>0</v>
      </c>
      <c r="HJN6" s="88">
        <f t="shared" si="88"/>
        <v>0</v>
      </c>
      <c r="HJO6" s="88">
        <f t="shared" si="88"/>
        <v>0</v>
      </c>
      <c r="HJP6" s="88">
        <f t="shared" si="88"/>
        <v>0</v>
      </c>
      <c r="HJQ6" s="88">
        <f t="shared" si="88"/>
        <v>0</v>
      </c>
      <c r="HJR6" s="88">
        <f t="shared" si="88"/>
        <v>0</v>
      </c>
      <c r="HJS6" s="88">
        <f t="shared" si="88"/>
        <v>0</v>
      </c>
      <c r="HJT6" s="88">
        <f t="shared" si="88"/>
        <v>0</v>
      </c>
      <c r="HJU6" s="88">
        <f t="shared" si="88"/>
        <v>0</v>
      </c>
      <c r="HJV6" s="88">
        <f t="shared" si="88"/>
        <v>0</v>
      </c>
      <c r="HJW6" s="88">
        <f t="shared" si="88"/>
        <v>0</v>
      </c>
      <c r="HJX6" s="88">
        <f t="shared" si="88"/>
        <v>0</v>
      </c>
      <c r="HJY6" s="88">
        <f t="shared" si="88"/>
        <v>0</v>
      </c>
      <c r="HJZ6" s="88">
        <f t="shared" si="88"/>
        <v>0</v>
      </c>
      <c r="HKA6" s="88">
        <f t="shared" si="88"/>
        <v>0</v>
      </c>
      <c r="HKB6" s="88">
        <f t="shared" si="88"/>
        <v>0</v>
      </c>
      <c r="HKC6" s="88">
        <f t="shared" si="88"/>
        <v>0</v>
      </c>
      <c r="HKD6" s="88">
        <f t="shared" si="88"/>
        <v>0</v>
      </c>
      <c r="HKE6" s="88">
        <f t="shared" si="88"/>
        <v>0</v>
      </c>
      <c r="HKF6" s="88">
        <f t="shared" si="88"/>
        <v>0</v>
      </c>
      <c r="HKG6" s="88">
        <f t="shared" si="88"/>
        <v>0</v>
      </c>
      <c r="HKH6" s="88">
        <f t="shared" si="88"/>
        <v>0</v>
      </c>
      <c r="HKI6" s="88">
        <f t="shared" si="88"/>
        <v>0</v>
      </c>
      <c r="HKJ6" s="88">
        <f t="shared" si="88"/>
        <v>0</v>
      </c>
      <c r="HKK6" s="88">
        <f t="shared" si="88"/>
        <v>0</v>
      </c>
      <c r="HKL6" s="88">
        <f t="shared" si="88"/>
        <v>0</v>
      </c>
      <c r="HKM6" s="88">
        <f t="shared" si="88"/>
        <v>0</v>
      </c>
      <c r="HKN6" s="88">
        <f t="shared" ref="HKN6:HMY6" si="89">SUM(HKO3:HKO5)</f>
        <v>0</v>
      </c>
      <c r="HKO6" s="88">
        <f t="shared" si="89"/>
        <v>0</v>
      </c>
      <c r="HKP6" s="88">
        <f t="shared" si="89"/>
        <v>0</v>
      </c>
      <c r="HKQ6" s="88">
        <f t="shared" si="89"/>
        <v>0</v>
      </c>
      <c r="HKR6" s="88">
        <f t="shared" si="89"/>
        <v>0</v>
      </c>
      <c r="HKS6" s="88">
        <f t="shared" si="89"/>
        <v>0</v>
      </c>
      <c r="HKT6" s="88">
        <f t="shared" si="89"/>
        <v>0</v>
      </c>
      <c r="HKU6" s="88">
        <f t="shared" si="89"/>
        <v>0</v>
      </c>
      <c r="HKV6" s="88">
        <f t="shared" si="89"/>
        <v>0</v>
      </c>
      <c r="HKW6" s="88">
        <f t="shared" si="89"/>
        <v>0</v>
      </c>
      <c r="HKX6" s="88">
        <f t="shared" si="89"/>
        <v>0</v>
      </c>
      <c r="HKY6" s="88">
        <f t="shared" si="89"/>
        <v>0</v>
      </c>
      <c r="HKZ6" s="88">
        <f t="shared" si="89"/>
        <v>0</v>
      </c>
      <c r="HLA6" s="88">
        <f t="shared" si="89"/>
        <v>0</v>
      </c>
      <c r="HLB6" s="88">
        <f t="shared" si="89"/>
        <v>0</v>
      </c>
      <c r="HLC6" s="88">
        <f t="shared" si="89"/>
        <v>0</v>
      </c>
      <c r="HLD6" s="88">
        <f t="shared" si="89"/>
        <v>0</v>
      </c>
      <c r="HLE6" s="88">
        <f t="shared" si="89"/>
        <v>0</v>
      </c>
      <c r="HLF6" s="88">
        <f t="shared" si="89"/>
        <v>0</v>
      </c>
      <c r="HLG6" s="88">
        <f t="shared" si="89"/>
        <v>0</v>
      </c>
      <c r="HLH6" s="88">
        <f t="shared" si="89"/>
        <v>0</v>
      </c>
      <c r="HLI6" s="88">
        <f t="shared" si="89"/>
        <v>0</v>
      </c>
      <c r="HLJ6" s="88">
        <f t="shared" si="89"/>
        <v>0</v>
      </c>
      <c r="HLK6" s="88">
        <f t="shared" si="89"/>
        <v>0</v>
      </c>
      <c r="HLL6" s="88">
        <f t="shared" si="89"/>
        <v>0</v>
      </c>
      <c r="HLM6" s="88">
        <f t="shared" si="89"/>
        <v>0</v>
      </c>
      <c r="HLN6" s="88">
        <f t="shared" si="89"/>
        <v>0</v>
      </c>
      <c r="HLO6" s="88">
        <f t="shared" si="89"/>
        <v>0</v>
      </c>
      <c r="HLP6" s="88">
        <f t="shared" si="89"/>
        <v>0</v>
      </c>
      <c r="HLQ6" s="88">
        <f t="shared" si="89"/>
        <v>0</v>
      </c>
      <c r="HLR6" s="88">
        <f t="shared" si="89"/>
        <v>0</v>
      </c>
      <c r="HLS6" s="88">
        <f t="shared" si="89"/>
        <v>0</v>
      </c>
      <c r="HLT6" s="88">
        <f t="shared" si="89"/>
        <v>0</v>
      </c>
      <c r="HLU6" s="88">
        <f t="shared" si="89"/>
        <v>0</v>
      </c>
      <c r="HLV6" s="88">
        <f t="shared" si="89"/>
        <v>0</v>
      </c>
      <c r="HLW6" s="88">
        <f t="shared" si="89"/>
        <v>0</v>
      </c>
      <c r="HLX6" s="88">
        <f t="shared" si="89"/>
        <v>0</v>
      </c>
      <c r="HLY6" s="88">
        <f t="shared" si="89"/>
        <v>0</v>
      </c>
      <c r="HLZ6" s="88">
        <f t="shared" si="89"/>
        <v>0</v>
      </c>
      <c r="HMA6" s="88">
        <f t="shared" si="89"/>
        <v>0</v>
      </c>
      <c r="HMB6" s="88">
        <f t="shared" si="89"/>
        <v>0</v>
      </c>
      <c r="HMC6" s="88">
        <f t="shared" si="89"/>
        <v>0</v>
      </c>
      <c r="HMD6" s="88">
        <f t="shared" si="89"/>
        <v>0</v>
      </c>
      <c r="HME6" s="88">
        <f t="shared" si="89"/>
        <v>0</v>
      </c>
      <c r="HMF6" s="88">
        <f t="shared" si="89"/>
        <v>0</v>
      </c>
      <c r="HMG6" s="88">
        <f t="shared" si="89"/>
        <v>0</v>
      </c>
      <c r="HMH6" s="88">
        <f t="shared" si="89"/>
        <v>0</v>
      </c>
      <c r="HMI6" s="88">
        <f t="shared" si="89"/>
        <v>0</v>
      </c>
      <c r="HMJ6" s="88">
        <f t="shared" si="89"/>
        <v>0</v>
      </c>
      <c r="HMK6" s="88">
        <f t="shared" si="89"/>
        <v>0</v>
      </c>
      <c r="HML6" s="88">
        <f t="shared" si="89"/>
        <v>0</v>
      </c>
      <c r="HMM6" s="88">
        <f t="shared" si="89"/>
        <v>0</v>
      </c>
      <c r="HMN6" s="88">
        <f t="shared" si="89"/>
        <v>0</v>
      </c>
      <c r="HMO6" s="88">
        <f t="shared" si="89"/>
        <v>0</v>
      </c>
      <c r="HMP6" s="88">
        <f t="shared" si="89"/>
        <v>0</v>
      </c>
      <c r="HMQ6" s="88">
        <f t="shared" si="89"/>
        <v>0</v>
      </c>
      <c r="HMR6" s="88">
        <f t="shared" si="89"/>
        <v>0</v>
      </c>
      <c r="HMS6" s="88">
        <f t="shared" si="89"/>
        <v>0</v>
      </c>
      <c r="HMT6" s="88">
        <f t="shared" si="89"/>
        <v>0</v>
      </c>
      <c r="HMU6" s="88">
        <f t="shared" si="89"/>
        <v>0</v>
      </c>
      <c r="HMV6" s="88">
        <f t="shared" si="89"/>
        <v>0</v>
      </c>
      <c r="HMW6" s="88">
        <f t="shared" si="89"/>
        <v>0</v>
      </c>
      <c r="HMX6" s="88">
        <f t="shared" si="89"/>
        <v>0</v>
      </c>
      <c r="HMY6" s="88">
        <f t="shared" si="89"/>
        <v>0</v>
      </c>
      <c r="HMZ6" s="88">
        <f t="shared" ref="HMZ6:HPK6" si="90">SUM(HNA3:HNA5)</f>
        <v>0</v>
      </c>
      <c r="HNA6" s="88">
        <f t="shared" si="90"/>
        <v>0</v>
      </c>
      <c r="HNB6" s="88">
        <f t="shared" si="90"/>
        <v>0</v>
      </c>
      <c r="HNC6" s="88">
        <f t="shared" si="90"/>
        <v>0</v>
      </c>
      <c r="HND6" s="88">
        <f t="shared" si="90"/>
        <v>0</v>
      </c>
      <c r="HNE6" s="88">
        <f t="shared" si="90"/>
        <v>0</v>
      </c>
      <c r="HNF6" s="88">
        <f t="shared" si="90"/>
        <v>0</v>
      </c>
      <c r="HNG6" s="88">
        <f t="shared" si="90"/>
        <v>0</v>
      </c>
      <c r="HNH6" s="88">
        <f t="shared" si="90"/>
        <v>0</v>
      </c>
      <c r="HNI6" s="88">
        <f t="shared" si="90"/>
        <v>0</v>
      </c>
      <c r="HNJ6" s="88">
        <f t="shared" si="90"/>
        <v>0</v>
      </c>
      <c r="HNK6" s="88">
        <f t="shared" si="90"/>
        <v>0</v>
      </c>
      <c r="HNL6" s="88">
        <f t="shared" si="90"/>
        <v>0</v>
      </c>
      <c r="HNM6" s="88">
        <f t="shared" si="90"/>
        <v>0</v>
      </c>
      <c r="HNN6" s="88">
        <f t="shared" si="90"/>
        <v>0</v>
      </c>
      <c r="HNO6" s="88">
        <f t="shared" si="90"/>
        <v>0</v>
      </c>
      <c r="HNP6" s="88">
        <f t="shared" si="90"/>
        <v>0</v>
      </c>
      <c r="HNQ6" s="88">
        <f t="shared" si="90"/>
        <v>0</v>
      </c>
      <c r="HNR6" s="88">
        <f t="shared" si="90"/>
        <v>0</v>
      </c>
      <c r="HNS6" s="88">
        <f t="shared" si="90"/>
        <v>0</v>
      </c>
      <c r="HNT6" s="88">
        <f t="shared" si="90"/>
        <v>0</v>
      </c>
      <c r="HNU6" s="88">
        <f t="shared" si="90"/>
        <v>0</v>
      </c>
      <c r="HNV6" s="88">
        <f t="shared" si="90"/>
        <v>0</v>
      </c>
      <c r="HNW6" s="88">
        <f t="shared" si="90"/>
        <v>0</v>
      </c>
      <c r="HNX6" s="88">
        <f t="shared" si="90"/>
        <v>0</v>
      </c>
      <c r="HNY6" s="88">
        <f t="shared" si="90"/>
        <v>0</v>
      </c>
      <c r="HNZ6" s="88">
        <f t="shared" si="90"/>
        <v>0</v>
      </c>
      <c r="HOA6" s="88">
        <f t="shared" si="90"/>
        <v>0</v>
      </c>
      <c r="HOB6" s="88">
        <f t="shared" si="90"/>
        <v>0</v>
      </c>
      <c r="HOC6" s="88">
        <f t="shared" si="90"/>
        <v>0</v>
      </c>
      <c r="HOD6" s="88">
        <f t="shared" si="90"/>
        <v>0</v>
      </c>
      <c r="HOE6" s="88">
        <f t="shared" si="90"/>
        <v>0</v>
      </c>
      <c r="HOF6" s="88">
        <f t="shared" si="90"/>
        <v>0</v>
      </c>
      <c r="HOG6" s="88">
        <f t="shared" si="90"/>
        <v>0</v>
      </c>
      <c r="HOH6" s="88">
        <f t="shared" si="90"/>
        <v>0</v>
      </c>
      <c r="HOI6" s="88">
        <f t="shared" si="90"/>
        <v>0</v>
      </c>
      <c r="HOJ6" s="88">
        <f t="shared" si="90"/>
        <v>0</v>
      </c>
      <c r="HOK6" s="88">
        <f t="shared" si="90"/>
        <v>0</v>
      </c>
      <c r="HOL6" s="88">
        <f t="shared" si="90"/>
        <v>0</v>
      </c>
      <c r="HOM6" s="88">
        <f t="shared" si="90"/>
        <v>0</v>
      </c>
      <c r="HON6" s="88">
        <f t="shared" si="90"/>
        <v>0</v>
      </c>
      <c r="HOO6" s="88">
        <f t="shared" si="90"/>
        <v>0</v>
      </c>
      <c r="HOP6" s="88">
        <f t="shared" si="90"/>
        <v>0</v>
      </c>
      <c r="HOQ6" s="88">
        <f t="shared" si="90"/>
        <v>0</v>
      </c>
      <c r="HOR6" s="88">
        <f t="shared" si="90"/>
        <v>0</v>
      </c>
      <c r="HOS6" s="88">
        <f t="shared" si="90"/>
        <v>0</v>
      </c>
      <c r="HOT6" s="88">
        <f t="shared" si="90"/>
        <v>0</v>
      </c>
      <c r="HOU6" s="88">
        <f t="shared" si="90"/>
        <v>0</v>
      </c>
      <c r="HOV6" s="88">
        <f t="shared" si="90"/>
        <v>0</v>
      </c>
      <c r="HOW6" s="88">
        <f t="shared" si="90"/>
        <v>0</v>
      </c>
      <c r="HOX6" s="88">
        <f t="shared" si="90"/>
        <v>0</v>
      </c>
      <c r="HOY6" s="88">
        <f t="shared" si="90"/>
        <v>0</v>
      </c>
      <c r="HOZ6" s="88">
        <f t="shared" si="90"/>
        <v>0</v>
      </c>
      <c r="HPA6" s="88">
        <f t="shared" si="90"/>
        <v>0</v>
      </c>
      <c r="HPB6" s="88">
        <f t="shared" si="90"/>
        <v>0</v>
      </c>
      <c r="HPC6" s="88">
        <f t="shared" si="90"/>
        <v>0</v>
      </c>
      <c r="HPD6" s="88">
        <f t="shared" si="90"/>
        <v>0</v>
      </c>
      <c r="HPE6" s="88">
        <f t="shared" si="90"/>
        <v>0</v>
      </c>
      <c r="HPF6" s="88">
        <f t="shared" si="90"/>
        <v>0</v>
      </c>
      <c r="HPG6" s="88">
        <f t="shared" si="90"/>
        <v>0</v>
      </c>
      <c r="HPH6" s="88">
        <f t="shared" si="90"/>
        <v>0</v>
      </c>
      <c r="HPI6" s="88">
        <f t="shared" si="90"/>
        <v>0</v>
      </c>
      <c r="HPJ6" s="88">
        <f t="shared" si="90"/>
        <v>0</v>
      </c>
      <c r="HPK6" s="88">
        <f t="shared" si="90"/>
        <v>0</v>
      </c>
      <c r="HPL6" s="88">
        <f t="shared" ref="HPL6:HRW6" si="91">SUM(HPM3:HPM5)</f>
        <v>0</v>
      </c>
      <c r="HPM6" s="88">
        <f t="shared" si="91"/>
        <v>0</v>
      </c>
      <c r="HPN6" s="88">
        <f t="shared" si="91"/>
        <v>0</v>
      </c>
      <c r="HPO6" s="88">
        <f t="shared" si="91"/>
        <v>0</v>
      </c>
      <c r="HPP6" s="88">
        <f t="shared" si="91"/>
        <v>0</v>
      </c>
      <c r="HPQ6" s="88">
        <f t="shared" si="91"/>
        <v>0</v>
      </c>
      <c r="HPR6" s="88">
        <f t="shared" si="91"/>
        <v>0</v>
      </c>
      <c r="HPS6" s="88">
        <f t="shared" si="91"/>
        <v>0</v>
      </c>
      <c r="HPT6" s="88">
        <f t="shared" si="91"/>
        <v>0</v>
      </c>
      <c r="HPU6" s="88">
        <f t="shared" si="91"/>
        <v>0</v>
      </c>
      <c r="HPV6" s="88">
        <f t="shared" si="91"/>
        <v>0</v>
      </c>
      <c r="HPW6" s="88">
        <f t="shared" si="91"/>
        <v>0</v>
      </c>
      <c r="HPX6" s="88">
        <f t="shared" si="91"/>
        <v>0</v>
      </c>
      <c r="HPY6" s="88">
        <f t="shared" si="91"/>
        <v>0</v>
      </c>
      <c r="HPZ6" s="88">
        <f t="shared" si="91"/>
        <v>0</v>
      </c>
      <c r="HQA6" s="88">
        <f t="shared" si="91"/>
        <v>0</v>
      </c>
      <c r="HQB6" s="88">
        <f t="shared" si="91"/>
        <v>0</v>
      </c>
      <c r="HQC6" s="88">
        <f t="shared" si="91"/>
        <v>0</v>
      </c>
      <c r="HQD6" s="88">
        <f t="shared" si="91"/>
        <v>0</v>
      </c>
      <c r="HQE6" s="88">
        <f t="shared" si="91"/>
        <v>0</v>
      </c>
      <c r="HQF6" s="88">
        <f t="shared" si="91"/>
        <v>0</v>
      </c>
      <c r="HQG6" s="88">
        <f t="shared" si="91"/>
        <v>0</v>
      </c>
      <c r="HQH6" s="88">
        <f t="shared" si="91"/>
        <v>0</v>
      </c>
      <c r="HQI6" s="88">
        <f t="shared" si="91"/>
        <v>0</v>
      </c>
      <c r="HQJ6" s="88">
        <f t="shared" si="91"/>
        <v>0</v>
      </c>
      <c r="HQK6" s="88">
        <f t="shared" si="91"/>
        <v>0</v>
      </c>
      <c r="HQL6" s="88">
        <f t="shared" si="91"/>
        <v>0</v>
      </c>
      <c r="HQM6" s="88">
        <f t="shared" si="91"/>
        <v>0</v>
      </c>
      <c r="HQN6" s="88">
        <f t="shared" si="91"/>
        <v>0</v>
      </c>
      <c r="HQO6" s="88">
        <f t="shared" si="91"/>
        <v>0</v>
      </c>
      <c r="HQP6" s="88">
        <f t="shared" si="91"/>
        <v>0</v>
      </c>
      <c r="HQQ6" s="88">
        <f t="shared" si="91"/>
        <v>0</v>
      </c>
      <c r="HQR6" s="88">
        <f t="shared" si="91"/>
        <v>0</v>
      </c>
      <c r="HQS6" s="88">
        <f t="shared" si="91"/>
        <v>0</v>
      </c>
      <c r="HQT6" s="88">
        <f t="shared" si="91"/>
        <v>0</v>
      </c>
      <c r="HQU6" s="88">
        <f t="shared" si="91"/>
        <v>0</v>
      </c>
      <c r="HQV6" s="88">
        <f t="shared" si="91"/>
        <v>0</v>
      </c>
      <c r="HQW6" s="88">
        <f t="shared" si="91"/>
        <v>0</v>
      </c>
      <c r="HQX6" s="88">
        <f t="shared" si="91"/>
        <v>0</v>
      </c>
      <c r="HQY6" s="88">
        <f t="shared" si="91"/>
        <v>0</v>
      </c>
      <c r="HQZ6" s="88">
        <f t="shared" si="91"/>
        <v>0</v>
      </c>
      <c r="HRA6" s="88">
        <f t="shared" si="91"/>
        <v>0</v>
      </c>
      <c r="HRB6" s="88">
        <f t="shared" si="91"/>
        <v>0</v>
      </c>
      <c r="HRC6" s="88">
        <f t="shared" si="91"/>
        <v>0</v>
      </c>
      <c r="HRD6" s="88">
        <f t="shared" si="91"/>
        <v>0</v>
      </c>
      <c r="HRE6" s="88">
        <f t="shared" si="91"/>
        <v>0</v>
      </c>
      <c r="HRF6" s="88">
        <f t="shared" si="91"/>
        <v>0</v>
      </c>
      <c r="HRG6" s="88">
        <f t="shared" si="91"/>
        <v>0</v>
      </c>
      <c r="HRH6" s="88">
        <f t="shared" si="91"/>
        <v>0</v>
      </c>
      <c r="HRI6" s="88">
        <f t="shared" si="91"/>
        <v>0</v>
      </c>
      <c r="HRJ6" s="88">
        <f t="shared" si="91"/>
        <v>0</v>
      </c>
      <c r="HRK6" s="88">
        <f t="shared" si="91"/>
        <v>0</v>
      </c>
      <c r="HRL6" s="88">
        <f t="shared" si="91"/>
        <v>0</v>
      </c>
      <c r="HRM6" s="88">
        <f t="shared" si="91"/>
        <v>0</v>
      </c>
      <c r="HRN6" s="88">
        <f t="shared" si="91"/>
        <v>0</v>
      </c>
      <c r="HRO6" s="88">
        <f t="shared" si="91"/>
        <v>0</v>
      </c>
      <c r="HRP6" s="88">
        <f t="shared" si="91"/>
        <v>0</v>
      </c>
      <c r="HRQ6" s="88">
        <f t="shared" si="91"/>
        <v>0</v>
      </c>
      <c r="HRR6" s="88">
        <f t="shared" si="91"/>
        <v>0</v>
      </c>
      <c r="HRS6" s="88">
        <f t="shared" si="91"/>
        <v>0</v>
      </c>
      <c r="HRT6" s="88">
        <f t="shared" si="91"/>
        <v>0</v>
      </c>
      <c r="HRU6" s="88">
        <f t="shared" si="91"/>
        <v>0</v>
      </c>
      <c r="HRV6" s="88">
        <f t="shared" si="91"/>
        <v>0</v>
      </c>
      <c r="HRW6" s="88">
        <f t="shared" si="91"/>
        <v>0</v>
      </c>
      <c r="HRX6" s="88">
        <f t="shared" ref="HRX6:HUI6" si="92">SUM(HRY3:HRY5)</f>
        <v>0</v>
      </c>
      <c r="HRY6" s="88">
        <f t="shared" si="92"/>
        <v>0</v>
      </c>
      <c r="HRZ6" s="88">
        <f t="shared" si="92"/>
        <v>0</v>
      </c>
      <c r="HSA6" s="88">
        <f t="shared" si="92"/>
        <v>0</v>
      </c>
      <c r="HSB6" s="88">
        <f t="shared" si="92"/>
        <v>0</v>
      </c>
      <c r="HSC6" s="88">
        <f t="shared" si="92"/>
        <v>0</v>
      </c>
      <c r="HSD6" s="88">
        <f t="shared" si="92"/>
        <v>0</v>
      </c>
      <c r="HSE6" s="88">
        <f t="shared" si="92"/>
        <v>0</v>
      </c>
      <c r="HSF6" s="88">
        <f t="shared" si="92"/>
        <v>0</v>
      </c>
      <c r="HSG6" s="88">
        <f t="shared" si="92"/>
        <v>0</v>
      </c>
      <c r="HSH6" s="88">
        <f t="shared" si="92"/>
        <v>0</v>
      </c>
      <c r="HSI6" s="88">
        <f t="shared" si="92"/>
        <v>0</v>
      </c>
      <c r="HSJ6" s="88">
        <f t="shared" si="92"/>
        <v>0</v>
      </c>
      <c r="HSK6" s="88">
        <f t="shared" si="92"/>
        <v>0</v>
      </c>
      <c r="HSL6" s="88">
        <f t="shared" si="92"/>
        <v>0</v>
      </c>
      <c r="HSM6" s="88">
        <f t="shared" si="92"/>
        <v>0</v>
      </c>
      <c r="HSN6" s="88">
        <f t="shared" si="92"/>
        <v>0</v>
      </c>
      <c r="HSO6" s="88">
        <f t="shared" si="92"/>
        <v>0</v>
      </c>
      <c r="HSP6" s="88">
        <f t="shared" si="92"/>
        <v>0</v>
      </c>
      <c r="HSQ6" s="88">
        <f t="shared" si="92"/>
        <v>0</v>
      </c>
      <c r="HSR6" s="88">
        <f t="shared" si="92"/>
        <v>0</v>
      </c>
      <c r="HSS6" s="88">
        <f t="shared" si="92"/>
        <v>0</v>
      </c>
      <c r="HST6" s="88">
        <f t="shared" si="92"/>
        <v>0</v>
      </c>
      <c r="HSU6" s="88">
        <f t="shared" si="92"/>
        <v>0</v>
      </c>
      <c r="HSV6" s="88">
        <f t="shared" si="92"/>
        <v>0</v>
      </c>
      <c r="HSW6" s="88">
        <f t="shared" si="92"/>
        <v>0</v>
      </c>
      <c r="HSX6" s="88">
        <f t="shared" si="92"/>
        <v>0</v>
      </c>
      <c r="HSY6" s="88">
        <f t="shared" si="92"/>
        <v>0</v>
      </c>
      <c r="HSZ6" s="88">
        <f t="shared" si="92"/>
        <v>0</v>
      </c>
      <c r="HTA6" s="88">
        <f t="shared" si="92"/>
        <v>0</v>
      </c>
      <c r="HTB6" s="88">
        <f t="shared" si="92"/>
        <v>0</v>
      </c>
      <c r="HTC6" s="88">
        <f t="shared" si="92"/>
        <v>0</v>
      </c>
      <c r="HTD6" s="88">
        <f t="shared" si="92"/>
        <v>0</v>
      </c>
      <c r="HTE6" s="88">
        <f t="shared" si="92"/>
        <v>0</v>
      </c>
      <c r="HTF6" s="88">
        <f t="shared" si="92"/>
        <v>0</v>
      </c>
      <c r="HTG6" s="88">
        <f t="shared" si="92"/>
        <v>0</v>
      </c>
      <c r="HTH6" s="88">
        <f t="shared" si="92"/>
        <v>0</v>
      </c>
      <c r="HTI6" s="88">
        <f t="shared" si="92"/>
        <v>0</v>
      </c>
      <c r="HTJ6" s="88">
        <f t="shared" si="92"/>
        <v>0</v>
      </c>
      <c r="HTK6" s="88">
        <f t="shared" si="92"/>
        <v>0</v>
      </c>
      <c r="HTL6" s="88">
        <f t="shared" si="92"/>
        <v>0</v>
      </c>
      <c r="HTM6" s="88">
        <f t="shared" si="92"/>
        <v>0</v>
      </c>
      <c r="HTN6" s="88">
        <f t="shared" si="92"/>
        <v>0</v>
      </c>
      <c r="HTO6" s="88">
        <f t="shared" si="92"/>
        <v>0</v>
      </c>
      <c r="HTP6" s="88">
        <f t="shared" si="92"/>
        <v>0</v>
      </c>
      <c r="HTQ6" s="88">
        <f t="shared" si="92"/>
        <v>0</v>
      </c>
      <c r="HTR6" s="88">
        <f t="shared" si="92"/>
        <v>0</v>
      </c>
      <c r="HTS6" s="88">
        <f t="shared" si="92"/>
        <v>0</v>
      </c>
      <c r="HTT6" s="88">
        <f t="shared" si="92"/>
        <v>0</v>
      </c>
      <c r="HTU6" s="88">
        <f t="shared" si="92"/>
        <v>0</v>
      </c>
      <c r="HTV6" s="88">
        <f t="shared" si="92"/>
        <v>0</v>
      </c>
      <c r="HTW6" s="88">
        <f t="shared" si="92"/>
        <v>0</v>
      </c>
      <c r="HTX6" s="88">
        <f t="shared" si="92"/>
        <v>0</v>
      </c>
      <c r="HTY6" s="88">
        <f t="shared" si="92"/>
        <v>0</v>
      </c>
      <c r="HTZ6" s="88">
        <f t="shared" si="92"/>
        <v>0</v>
      </c>
      <c r="HUA6" s="88">
        <f t="shared" si="92"/>
        <v>0</v>
      </c>
      <c r="HUB6" s="88">
        <f t="shared" si="92"/>
        <v>0</v>
      </c>
      <c r="HUC6" s="88">
        <f t="shared" si="92"/>
        <v>0</v>
      </c>
      <c r="HUD6" s="88">
        <f t="shared" si="92"/>
        <v>0</v>
      </c>
      <c r="HUE6" s="88">
        <f t="shared" si="92"/>
        <v>0</v>
      </c>
      <c r="HUF6" s="88">
        <f t="shared" si="92"/>
        <v>0</v>
      </c>
      <c r="HUG6" s="88">
        <f t="shared" si="92"/>
        <v>0</v>
      </c>
      <c r="HUH6" s="88">
        <f t="shared" si="92"/>
        <v>0</v>
      </c>
      <c r="HUI6" s="88">
        <f t="shared" si="92"/>
        <v>0</v>
      </c>
      <c r="HUJ6" s="88">
        <f t="shared" ref="HUJ6:HWU6" si="93">SUM(HUK3:HUK5)</f>
        <v>0</v>
      </c>
      <c r="HUK6" s="88">
        <f t="shared" si="93"/>
        <v>0</v>
      </c>
      <c r="HUL6" s="88">
        <f t="shared" si="93"/>
        <v>0</v>
      </c>
      <c r="HUM6" s="88">
        <f t="shared" si="93"/>
        <v>0</v>
      </c>
      <c r="HUN6" s="88">
        <f t="shared" si="93"/>
        <v>0</v>
      </c>
      <c r="HUO6" s="88">
        <f t="shared" si="93"/>
        <v>0</v>
      </c>
      <c r="HUP6" s="88">
        <f t="shared" si="93"/>
        <v>0</v>
      </c>
      <c r="HUQ6" s="88">
        <f t="shared" si="93"/>
        <v>0</v>
      </c>
      <c r="HUR6" s="88">
        <f t="shared" si="93"/>
        <v>0</v>
      </c>
      <c r="HUS6" s="88">
        <f t="shared" si="93"/>
        <v>0</v>
      </c>
      <c r="HUT6" s="88">
        <f t="shared" si="93"/>
        <v>0</v>
      </c>
      <c r="HUU6" s="88">
        <f t="shared" si="93"/>
        <v>0</v>
      </c>
      <c r="HUV6" s="88">
        <f t="shared" si="93"/>
        <v>0</v>
      </c>
      <c r="HUW6" s="88">
        <f t="shared" si="93"/>
        <v>0</v>
      </c>
      <c r="HUX6" s="88">
        <f t="shared" si="93"/>
        <v>0</v>
      </c>
      <c r="HUY6" s="88">
        <f t="shared" si="93"/>
        <v>0</v>
      </c>
      <c r="HUZ6" s="88">
        <f t="shared" si="93"/>
        <v>0</v>
      </c>
      <c r="HVA6" s="88">
        <f t="shared" si="93"/>
        <v>0</v>
      </c>
      <c r="HVB6" s="88">
        <f t="shared" si="93"/>
        <v>0</v>
      </c>
      <c r="HVC6" s="88">
        <f t="shared" si="93"/>
        <v>0</v>
      </c>
      <c r="HVD6" s="88">
        <f t="shared" si="93"/>
        <v>0</v>
      </c>
      <c r="HVE6" s="88">
        <f t="shared" si="93"/>
        <v>0</v>
      </c>
      <c r="HVF6" s="88">
        <f t="shared" si="93"/>
        <v>0</v>
      </c>
      <c r="HVG6" s="88">
        <f t="shared" si="93"/>
        <v>0</v>
      </c>
      <c r="HVH6" s="88">
        <f t="shared" si="93"/>
        <v>0</v>
      </c>
      <c r="HVI6" s="88">
        <f t="shared" si="93"/>
        <v>0</v>
      </c>
      <c r="HVJ6" s="88">
        <f t="shared" si="93"/>
        <v>0</v>
      </c>
      <c r="HVK6" s="88">
        <f t="shared" si="93"/>
        <v>0</v>
      </c>
      <c r="HVL6" s="88">
        <f t="shared" si="93"/>
        <v>0</v>
      </c>
      <c r="HVM6" s="88">
        <f t="shared" si="93"/>
        <v>0</v>
      </c>
      <c r="HVN6" s="88">
        <f t="shared" si="93"/>
        <v>0</v>
      </c>
      <c r="HVO6" s="88">
        <f t="shared" si="93"/>
        <v>0</v>
      </c>
      <c r="HVP6" s="88">
        <f t="shared" si="93"/>
        <v>0</v>
      </c>
      <c r="HVQ6" s="88">
        <f t="shared" si="93"/>
        <v>0</v>
      </c>
      <c r="HVR6" s="88">
        <f t="shared" si="93"/>
        <v>0</v>
      </c>
      <c r="HVS6" s="88">
        <f t="shared" si="93"/>
        <v>0</v>
      </c>
      <c r="HVT6" s="88">
        <f t="shared" si="93"/>
        <v>0</v>
      </c>
      <c r="HVU6" s="88">
        <f t="shared" si="93"/>
        <v>0</v>
      </c>
      <c r="HVV6" s="88">
        <f t="shared" si="93"/>
        <v>0</v>
      </c>
      <c r="HVW6" s="88">
        <f t="shared" si="93"/>
        <v>0</v>
      </c>
      <c r="HVX6" s="88">
        <f t="shared" si="93"/>
        <v>0</v>
      </c>
      <c r="HVY6" s="88">
        <f t="shared" si="93"/>
        <v>0</v>
      </c>
      <c r="HVZ6" s="88">
        <f t="shared" si="93"/>
        <v>0</v>
      </c>
      <c r="HWA6" s="88">
        <f t="shared" si="93"/>
        <v>0</v>
      </c>
      <c r="HWB6" s="88">
        <f t="shared" si="93"/>
        <v>0</v>
      </c>
      <c r="HWC6" s="88">
        <f t="shared" si="93"/>
        <v>0</v>
      </c>
      <c r="HWD6" s="88">
        <f t="shared" si="93"/>
        <v>0</v>
      </c>
      <c r="HWE6" s="88">
        <f t="shared" si="93"/>
        <v>0</v>
      </c>
      <c r="HWF6" s="88">
        <f t="shared" si="93"/>
        <v>0</v>
      </c>
      <c r="HWG6" s="88">
        <f t="shared" si="93"/>
        <v>0</v>
      </c>
      <c r="HWH6" s="88">
        <f t="shared" si="93"/>
        <v>0</v>
      </c>
      <c r="HWI6" s="88">
        <f t="shared" si="93"/>
        <v>0</v>
      </c>
      <c r="HWJ6" s="88">
        <f t="shared" si="93"/>
        <v>0</v>
      </c>
      <c r="HWK6" s="88">
        <f t="shared" si="93"/>
        <v>0</v>
      </c>
      <c r="HWL6" s="88">
        <f t="shared" si="93"/>
        <v>0</v>
      </c>
      <c r="HWM6" s="88">
        <f t="shared" si="93"/>
        <v>0</v>
      </c>
      <c r="HWN6" s="88">
        <f t="shared" si="93"/>
        <v>0</v>
      </c>
      <c r="HWO6" s="88">
        <f t="shared" si="93"/>
        <v>0</v>
      </c>
      <c r="HWP6" s="88">
        <f t="shared" si="93"/>
        <v>0</v>
      </c>
      <c r="HWQ6" s="88">
        <f t="shared" si="93"/>
        <v>0</v>
      </c>
      <c r="HWR6" s="88">
        <f t="shared" si="93"/>
        <v>0</v>
      </c>
      <c r="HWS6" s="88">
        <f t="shared" si="93"/>
        <v>0</v>
      </c>
      <c r="HWT6" s="88">
        <f t="shared" si="93"/>
        <v>0</v>
      </c>
      <c r="HWU6" s="88">
        <f t="shared" si="93"/>
        <v>0</v>
      </c>
      <c r="HWV6" s="88">
        <f t="shared" ref="HWV6:HZG6" si="94">SUM(HWW3:HWW5)</f>
        <v>0</v>
      </c>
      <c r="HWW6" s="88">
        <f t="shared" si="94"/>
        <v>0</v>
      </c>
      <c r="HWX6" s="88">
        <f t="shared" si="94"/>
        <v>0</v>
      </c>
      <c r="HWY6" s="88">
        <f t="shared" si="94"/>
        <v>0</v>
      </c>
      <c r="HWZ6" s="88">
        <f t="shared" si="94"/>
        <v>0</v>
      </c>
      <c r="HXA6" s="88">
        <f t="shared" si="94"/>
        <v>0</v>
      </c>
      <c r="HXB6" s="88">
        <f t="shared" si="94"/>
        <v>0</v>
      </c>
      <c r="HXC6" s="88">
        <f t="shared" si="94"/>
        <v>0</v>
      </c>
      <c r="HXD6" s="88">
        <f t="shared" si="94"/>
        <v>0</v>
      </c>
      <c r="HXE6" s="88">
        <f t="shared" si="94"/>
        <v>0</v>
      </c>
      <c r="HXF6" s="88">
        <f t="shared" si="94"/>
        <v>0</v>
      </c>
      <c r="HXG6" s="88">
        <f t="shared" si="94"/>
        <v>0</v>
      </c>
      <c r="HXH6" s="88">
        <f t="shared" si="94"/>
        <v>0</v>
      </c>
      <c r="HXI6" s="88">
        <f t="shared" si="94"/>
        <v>0</v>
      </c>
      <c r="HXJ6" s="88">
        <f t="shared" si="94"/>
        <v>0</v>
      </c>
      <c r="HXK6" s="88">
        <f t="shared" si="94"/>
        <v>0</v>
      </c>
      <c r="HXL6" s="88">
        <f t="shared" si="94"/>
        <v>0</v>
      </c>
      <c r="HXM6" s="88">
        <f t="shared" si="94"/>
        <v>0</v>
      </c>
      <c r="HXN6" s="88">
        <f t="shared" si="94"/>
        <v>0</v>
      </c>
      <c r="HXO6" s="88">
        <f t="shared" si="94"/>
        <v>0</v>
      </c>
      <c r="HXP6" s="88">
        <f t="shared" si="94"/>
        <v>0</v>
      </c>
      <c r="HXQ6" s="88">
        <f t="shared" si="94"/>
        <v>0</v>
      </c>
      <c r="HXR6" s="88">
        <f t="shared" si="94"/>
        <v>0</v>
      </c>
      <c r="HXS6" s="88">
        <f t="shared" si="94"/>
        <v>0</v>
      </c>
      <c r="HXT6" s="88">
        <f t="shared" si="94"/>
        <v>0</v>
      </c>
      <c r="HXU6" s="88">
        <f t="shared" si="94"/>
        <v>0</v>
      </c>
      <c r="HXV6" s="88">
        <f t="shared" si="94"/>
        <v>0</v>
      </c>
      <c r="HXW6" s="88">
        <f t="shared" si="94"/>
        <v>0</v>
      </c>
      <c r="HXX6" s="88">
        <f t="shared" si="94"/>
        <v>0</v>
      </c>
      <c r="HXY6" s="88">
        <f t="shared" si="94"/>
        <v>0</v>
      </c>
      <c r="HXZ6" s="88">
        <f t="shared" si="94"/>
        <v>0</v>
      </c>
      <c r="HYA6" s="88">
        <f t="shared" si="94"/>
        <v>0</v>
      </c>
      <c r="HYB6" s="88">
        <f t="shared" si="94"/>
        <v>0</v>
      </c>
      <c r="HYC6" s="88">
        <f t="shared" si="94"/>
        <v>0</v>
      </c>
      <c r="HYD6" s="88">
        <f t="shared" si="94"/>
        <v>0</v>
      </c>
      <c r="HYE6" s="88">
        <f t="shared" si="94"/>
        <v>0</v>
      </c>
      <c r="HYF6" s="88">
        <f t="shared" si="94"/>
        <v>0</v>
      </c>
      <c r="HYG6" s="88">
        <f t="shared" si="94"/>
        <v>0</v>
      </c>
      <c r="HYH6" s="88">
        <f t="shared" si="94"/>
        <v>0</v>
      </c>
      <c r="HYI6" s="88">
        <f t="shared" si="94"/>
        <v>0</v>
      </c>
      <c r="HYJ6" s="88">
        <f t="shared" si="94"/>
        <v>0</v>
      </c>
      <c r="HYK6" s="88">
        <f t="shared" si="94"/>
        <v>0</v>
      </c>
      <c r="HYL6" s="88">
        <f t="shared" si="94"/>
        <v>0</v>
      </c>
      <c r="HYM6" s="88">
        <f t="shared" si="94"/>
        <v>0</v>
      </c>
      <c r="HYN6" s="88">
        <f t="shared" si="94"/>
        <v>0</v>
      </c>
      <c r="HYO6" s="88">
        <f t="shared" si="94"/>
        <v>0</v>
      </c>
      <c r="HYP6" s="88">
        <f t="shared" si="94"/>
        <v>0</v>
      </c>
      <c r="HYQ6" s="88">
        <f t="shared" si="94"/>
        <v>0</v>
      </c>
      <c r="HYR6" s="88">
        <f t="shared" si="94"/>
        <v>0</v>
      </c>
      <c r="HYS6" s="88">
        <f t="shared" si="94"/>
        <v>0</v>
      </c>
      <c r="HYT6" s="88">
        <f t="shared" si="94"/>
        <v>0</v>
      </c>
      <c r="HYU6" s="88">
        <f t="shared" si="94"/>
        <v>0</v>
      </c>
      <c r="HYV6" s="88">
        <f t="shared" si="94"/>
        <v>0</v>
      </c>
      <c r="HYW6" s="88">
        <f t="shared" si="94"/>
        <v>0</v>
      </c>
      <c r="HYX6" s="88">
        <f t="shared" si="94"/>
        <v>0</v>
      </c>
      <c r="HYY6" s="88">
        <f t="shared" si="94"/>
        <v>0</v>
      </c>
      <c r="HYZ6" s="88">
        <f t="shared" si="94"/>
        <v>0</v>
      </c>
      <c r="HZA6" s="88">
        <f t="shared" si="94"/>
        <v>0</v>
      </c>
      <c r="HZB6" s="88">
        <f t="shared" si="94"/>
        <v>0</v>
      </c>
      <c r="HZC6" s="88">
        <f t="shared" si="94"/>
        <v>0</v>
      </c>
      <c r="HZD6" s="88">
        <f t="shared" si="94"/>
        <v>0</v>
      </c>
      <c r="HZE6" s="88">
        <f t="shared" si="94"/>
        <v>0</v>
      </c>
      <c r="HZF6" s="88">
        <f t="shared" si="94"/>
        <v>0</v>
      </c>
      <c r="HZG6" s="88">
        <f t="shared" si="94"/>
        <v>0</v>
      </c>
      <c r="HZH6" s="88">
        <f t="shared" ref="HZH6:IBS6" si="95">SUM(HZI3:HZI5)</f>
        <v>0</v>
      </c>
      <c r="HZI6" s="88">
        <f t="shared" si="95"/>
        <v>0</v>
      </c>
      <c r="HZJ6" s="88">
        <f t="shared" si="95"/>
        <v>0</v>
      </c>
      <c r="HZK6" s="88">
        <f t="shared" si="95"/>
        <v>0</v>
      </c>
      <c r="HZL6" s="88">
        <f t="shared" si="95"/>
        <v>0</v>
      </c>
      <c r="HZM6" s="88">
        <f t="shared" si="95"/>
        <v>0</v>
      </c>
      <c r="HZN6" s="88">
        <f t="shared" si="95"/>
        <v>0</v>
      </c>
      <c r="HZO6" s="88">
        <f t="shared" si="95"/>
        <v>0</v>
      </c>
      <c r="HZP6" s="88">
        <f t="shared" si="95"/>
        <v>0</v>
      </c>
      <c r="HZQ6" s="88">
        <f t="shared" si="95"/>
        <v>0</v>
      </c>
      <c r="HZR6" s="88">
        <f t="shared" si="95"/>
        <v>0</v>
      </c>
      <c r="HZS6" s="88">
        <f t="shared" si="95"/>
        <v>0</v>
      </c>
      <c r="HZT6" s="88">
        <f t="shared" si="95"/>
        <v>0</v>
      </c>
      <c r="HZU6" s="88">
        <f t="shared" si="95"/>
        <v>0</v>
      </c>
      <c r="HZV6" s="88">
        <f t="shared" si="95"/>
        <v>0</v>
      </c>
      <c r="HZW6" s="88">
        <f t="shared" si="95"/>
        <v>0</v>
      </c>
      <c r="HZX6" s="88">
        <f t="shared" si="95"/>
        <v>0</v>
      </c>
      <c r="HZY6" s="88">
        <f t="shared" si="95"/>
        <v>0</v>
      </c>
      <c r="HZZ6" s="88">
        <f t="shared" si="95"/>
        <v>0</v>
      </c>
      <c r="IAA6" s="88">
        <f t="shared" si="95"/>
        <v>0</v>
      </c>
      <c r="IAB6" s="88">
        <f t="shared" si="95"/>
        <v>0</v>
      </c>
      <c r="IAC6" s="88">
        <f t="shared" si="95"/>
        <v>0</v>
      </c>
      <c r="IAD6" s="88">
        <f t="shared" si="95"/>
        <v>0</v>
      </c>
      <c r="IAE6" s="88">
        <f t="shared" si="95"/>
        <v>0</v>
      </c>
      <c r="IAF6" s="88">
        <f t="shared" si="95"/>
        <v>0</v>
      </c>
      <c r="IAG6" s="88">
        <f t="shared" si="95"/>
        <v>0</v>
      </c>
      <c r="IAH6" s="88">
        <f t="shared" si="95"/>
        <v>0</v>
      </c>
      <c r="IAI6" s="88">
        <f t="shared" si="95"/>
        <v>0</v>
      </c>
      <c r="IAJ6" s="88">
        <f t="shared" si="95"/>
        <v>0</v>
      </c>
      <c r="IAK6" s="88">
        <f t="shared" si="95"/>
        <v>0</v>
      </c>
      <c r="IAL6" s="88">
        <f t="shared" si="95"/>
        <v>0</v>
      </c>
      <c r="IAM6" s="88">
        <f t="shared" si="95"/>
        <v>0</v>
      </c>
      <c r="IAN6" s="88">
        <f t="shared" si="95"/>
        <v>0</v>
      </c>
      <c r="IAO6" s="88">
        <f t="shared" si="95"/>
        <v>0</v>
      </c>
      <c r="IAP6" s="88">
        <f t="shared" si="95"/>
        <v>0</v>
      </c>
      <c r="IAQ6" s="88">
        <f t="shared" si="95"/>
        <v>0</v>
      </c>
      <c r="IAR6" s="88">
        <f t="shared" si="95"/>
        <v>0</v>
      </c>
      <c r="IAS6" s="88">
        <f t="shared" si="95"/>
        <v>0</v>
      </c>
      <c r="IAT6" s="88">
        <f t="shared" si="95"/>
        <v>0</v>
      </c>
      <c r="IAU6" s="88">
        <f t="shared" si="95"/>
        <v>0</v>
      </c>
      <c r="IAV6" s="88">
        <f t="shared" si="95"/>
        <v>0</v>
      </c>
      <c r="IAW6" s="88">
        <f t="shared" si="95"/>
        <v>0</v>
      </c>
      <c r="IAX6" s="88">
        <f t="shared" si="95"/>
        <v>0</v>
      </c>
      <c r="IAY6" s="88">
        <f t="shared" si="95"/>
        <v>0</v>
      </c>
      <c r="IAZ6" s="88">
        <f t="shared" si="95"/>
        <v>0</v>
      </c>
      <c r="IBA6" s="88">
        <f t="shared" si="95"/>
        <v>0</v>
      </c>
      <c r="IBB6" s="88">
        <f t="shared" si="95"/>
        <v>0</v>
      </c>
      <c r="IBC6" s="88">
        <f t="shared" si="95"/>
        <v>0</v>
      </c>
      <c r="IBD6" s="88">
        <f t="shared" si="95"/>
        <v>0</v>
      </c>
      <c r="IBE6" s="88">
        <f t="shared" si="95"/>
        <v>0</v>
      </c>
      <c r="IBF6" s="88">
        <f t="shared" si="95"/>
        <v>0</v>
      </c>
      <c r="IBG6" s="88">
        <f t="shared" si="95"/>
        <v>0</v>
      </c>
      <c r="IBH6" s="88">
        <f t="shared" si="95"/>
        <v>0</v>
      </c>
      <c r="IBI6" s="88">
        <f t="shared" si="95"/>
        <v>0</v>
      </c>
      <c r="IBJ6" s="88">
        <f t="shared" si="95"/>
        <v>0</v>
      </c>
      <c r="IBK6" s="88">
        <f t="shared" si="95"/>
        <v>0</v>
      </c>
      <c r="IBL6" s="88">
        <f t="shared" si="95"/>
        <v>0</v>
      </c>
      <c r="IBM6" s="88">
        <f t="shared" si="95"/>
        <v>0</v>
      </c>
      <c r="IBN6" s="88">
        <f t="shared" si="95"/>
        <v>0</v>
      </c>
      <c r="IBO6" s="88">
        <f t="shared" si="95"/>
        <v>0</v>
      </c>
      <c r="IBP6" s="88">
        <f t="shared" si="95"/>
        <v>0</v>
      </c>
      <c r="IBQ6" s="88">
        <f t="shared" si="95"/>
        <v>0</v>
      </c>
      <c r="IBR6" s="88">
        <f t="shared" si="95"/>
        <v>0</v>
      </c>
      <c r="IBS6" s="88">
        <f t="shared" si="95"/>
        <v>0</v>
      </c>
      <c r="IBT6" s="88">
        <f t="shared" ref="IBT6:IEE6" si="96">SUM(IBU3:IBU5)</f>
        <v>0</v>
      </c>
      <c r="IBU6" s="88">
        <f t="shared" si="96"/>
        <v>0</v>
      </c>
      <c r="IBV6" s="88">
        <f t="shared" si="96"/>
        <v>0</v>
      </c>
      <c r="IBW6" s="88">
        <f t="shared" si="96"/>
        <v>0</v>
      </c>
      <c r="IBX6" s="88">
        <f t="shared" si="96"/>
        <v>0</v>
      </c>
      <c r="IBY6" s="88">
        <f t="shared" si="96"/>
        <v>0</v>
      </c>
      <c r="IBZ6" s="88">
        <f t="shared" si="96"/>
        <v>0</v>
      </c>
      <c r="ICA6" s="88">
        <f t="shared" si="96"/>
        <v>0</v>
      </c>
      <c r="ICB6" s="88">
        <f t="shared" si="96"/>
        <v>0</v>
      </c>
      <c r="ICC6" s="88">
        <f t="shared" si="96"/>
        <v>0</v>
      </c>
      <c r="ICD6" s="88">
        <f t="shared" si="96"/>
        <v>0</v>
      </c>
      <c r="ICE6" s="88">
        <f t="shared" si="96"/>
        <v>0</v>
      </c>
      <c r="ICF6" s="88">
        <f t="shared" si="96"/>
        <v>0</v>
      </c>
      <c r="ICG6" s="88">
        <f t="shared" si="96"/>
        <v>0</v>
      </c>
      <c r="ICH6" s="88">
        <f t="shared" si="96"/>
        <v>0</v>
      </c>
      <c r="ICI6" s="88">
        <f t="shared" si="96"/>
        <v>0</v>
      </c>
      <c r="ICJ6" s="88">
        <f t="shared" si="96"/>
        <v>0</v>
      </c>
      <c r="ICK6" s="88">
        <f t="shared" si="96"/>
        <v>0</v>
      </c>
      <c r="ICL6" s="88">
        <f t="shared" si="96"/>
        <v>0</v>
      </c>
      <c r="ICM6" s="88">
        <f t="shared" si="96"/>
        <v>0</v>
      </c>
      <c r="ICN6" s="88">
        <f t="shared" si="96"/>
        <v>0</v>
      </c>
      <c r="ICO6" s="88">
        <f t="shared" si="96"/>
        <v>0</v>
      </c>
      <c r="ICP6" s="88">
        <f t="shared" si="96"/>
        <v>0</v>
      </c>
      <c r="ICQ6" s="88">
        <f t="shared" si="96"/>
        <v>0</v>
      </c>
      <c r="ICR6" s="88">
        <f t="shared" si="96"/>
        <v>0</v>
      </c>
      <c r="ICS6" s="88">
        <f t="shared" si="96"/>
        <v>0</v>
      </c>
      <c r="ICT6" s="88">
        <f t="shared" si="96"/>
        <v>0</v>
      </c>
      <c r="ICU6" s="88">
        <f t="shared" si="96"/>
        <v>0</v>
      </c>
      <c r="ICV6" s="88">
        <f t="shared" si="96"/>
        <v>0</v>
      </c>
      <c r="ICW6" s="88">
        <f t="shared" si="96"/>
        <v>0</v>
      </c>
      <c r="ICX6" s="88">
        <f t="shared" si="96"/>
        <v>0</v>
      </c>
      <c r="ICY6" s="88">
        <f t="shared" si="96"/>
        <v>0</v>
      </c>
      <c r="ICZ6" s="88">
        <f t="shared" si="96"/>
        <v>0</v>
      </c>
      <c r="IDA6" s="88">
        <f t="shared" si="96"/>
        <v>0</v>
      </c>
      <c r="IDB6" s="88">
        <f t="shared" si="96"/>
        <v>0</v>
      </c>
      <c r="IDC6" s="88">
        <f t="shared" si="96"/>
        <v>0</v>
      </c>
      <c r="IDD6" s="88">
        <f t="shared" si="96"/>
        <v>0</v>
      </c>
      <c r="IDE6" s="88">
        <f t="shared" si="96"/>
        <v>0</v>
      </c>
      <c r="IDF6" s="88">
        <f t="shared" si="96"/>
        <v>0</v>
      </c>
      <c r="IDG6" s="88">
        <f t="shared" si="96"/>
        <v>0</v>
      </c>
      <c r="IDH6" s="88">
        <f t="shared" si="96"/>
        <v>0</v>
      </c>
      <c r="IDI6" s="88">
        <f t="shared" si="96"/>
        <v>0</v>
      </c>
      <c r="IDJ6" s="88">
        <f t="shared" si="96"/>
        <v>0</v>
      </c>
      <c r="IDK6" s="88">
        <f t="shared" si="96"/>
        <v>0</v>
      </c>
      <c r="IDL6" s="88">
        <f t="shared" si="96"/>
        <v>0</v>
      </c>
      <c r="IDM6" s="88">
        <f t="shared" si="96"/>
        <v>0</v>
      </c>
      <c r="IDN6" s="88">
        <f t="shared" si="96"/>
        <v>0</v>
      </c>
      <c r="IDO6" s="88">
        <f t="shared" si="96"/>
        <v>0</v>
      </c>
      <c r="IDP6" s="88">
        <f t="shared" si="96"/>
        <v>0</v>
      </c>
      <c r="IDQ6" s="88">
        <f t="shared" si="96"/>
        <v>0</v>
      </c>
      <c r="IDR6" s="88">
        <f t="shared" si="96"/>
        <v>0</v>
      </c>
      <c r="IDS6" s="88">
        <f t="shared" si="96"/>
        <v>0</v>
      </c>
      <c r="IDT6" s="88">
        <f t="shared" si="96"/>
        <v>0</v>
      </c>
      <c r="IDU6" s="88">
        <f t="shared" si="96"/>
        <v>0</v>
      </c>
      <c r="IDV6" s="88">
        <f t="shared" si="96"/>
        <v>0</v>
      </c>
      <c r="IDW6" s="88">
        <f t="shared" si="96"/>
        <v>0</v>
      </c>
      <c r="IDX6" s="88">
        <f t="shared" si="96"/>
        <v>0</v>
      </c>
      <c r="IDY6" s="88">
        <f t="shared" si="96"/>
        <v>0</v>
      </c>
      <c r="IDZ6" s="88">
        <f t="shared" si="96"/>
        <v>0</v>
      </c>
      <c r="IEA6" s="88">
        <f t="shared" si="96"/>
        <v>0</v>
      </c>
      <c r="IEB6" s="88">
        <f t="shared" si="96"/>
        <v>0</v>
      </c>
      <c r="IEC6" s="88">
        <f t="shared" si="96"/>
        <v>0</v>
      </c>
      <c r="IED6" s="88">
        <f t="shared" si="96"/>
        <v>0</v>
      </c>
      <c r="IEE6" s="88">
        <f t="shared" si="96"/>
        <v>0</v>
      </c>
      <c r="IEF6" s="88">
        <f t="shared" ref="IEF6:IGQ6" si="97">SUM(IEG3:IEG5)</f>
        <v>0</v>
      </c>
      <c r="IEG6" s="88">
        <f t="shared" si="97"/>
        <v>0</v>
      </c>
      <c r="IEH6" s="88">
        <f t="shared" si="97"/>
        <v>0</v>
      </c>
      <c r="IEI6" s="88">
        <f t="shared" si="97"/>
        <v>0</v>
      </c>
      <c r="IEJ6" s="88">
        <f t="shared" si="97"/>
        <v>0</v>
      </c>
      <c r="IEK6" s="88">
        <f t="shared" si="97"/>
        <v>0</v>
      </c>
      <c r="IEL6" s="88">
        <f t="shared" si="97"/>
        <v>0</v>
      </c>
      <c r="IEM6" s="88">
        <f t="shared" si="97"/>
        <v>0</v>
      </c>
      <c r="IEN6" s="88">
        <f t="shared" si="97"/>
        <v>0</v>
      </c>
      <c r="IEO6" s="88">
        <f t="shared" si="97"/>
        <v>0</v>
      </c>
      <c r="IEP6" s="88">
        <f t="shared" si="97"/>
        <v>0</v>
      </c>
      <c r="IEQ6" s="88">
        <f t="shared" si="97"/>
        <v>0</v>
      </c>
      <c r="IER6" s="88">
        <f t="shared" si="97"/>
        <v>0</v>
      </c>
      <c r="IES6" s="88">
        <f t="shared" si="97"/>
        <v>0</v>
      </c>
      <c r="IET6" s="88">
        <f t="shared" si="97"/>
        <v>0</v>
      </c>
      <c r="IEU6" s="88">
        <f t="shared" si="97"/>
        <v>0</v>
      </c>
      <c r="IEV6" s="88">
        <f t="shared" si="97"/>
        <v>0</v>
      </c>
      <c r="IEW6" s="88">
        <f t="shared" si="97"/>
        <v>0</v>
      </c>
      <c r="IEX6" s="88">
        <f t="shared" si="97"/>
        <v>0</v>
      </c>
      <c r="IEY6" s="88">
        <f t="shared" si="97"/>
        <v>0</v>
      </c>
      <c r="IEZ6" s="88">
        <f t="shared" si="97"/>
        <v>0</v>
      </c>
      <c r="IFA6" s="88">
        <f t="shared" si="97"/>
        <v>0</v>
      </c>
      <c r="IFB6" s="88">
        <f t="shared" si="97"/>
        <v>0</v>
      </c>
      <c r="IFC6" s="88">
        <f t="shared" si="97"/>
        <v>0</v>
      </c>
      <c r="IFD6" s="88">
        <f t="shared" si="97"/>
        <v>0</v>
      </c>
      <c r="IFE6" s="88">
        <f t="shared" si="97"/>
        <v>0</v>
      </c>
      <c r="IFF6" s="88">
        <f t="shared" si="97"/>
        <v>0</v>
      </c>
      <c r="IFG6" s="88">
        <f t="shared" si="97"/>
        <v>0</v>
      </c>
      <c r="IFH6" s="88">
        <f t="shared" si="97"/>
        <v>0</v>
      </c>
      <c r="IFI6" s="88">
        <f t="shared" si="97"/>
        <v>0</v>
      </c>
      <c r="IFJ6" s="88">
        <f t="shared" si="97"/>
        <v>0</v>
      </c>
      <c r="IFK6" s="88">
        <f t="shared" si="97"/>
        <v>0</v>
      </c>
      <c r="IFL6" s="88">
        <f t="shared" si="97"/>
        <v>0</v>
      </c>
      <c r="IFM6" s="88">
        <f t="shared" si="97"/>
        <v>0</v>
      </c>
      <c r="IFN6" s="88">
        <f t="shared" si="97"/>
        <v>0</v>
      </c>
      <c r="IFO6" s="88">
        <f t="shared" si="97"/>
        <v>0</v>
      </c>
      <c r="IFP6" s="88">
        <f t="shared" si="97"/>
        <v>0</v>
      </c>
      <c r="IFQ6" s="88">
        <f t="shared" si="97"/>
        <v>0</v>
      </c>
      <c r="IFR6" s="88">
        <f t="shared" si="97"/>
        <v>0</v>
      </c>
      <c r="IFS6" s="88">
        <f t="shared" si="97"/>
        <v>0</v>
      </c>
      <c r="IFT6" s="88">
        <f t="shared" si="97"/>
        <v>0</v>
      </c>
      <c r="IFU6" s="88">
        <f t="shared" si="97"/>
        <v>0</v>
      </c>
      <c r="IFV6" s="88">
        <f t="shared" si="97"/>
        <v>0</v>
      </c>
      <c r="IFW6" s="88">
        <f t="shared" si="97"/>
        <v>0</v>
      </c>
      <c r="IFX6" s="88">
        <f t="shared" si="97"/>
        <v>0</v>
      </c>
      <c r="IFY6" s="88">
        <f t="shared" si="97"/>
        <v>0</v>
      </c>
      <c r="IFZ6" s="88">
        <f t="shared" si="97"/>
        <v>0</v>
      </c>
      <c r="IGA6" s="88">
        <f t="shared" si="97"/>
        <v>0</v>
      </c>
      <c r="IGB6" s="88">
        <f t="shared" si="97"/>
        <v>0</v>
      </c>
      <c r="IGC6" s="88">
        <f t="shared" si="97"/>
        <v>0</v>
      </c>
      <c r="IGD6" s="88">
        <f t="shared" si="97"/>
        <v>0</v>
      </c>
      <c r="IGE6" s="88">
        <f t="shared" si="97"/>
        <v>0</v>
      </c>
      <c r="IGF6" s="88">
        <f t="shared" si="97"/>
        <v>0</v>
      </c>
      <c r="IGG6" s="88">
        <f t="shared" si="97"/>
        <v>0</v>
      </c>
      <c r="IGH6" s="88">
        <f t="shared" si="97"/>
        <v>0</v>
      </c>
      <c r="IGI6" s="88">
        <f t="shared" si="97"/>
        <v>0</v>
      </c>
      <c r="IGJ6" s="88">
        <f t="shared" si="97"/>
        <v>0</v>
      </c>
      <c r="IGK6" s="88">
        <f t="shared" si="97"/>
        <v>0</v>
      </c>
      <c r="IGL6" s="88">
        <f t="shared" si="97"/>
        <v>0</v>
      </c>
      <c r="IGM6" s="88">
        <f t="shared" si="97"/>
        <v>0</v>
      </c>
      <c r="IGN6" s="88">
        <f t="shared" si="97"/>
        <v>0</v>
      </c>
      <c r="IGO6" s="88">
        <f t="shared" si="97"/>
        <v>0</v>
      </c>
      <c r="IGP6" s="88">
        <f t="shared" si="97"/>
        <v>0</v>
      </c>
      <c r="IGQ6" s="88">
        <f t="shared" si="97"/>
        <v>0</v>
      </c>
      <c r="IGR6" s="88">
        <f t="shared" ref="IGR6:IJC6" si="98">SUM(IGS3:IGS5)</f>
        <v>0</v>
      </c>
      <c r="IGS6" s="88">
        <f t="shared" si="98"/>
        <v>0</v>
      </c>
      <c r="IGT6" s="88">
        <f t="shared" si="98"/>
        <v>0</v>
      </c>
      <c r="IGU6" s="88">
        <f t="shared" si="98"/>
        <v>0</v>
      </c>
      <c r="IGV6" s="88">
        <f t="shared" si="98"/>
        <v>0</v>
      </c>
      <c r="IGW6" s="88">
        <f t="shared" si="98"/>
        <v>0</v>
      </c>
      <c r="IGX6" s="88">
        <f t="shared" si="98"/>
        <v>0</v>
      </c>
      <c r="IGY6" s="88">
        <f t="shared" si="98"/>
        <v>0</v>
      </c>
      <c r="IGZ6" s="88">
        <f t="shared" si="98"/>
        <v>0</v>
      </c>
      <c r="IHA6" s="88">
        <f t="shared" si="98"/>
        <v>0</v>
      </c>
      <c r="IHB6" s="88">
        <f t="shared" si="98"/>
        <v>0</v>
      </c>
      <c r="IHC6" s="88">
        <f t="shared" si="98"/>
        <v>0</v>
      </c>
      <c r="IHD6" s="88">
        <f t="shared" si="98"/>
        <v>0</v>
      </c>
      <c r="IHE6" s="88">
        <f t="shared" si="98"/>
        <v>0</v>
      </c>
      <c r="IHF6" s="88">
        <f t="shared" si="98"/>
        <v>0</v>
      </c>
      <c r="IHG6" s="88">
        <f t="shared" si="98"/>
        <v>0</v>
      </c>
      <c r="IHH6" s="88">
        <f t="shared" si="98"/>
        <v>0</v>
      </c>
      <c r="IHI6" s="88">
        <f t="shared" si="98"/>
        <v>0</v>
      </c>
      <c r="IHJ6" s="88">
        <f t="shared" si="98"/>
        <v>0</v>
      </c>
      <c r="IHK6" s="88">
        <f t="shared" si="98"/>
        <v>0</v>
      </c>
      <c r="IHL6" s="88">
        <f t="shared" si="98"/>
        <v>0</v>
      </c>
      <c r="IHM6" s="88">
        <f t="shared" si="98"/>
        <v>0</v>
      </c>
      <c r="IHN6" s="88">
        <f t="shared" si="98"/>
        <v>0</v>
      </c>
      <c r="IHO6" s="88">
        <f t="shared" si="98"/>
        <v>0</v>
      </c>
      <c r="IHP6" s="88">
        <f t="shared" si="98"/>
        <v>0</v>
      </c>
      <c r="IHQ6" s="88">
        <f t="shared" si="98"/>
        <v>0</v>
      </c>
      <c r="IHR6" s="88">
        <f t="shared" si="98"/>
        <v>0</v>
      </c>
      <c r="IHS6" s="88">
        <f t="shared" si="98"/>
        <v>0</v>
      </c>
      <c r="IHT6" s="88">
        <f t="shared" si="98"/>
        <v>0</v>
      </c>
      <c r="IHU6" s="88">
        <f t="shared" si="98"/>
        <v>0</v>
      </c>
      <c r="IHV6" s="88">
        <f t="shared" si="98"/>
        <v>0</v>
      </c>
      <c r="IHW6" s="88">
        <f t="shared" si="98"/>
        <v>0</v>
      </c>
      <c r="IHX6" s="88">
        <f t="shared" si="98"/>
        <v>0</v>
      </c>
      <c r="IHY6" s="88">
        <f t="shared" si="98"/>
        <v>0</v>
      </c>
      <c r="IHZ6" s="88">
        <f t="shared" si="98"/>
        <v>0</v>
      </c>
      <c r="IIA6" s="88">
        <f t="shared" si="98"/>
        <v>0</v>
      </c>
      <c r="IIB6" s="88">
        <f t="shared" si="98"/>
        <v>0</v>
      </c>
      <c r="IIC6" s="88">
        <f t="shared" si="98"/>
        <v>0</v>
      </c>
      <c r="IID6" s="88">
        <f t="shared" si="98"/>
        <v>0</v>
      </c>
      <c r="IIE6" s="88">
        <f t="shared" si="98"/>
        <v>0</v>
      </c>
      <c r="IIF6" s="88">
        <f t="shared" si="98"/>
        <v>0</v>
      </c>
      <c r="IIG6" s="88">
        <f t="shared" si="98"/>
        <v>0</v>
      </c>
      <c r="IIH6" s="88">
        <f t="shared" si="98"/>
        <v>0</v>
      </c>
      <c r="III6" s="88">
        <f t="shared" si="98"/>
        <v>0</v>
      </c>
      <c r="IIJ6" s="88">
        <f t="shared" si="98"/>
        <v>0</v>
      </c>
      <c r="IIK6" s="88">
        <f t="shared" si="98"/>
        <v>0</v>
      </c>
      <c r="IIL6" s="88">
        <f t="shared" si="98"/>
        <v>0</v>
      </c>
      <c r="IIM6" s="88">
        <f t="shared" si="98"/>
        <v>0</v>
      </c>
      <c r="IIN6" s="88">
        <f t="shared" si="98"/>
        <v>0</v>
      </c>
      <c r="IIO6" s="88">
        <f t="shared" si="98"/>
        <v>0</v>
      </c>
      <c r="IIP6" s="88">
        <f t="shared" si="98"/>
        <v>0</v>
      </c>
      <c r="IIQ6" s="88">
        <f t="shared" si="98"/>
        <v>0</v>
      </c>
      <c r="IIR6" s="88">
        <f t="shared" si="98"/>
        <v>0</v>
      </c>
      <c r="IIS6" s="88">
        <f t="shared" si="98"/>
        <v>0</v>
      </c>
      <c r="IIT6" s="88">
        <f t="shared" si="98"/>
        <v>0</v>
      </c>
      <c r="IIU6" s="88">
        <f t="shared" si="98"/>
        <v>0</v>
      </c>
      <c r="IIV6" s="88">
        <f t="shared" si="98"/>
        <v>0</v>
      </c>
      <c r="IIW6" s="88">
        <f t="shared" si="98"/>
        <v>0</v>
      </c>
      <c r="IIX6" s="88">
        <f t="shared" si="98"/>
        <v>0</v>
      </c>
      <c r="IIY6" s="88">
        <f t="shared" si="98"/>
        <v>0</v>
      </c>
      <c r="IIZ6" s="88">
        <f t="shared" si="98"/>
        <v>0</v>
      </c>
      <c r="IJA6" s="88">
        <f t="shared" si="98"/>
        <v>0</v>
      </c>
      <c r="IJB6" s="88">
        <f t="shared" si="98"/>
        <v>0</v>
      </c>
      <c r="IJC6" s="88">
        <f t="shared" si="98"/>
        <v>0</v>
      </c>
      <c r="IJD6" s="88">
        <f t="shared" ref="IJD6:ILO6" si="99">SUM(IJE3:IJE5)</f>
        <v>0</v>
      </c>
      <c r="IJE6" s="88">
        <f t="shared" si="99"/>
        <v>0</v>
      </c>
      <c r="IJF6" s="88">
        <f t="shared" si="99"/>
        <v>0</v>
      </c>
      <c r="IJG6" s="88">
        <f t="shared" si="99"/>
        <v>0</v>
      </c>
      <c r="IJH6" s="88">
        <f t="shared" si="99"/>
        <v>0</v>
      </c>
      <c r="IJI6" s="88">
        <f t="shared" si="99"/>
        <v>0</v>
      </c>
      <c r="IJJ6" s="88">
        <f t="shared" si="99"/>
        <v>0</v>
      </c>
      <c r="IJK6" s="88">
        <f t="shared" si="99"/>
        <v>0</v>
      </c>
      <c r="IJL6" s="88">
        <f t="shared" si="99"/>
        <v>0</v>
      </c>
      <c r="IJM6" s="88">
        <f t="shared" si="99"/>
        <v>0</v>
      </c>
      <c r="IJN6" s="88">
        <f t="shared" si="99"/>
        <v>0</v>
      </c>
      <c r="IJO6" s="88">
        <f t="shared" si="99"/>
        <v>0</v>
      </c>
      <c r="IJP6" s="88">
        <f t="shared" si="99"/>
        <v>0</v>
      </c>
      <c r="IJQ6" s="88">
        <f t="shared" si="99"/>
        <v>0</v>
      </c>
      <c r="IJR6" s="88">
        <f t="shared" si="99"/>
        <v>0</v>
      </c>
      <c r="IJS6" s="88">
        <f t="shared" si="99"/>
        <v>0</v>
      </c>
      <c r="IJT6" s="88">
        <f t="shared" si="99"/>
        <v>0</v>
      </c>
      <c r="IJU6" s="88">
        <f t="shared" si="99"/>
        <v>0</v>
      </c>
      <c r="IJV6" s="88">
        <f t="shared" si="99"/>
        <v>0</v>
      </c>
      <c r="IJW6" s="88">
        <f t="shared" si="99"/>
        <v>0</v>
      </c>
      <c r="IJX6" s="88">
        <f t="shared" si="99"/>
        <v>0</v>
      </c>
      <c r="IJY6" s="88">
        <f t="shared" si="99"/>
        <v>0</v>
      </c>
      <c r="IJZ6" s="88">
        <f t="shared" si="99"/>
        <v>0</v>
      </c>
      <c r="IKA6" s="88">
        <f t="shared" si="99"/>
        <v>0</v>
      </c>
      <c r="IKB6" s="88">
        <f t="shared" si="99"/>
        <v>0</v>
      </c>
      <c r="IKC6" s="88">
        <f t="shared" si="99"/>
        <v>0</v>
      </c>
      <c r="IKD6" s="88">
        <f t="shared" si="99"/>
        <v>0</v>
      </c>
      <c r="IKE6" s="88">
        <f t="shared" si="99"/>
        <v>0</v>
      </c>
      <c r="IKF6" s="88">
        <f t="shared" si="99"/>
        <v>0</v>
      </c>
      <c r="IKG6" s="88">
        <f t="shared" si="99"/>
        <v>0</v>
      </c>
      <c r="IKH6" s="88">
        <f t="shared" si="99"/>
        <v>0</v>
      </c>
      <c r="IKI6" s="88">
        <f t="shared" si="99"/>
        <v>0</v>
      </c>
      <c r="IKJ6" s="88">
        <f t="shared" si="99"/>
        <v>0</v>
      </c>
      <c r="IKK6" s="88">
        <f t="shared" si="99"/>
        <v>0</v>
      </c>
      <c r="IKL6" s="88">
        <f t="shared" si="99"/>
        <v>0</v>
      </c>
      <c r="IKM6" s="88">
        <f t="shared" si="99"/>
        <v>0</v>
      </c>
      <c r="IKN6" s="88">
        <f t="shared" si="99"/>
        <v>0</v>
      </c>
      <c r="IKO6" s="88">
        <f t="shared" si="99"/>
        <v>0</v>
      </c>
      <c r="IKP6" s="88">
        <f t="shared" si="99"/>
        <v>0</v>
      </c>
      <c r="IKQ6" s="88">
        <f t="shared" si="99"/>
        <v>0</v>
      </c>
      <c r="IKR6" s="88">
        <f t="shared" si="99"/>
        <v>0</v>
      </c>
      <c r="IKS6" s="88">
        <f t="shared" si="99"/>
        <v>0</v>
      </c>
      <c r="IKT6" s="88">
        <f t="shared" si="99"/>
        <v>0</v>
      </c>
      <c r="IKU6" s="88">
        <f t="shared" si="99"/>
        <v>0</v>
      </c>
      <c r="IKV6" s="88">
        <f t="shared" si="99"/>
        <v>0</v>
      </c>
      <c r="IKW6" s="88">
        <f t="shared" si="99"/>
        <v>0</v>
      </c>
      <c r="IKX6" s="88">
        <f t="shared" si="99"/>
        <v>0</v>
      </c>
      <c r="IKY6" s="88">
        <f t="shared" si="99"/>
        <v>0</v>
      </c>
      <c r="IKZ6" s="88">
        <f t="shared" si="99"/>
        <v>0</v>
      </c>
      <c r="ILA6" s="88">
        <f t="shared" si="99"/>
        <v>0</v>
      </c>
      <c r="ILB6" s="88">
        <f t="shared" si="99"/>
        <v>0</v>
      </c>
      <c r="ILC6" s="88">
        <f t="shared" si="99"/>
        <v>0</v>
      </c>
      <c r="ILD6" s="88">
        <f t="shared" si="99"/>
        <v>0</v>
      </c>
      <c r="ILE6" s="88">
        <f t="shared" si="99"/>
        <v>0</v>
      </c>
      <c r="ILF6" s="88">
        <f t="shared" si="99"/>
        <v>0</v>
      </c>
      <c r="ILG6" s="88">
        <f t="shared" si="99"/>
        <v>0</v>
      </c>
      <c r="ILH6" s="88">
        <f t="shared" si="99"/>
        <v>0</v>
      </c>
      <c r="ILI6" s="88">
        <f t="shared" si="99"/>
        <v>0</v>
      </c>
      <c r="ILJ6" s="88">
        <f t="shared" si="99"/>
        <v>0</v>
      </c>
      <c r="ILK6" s="88">
        <f t="shared" si="99"/>
        <v>0</v>
      </c>
      <c r="ILL6" s="88">
        <f t="shared" si="99"/>
        <v>0</v>
      </c>
      <c r="ILM6" s="88">
        <f t="shared" si="99"/>
        <v>0</v>
      </c>
      <c r="ILN6" s="88">
        <f t="shared" si="99"/>
        <v>0</v>
      </c>
      <c r="ILO6" s="88">
        <f t="shared" si="99"/>
        <v>0</v>
      </c>
      <c r="ILP6" s="88">
        <f t="shared" ref="ILP6:IOA6" si="100">SUM(ILQ3:ILQ5)</f>
        <v>0</v>
      </c>
      <c r="ILQ6" s="88">
        <f t="shared" si="100"/>
        <v>0</v>
      </c>
      <c r="ILR6" s="88">
        <f t="shared" si="100"/>
        <v>0</v>
      </c>
      <c r="ILS6" s="88">
        <f t="shared" si="100"/>
        <v>0</v>
      </c>
      <c r="ILT6" s="88">
        <f t="shared" si="100"/>
        <v>0</v>
      </c>
      <c r="ILU6" s="88">
        <f t="shared" si="100"/>
        <v>0</v>
      </c>
      <c r="ILV6" s="88">
        <f t="shared" si="100"/>
        <v>0</v>
      </c>
      <c r="ILW6" s="88">
        <f t="shared" si="100"/>
        <v>0</v>
      </c>
      <c r="ILX6" s="88">
        <f t="shared" si="100"/>
        <v>0</v>
      </c>
      <c r="ILY6" s="88">
        <f t="shared" si="100"/>
        <v>0</v>
      </c>
      <c r="ILZ6" s="88">
        <f t="shared" si="100"/>
        <v>0</v>
      </c>
      <c r="IMA6" s="88">
        <f t="shared" si="100"/>
        <v>0</v>
      </c>
      <c r="IMB6" s="88">
        <f t="shared" si="100"/>
        <v>0</v>
      </c>
      <c r="IMC6" s="88">
        <f t="shared" si="100"/>
        <v>0</v>
      </c>
      <c r="IMD6" s="88">
        <f t="shared" si="100"/>
        <v>0</v>
      </c>
      <c r="IME6" s="88">
        <f t="shared" si="100"/>
        <v>0</v>
      </c>
      <c r="IMF6" s="88">
        <f t="shared" si="100"/>
        <v>0</v>
      </c>
      <c r="IMG6" s="88">
        <f t="shared" si="100"/>
        <v>0</v>
      </c>
      <c r="IMH6" s="88">
        <f t="shared" si="100"/>
        <v>0</v>
      </c>
      <c r="IMI6" s="88">
        <f t="shared" si="100"/>
        <v>0</v>
      </c>
      <c r="IMJ6" s="88">
        <f t="shared" si="100"/>
        <v>0</v>
      </c>
      <c r="IMK6" s="88">
        <f t="shared" si="100"/>
        <v>0</v>
      </c>
      <c r="IML6" s="88">
        <f t="shared" si="100"/>
        <v>0</v>
      </c>
      <c r="IMM6" s="88">
        <f t="shared" si="100"/>
        <v>0</v>
      </c>
      <c r="IMN6" s="88">
        <f t="shared" si="100"/>
        <v>0</v>
      </c>
      <c r="IMO6" s="88">
        <f t="shared" si="100"/>
        <v>0</v>
      </c>
      <c r="IMP6" s="88">
        <f t="shared" si="100"/>
        <v>0</v>
      </c>
      <c r="IMQ6" s="88">
        <f t="shared" si="100"/>
        <v>0</v>
      </c>
      <c r="IMR6" s="88">
        <f t="shared" si="100"/>
        <v>0</v>
      </c>
      <c r="IMS6" s="88">
        <f t="shared" si="100"/>
        <v>0</v>
      </c>
      <c r="IMT6" s="88">
        <f t="shared" si="100"/>
        <v>0</v>
      </c>
      <c r="IMU6" s="88">
        <f t="shared" si="100"/>
        <v>0</v>
      </c>
      <c r="IMV6" s="88">
        <f t="shared" si="100"/>
        <v>0</v>
      </c>
      <c r="IMW6" s="88">
        <f t="shared" si="100"/>
        <v>0</v>
      </c>
      <c r="IMX6" s="88">
        <f t="shared" si="100"/>
        <v>0</v>
      </c>
      <c r="IMY6" s="88">
        <f t="shared" si="100"/>
        <v>0</v>
      </c>
      <c r="IMZ6" s="88">
        <f t="shared" si="100"/>
        <v>0</v>
      </c>
      <c r="INA6" s="88">
        <f t="shared" si="100"/>
        <v>0</v>
      </c>
      <c r="INB6" s="88">
        <f t="shared" si="100"/>
        <v>0</v>
      </c>
      <c r="INC6" s="88">
        <f t="shared" si="100"/>
        <v>0</v>
      </c>
      <c r="IND6" s="88">
        <f t="shared" si="100"/>
        <v>0</v>
      </c>
      <c r="INE6" s="88">
        <f t="shared" si="100"/>
        <v>0</v>
      </c>
      <c r="INF6" s="88">
        <f t="shared" si="100"/>
        <v>0</v>
      </c>
      <c r="ING6" s="88">
        <f t="shared" si="100"/>
        <v>0</v>
      </c>
      <c r="INH6" s="88">
        <f t="shared" si="100"/>
        <v>0</v>
      </c>
      <c r="INI6" s="88">
        <f t="shared" si="100"/>
        <v>0</v>
      </c>
      <c r="INJ6" s="88">
        <f t="shared" si="100"/>
        <v>0</v>
      </c>
      <c r="INK6" s="88">
        <f t="shared" si="100"/>
        <v>0</v>
      </c>
      <c r="INL6" s="88">
        <f t="shared" si="100"/>
        <v>0</v>
      </c>
      <c r="INM6" s="88">
        <f t="shared" si="100"/>
        <v>0</v>
      </c>
      <c r="INN6" s="88">
        <f t="shared" si="100"/>
        <v>0</v>
      </c>
      <c r="INO6" s="88">
        <f t="shared" si="100"/>
        <v>0</v>
      </c>
      <c r="INP6" s="88">
        <f t="shared" si="100"/>
        <v>0</v>
      </c>
      <c r="INQ6" s="88">
        <f t="shared" si="100"/>
        <v>0</v>
      </c>
      <c r="INR6" s="88">
        <f t="shared" si="100"/>
        <v>0</v>
      </c>
      <c r="INS6" s="88">
        <f t="shared" si="100"/>
        <v>0</v>
      </c>
      <c r="INT6" s="88">
        <f t="shared" si="100"/>
        <v>0</v>
      </c>
      <c r="INU6" s="88">
        <f t="shared" si="100"/>
        <v>0</v>
      </c>
      <c r="INV6" s="88">
        <f t="shared" si="100"/>
        <v>0</v>
      </c>
      <c r="INW6" s="88">
        <f t="shared" si="100"/>
        <v>0</v>
      </c>
      <c r="INX6" s="88">
        <f t="shared" si="100"/>
        <v>0</v>
      </c>
      <c r="INY6" s="88">
        <f t="shared" si="100"/>
        <v>0</v>
      </c>
      <c r="INZ6" s="88">
        <f t="shared" si="100"/>
        <v>0</v>
      </c>
      <c r="IOA6" s="88">
        <f t="shared" si="100"/>
        <v>0</v>
      </c>
      <c r="IOB6" s="88">
        <f t="shared" ref="IOB6:IQM6" si="101">SUM(IOC3:IOC5)</f>
        <v>0</v>
      </c>
      <c r="IOC6" s="88">
        <f t="shared" si="101"/>
        <v>0</v>
      </c>
      <c r="IOD6" s="88">
        <f t="shared" si="101"/>
        <v>0</v>
      </c>
      <c r="IOE6" s="88">
        <f t="shared" si="101"/>
        <v>0</v>
      </c>
      <c r="IOF6" s="88">
        <f t="shared" si="101"/>
        <v>0</v>
      </c>
      <c r="IOG6" s="88">
        <f t="shared" si="101"/>
        <v>0</v>
      </c>
      <c r="IOH6" s="88">
        <f t="shared" si="101"/>
        <v>0</v>
      </c>
      <c r="IOI6" s="88">
        <f t="shared" si="101"/>
        <v>0</v>
      </c>
      <c r="IOJ6" s="88">
        <f t="shared" si="101"/>
        <v>0</v>
      </c>
      <c r="IOK6" s="88">
        <f t="shared" si="101"/>
        <v>0</v>
      </c>
      <c r="IOL6" s="88">
        <f t="shared" si="101"/>
        <v>0</v>
      </c>
      <c r="IOM6" s="88">
        <f t="shared" si="101"/>
        <v>0</v>
      </c>
      <c r="ION6" s="88">
        <f t="shared" si="101"/>
        <v>0</v>
      </c>
      <c r="IOO6" s="88">
        <f t="shared" si="101"/>
        <v>0</v>
      </c>
      <c r="IOP6" s="88">
        <f t="shared" si="101"/>
        <v>0</v>
      </c>
      <c r="IOQ6" s="88">
        <f t="shared" si="101"/>
        <v>0</v>
      </c>
      <c r="IOR6" s="88">
        <f t="shared" si="101"/>
        <v>0</v>
      </c>
      <c r="IOS6" s="88">
        <f t="shared" si="101"/>
        <v>0</v>
      </c>
      <c r="IOT6" s="88">
        <f t="shared" si="101"/>
        <v>0</v>
      </c>
      <c r="IOU6" s="88">
        <f t="shared" si="101"/>
        <v>0</v>
      </c>
      <c r="IOV6" s="88">
        <f t="shared" si="101"/>
        <v>0</v>
      </c>
      <c r="IOW6" s="88">
        <f t="shared" si="101"/>
        <v>0</v>
      </c>
      <c r="IOX6" s="88">
        <f t="shared" si="101"/>
        <v>0</v>
      </c>
      <c r="IOY6" s="88">
        <f t="shared" si="101"/>
        <v>0</v>
      </c>
      <c r="IOZ6" s="88">
        <f t="shared" si="101"/>
        <v>0</v>
      </c>
      <c r="IPA6" s="88">
        <f t="shared" si="101"/>
        <v>0</v>
      </c>
      <c r="IPB6" s="88">
        <f t="shared" si="101"/>
        <v>0</v>
      </c>
      <c r="IPC6" s="88">
        <f t="shared" si="101"/>
        <v>0</v>
      </c>
      <c r="IPD6" s="88">
        <f t="shared" si="101"/>
        <v>0</v>
      </c>
      <c r="IPE6" s="88">
        <f t="shared" si="101"/>
        <v>0</v>
      </c>
      <c r="IPF6" s="88">
        <f t="shared" si="101"/>
        <v>0</v>
      </c>
      <c r="IPG6" s="88">
        <f t="shared" si="101"/>
        <v>0</v>
      </c>
      <c r="IPH6" s="88">
        <f t="shared" si="101"/>
        <v>0</v>
      </c>
      <c r="IPI6" s="88">
        <f t="shared" si="101"/>
        <v>0</v>
      </c>
      <c r="IPJ6" s="88">
        <f t="shared" si="101"/>
        <v>0</v>
      </c>
      <c r="IPK6" s="88">
        <f t="shared" si="101"/>
        <v>0</v>
      </c>
      <c r="IPL6" s="88">
        <f t="shared" si="101"/>
        <v>0</v>
      </c>
      <c r="IPM6" s="88">
        <f t="shared" si="101"/>
        <v>0</v>
      </c>
      <c r="IPN6" s="88">
        <f t="shared" si="101"/>
        <v>0</v>
      </c>
      <c r="IPO6" s="88">
        <f t="shared" si="101"/>
        <v>0</v>
      </c>
      <c r="IPP6" s="88">
        <f t="shared" si="101"/>
        <v>0</v>
      </c>
      <c r="IPQ6" s="88">
        <f t="shared" si="101"/>
        <v>0</v>
      </c>
      <c r="IPR6" s="88">
        <f t="shared" si="101"/>
        <v>0</v>
      </c>
      <c r="IPS6" s="88">
        <f t="shared" si="101"/>
        <v>0</v>
      </c>
      <c r="IPT6" s="88">
        <f t="shared" si="101"/>
        <v>0</v>
      </c>
      <c r="IPU6" s="88">
        <f t="shared" si="101"/>
        <v>0</v>
      </c>
      <c r="IPV6" s="88">
        <f t="shared" si="101"/>
        <v>0</v>
      </c>
      <c r="IPW6" s="88">
        <f t="shared" si="101"/>
        <v>0</v>
      </c>
      <c r="IPX6" s="88">
        <f t="shared" si="101"/>
        <v>0</v>
      </c>
      <c r="IPY6" s="88">
        <f t="shared" si="101"/>
        <v>0</v>
      </c>
      <c r="IPZ6" s="88">
        <f t="shared" si="101"/>
        <v>0</v>
      </c>
      <c r="IQA6" s="88">
        <f t="shared" si="101"/>
        <v>0</v>
      </c>
      <c r="IQB6" s="88">
        <f t="shared" si="101"/>
        <v>0</v>
      </c>
      <c r="IQC6" s="88">
        <f t="shared" si="101"/>
        <v>0</v>
      </c>
      <c r="IQD6" s="88">
        <f t="shared" si="101"/>
        <v>0</v>
      </c>
      <c r="IQE6" s="88">
        <f t="shared" si="101"/>
        <v>0</v>
      </c>
      <c r="IQF6" s="88">
        <f t="shared" si="101"/>
        <v>0</v>
      </c>
      <c r="IQG6" s="88">
        <f t="shared" si="101"/>
        <v>0</v>
      </c>
      <c r="IQH6" s="88">
        <f t="shared" si="101"/>
        <v>0</v>
      </c>
      <c r="IQI6" s="88">
        <f t="shared" si="101"/>
        <v>0</v>
      </c>
      <c r="IQJ6" s="88">
        <f t="shared" si="101"/>
        <v>0</v>
      </c>
      <c r="IQK6" s="88">
        <f t="shared" si="101"/>
        <v>0</v>
      </c>
      <c r="IQL6" s="88">
        <f t="shared" si="101"/>
        <v>0</v>
      </c>
      <c r="IQM6" s="88">
        <f t="shared" si="101"/>
        <v>0</v>
      </c>
      <c r="IQN6" s="88">
        <f t="shared" ref="IQN6:ISY6" si="102">SUM(IQO3:IQO5)</f>
        <v>0</v>
      </c>
      <c r="IQO6" s="88">
        <f t="shared" si="102"/>
        <v>0</v>
      </c>
      <c r="IQP6" s="88">
        <f t="shared" si="102"/>
        <v>0</v>
      </c>
      <c r="IQQ6" s="88">
        <f t="shared" si="102"/>
        <v>0</v>
      </c>
      <c r="IQR6" s="88">
        <f t="shared" si="102"/>
        <v>0</v>
      </c>
      <c r="IQS6" s="88">
        <f t="shared" si="102"/>
        <v>0</v>
      </c>
      <c r="IQT6" s="88">
        <f t="shared" si="102"/>
        <v>0</v>
      </c>
      <c r="IQU6" s="88">
        <f t="shared" si="102"/>
        <v>0</v>
      </c>
      <c r="IQV6" s="88">
        <f t="shared" si="102"/>
        <v>0</v>
      </c>
      <c r="IQW6" s="88">
        <f t="shared" si="102"/>
        <v>0</v>
      </c>
      <c r="IQX6" s="88">
        <f t="shared" si="102"/>
        <v>0</v>
      </c>
      <c r="IQY6" s="88">
        <f t="shared" si="102"/>
        <v>0</v>
      </c>
      <c r="IQZ6" s="88">
        <f t="shared" si="102"/>
        <v>0</v>
      </c>
      <c r="IRA6" s="88">
        <f t="shared" si="102"/>
        <v>0</v>
      </c>
      <c r="IRB6" s="88">
        <f t="shared" si="102"/>
        <v>0</v>
      </c>
      <c r="IRC6" s="88">
        <f t="shared" si="102"/>
        <v>0</v>
      </c>
      <c r="IRD6" s="88">
        <f t="shared" si="102"/>
        <v>0</v>
      </c>
      <c r="IRE6" s="88">
        <f t="shared" si="102"/>
        <v>0</v>
      </c>
      <c r="IRF6" s="88">
        <f t="shared" si="102"/>
        <v>0</v>
      </c>
      <c r="IRG6" s="88">
        <f t="shared" si="102"/>
        <v>0</v>
      </c>
      <c r="IRH6" s="88">
        <f t="shared" si="102"/>
        <v>0</v>
      </c>
      <c r="IRI6" s="88">
        <f t="shared" si="102"/>
        <v>0</v>
      </c>
      <c r="IRJ6" s="88">
        <f t="shared" si="102"/>
        <v>0</v>
      </c>
      <c r="IRK6" s="88">
        <f t="shared" si="102"/>
        <v>0</v>
      </c>
      <c r="IRL6" s="88">
        <f t="shared" si="102"/>
        <v>0</v>
      </c>
      <c r="IRM6" s="88">
        <f t="shared" si="102"/>
        <v>0</v>
      </c>
      <c r="IRN6" s="88">
        <f t="shared" si="102"/>
        <v>0</v>
      </c>
      <c r="IRO6" s="88">
        <f t="shared" si="102"/>
        <v>0</v>
      </c>
      <c r="IRP6" s="88">
        <f t="shared" si="102"/>
        <v>0</v>
      </c>
      <c r="IRQ6" s="88">
        <f t="shared" si="102"/>
        <v>0</v>
      </c>
      <c r="IRR6" s="88">
        <f t="shared" si="102"/>
        <v>0</v>
      </c>
      <c r="IRS6" s="88">
        <f t="shared" si="102"/>
        <v>0</v>
      </c>
      <c r="IRT6" s="88">
        <f t="shared" si="102"/>
        <v>0</v>
      </c>
      <c r="IRU6" s="88">
        <f t="shared" si="102"/>
        <v>0</v>
      </c>
      <c r="IRV6" s="88">
        <f t="shared" si="102"/>
        <v>0</v>
      </c>
      <c r="IRW6" s="88">
        <f t="shared" si="102"/>
        <v>0</v>
      </c>
      <c r="IRX6" s="88">
        <f t="shared" si="102"/>
        <v>0</v>
      </c>
      <c r="IRY6" s="88">
        <f t="shared" si="102"/>
        <v>0</v>
      </c>
      <c r="IRZ6" s="88">
        <f t="shared" si="102"/>
        <v>0</v>
      </c>
      <c r="ISA6" s="88">
        <f t="shared" si="102"/>
        <v>0</v>
      </c>
      <c r="ISB6" s="88">
        <f t="shared" si="102"/>
        <v>0</v>
      </c>
      <c r="ISC6" s="88">
        <f t="shared" si="102"/>
        <v>0</v>
      </c>
      <c r="ISD6" s="88">
        <f t="shared" si="102"/>
        <v>0</v>
      </c>
      <c r="ISE6" s="88">
        <f t="shared" si="102"/>
        <v>0</v>
      </c>
      <c r="ISF6" s="88">
        <f t="shared" si="102"/>
        <v>0</v>
      </c>
      <c r="ISG6" s="88">
        <f t="shared" si="102"/>
        <v>0</v>
      </c>
      <c r="ISH6" s="88">
        <f t="shared" si="102"/>
        <v>0</v>
      </c>
      <c r="ISI6" s="88">
        <f t="shared" si="102"/>
        <v>0</v>
      </c>
      <c r="ISJ6" s="88">
        <f t="shared" si="102"/>
        <v>0</v>
      </c>
      <c r="ISK6" s="88">
        <f t="shared" si="102"/>
        <v>0</v>
      </c>
      <c r="ISL6" s="88">
        <f t="shared" si="102"/>
        <v>0</v>
      </c>
      <c r="ISM6" s="88">
        <f t="shared" si="102"/>
        <v>0</v>
      </c>
      <c r="ISN6" s="88">
        <f t="shared" si="102"/>
        <v>0</v>
      </c>
      <c r="ISO6" s="88">
        <f t="shared" si="102"/>
        <v>0</v>
      </c>
      <c r="ISP6" s="88">
        <f t="shared" si="102"/>
        <v>0</v>
      </c>
      <c r="ISQ6" s="88">
        <f t="shared" si="102"/>
        <v>0</v>
      </c>
      <c r="ISR6" s="88">
        <f t="shared" si="102"/>
        <v>0</v>
      </c>
      <c r="ISS6" s="88">
        <f t="shared" si="102"/>
        <v>0</v>
      </c>
      <c r="IST6" s="88">
        <f t="shared" si="102"/>
        <v>0</v>
      </c>
      <c r="ISU6" s="88">
        <f t="shared" si="102"/>
        <v>0</v>
      </c>
      <c r="ISV6" s="88">
        <f t="shared" si="102"/>
        <v>0</v>
      </c>
      <c r="ISW6" s="88">
        <f t="shared" si="102"/>
        <v>0</v>
      </c>
      <c r="ISX6" s="88">
        <f t="shared" si="102"/>
        <v>0</v>
      </c>
      <c r="ISY6" s="88">
        <f t="shared" si="102"/>
        <v>0</v>
      </c>
      <c r="ISZ6" s="88">
        <f t="shared" ref="ISZ6:IVK6" si="103">SUM(ITA3:ITA5)</f>
        <v>0</v>
      </c>
      <c r="ITA6" s="88">
        <f t="shared" si="103"/>
        <v>0</v>
      </c>
      <c r="ITB6" s="88">
        <f t="shared" si="103"/>
        <v>0</v>
      </c>
      <c r="ITC6" s="88">
        <f t="shared" si="103"/>
        <v>0</v>
      </c>
      <c r="ITD6" s="88">
        <f t="shared" si="103"/>
        <v>0</v>
      </c>
      <c r="ITE6" s="88">
        <f t="shared" si="103"/>
        <v>0</v>
      </c>
      <c r="ITF6" s="88">
        <f t="shared" si="103"/>
        <v>0</v>
      </c>
      <c r="ITG6" s="88">
        <f t="shared" si="103"/>
        <v>0</v>
      </c>
      <c r="ITH6" s="88">
        <f t="shared" si="103"/>
        <v>0</v>
      </c>
      <c r="ITI6" s="88">
        <f t="shared" si="103"/>
        <v>0</v>
      </c>
      <c r="ITJ6" s="88">
        <f t="shared" si="103"/>
        <v>0</v>
      </c>
      <c r="ITK6" s="88">
        <f t="shared" si="103"/>
        <v>0</v>
      </c>
      <c r="ITL6" s="88">
        <f t="shared" si="103"/>
        <v>0</v>
      </c>
      <c r="ITM6" s="88">
        <f t="shared" si="103"/>
        <v>0</v>
      </c>
      <c r="ITN6" s="88">
        <f t="shared" si="103"/>
        <v>0</v>
      </c>
      <c r="ITO6" s="88">
        <f t="shared" si="103"/>
        <v>0</v>
      </c>
      <c r="ITP6" s="88">
        <f t="shared" si="103"/>
        <v>0</v>
      </c>
      <c r="ITQ6" s="88">
        <f t="shared" si="103"/>
        <v>0</v>
      </c>
      <c r="ITR6" s="88">
        <f t="shared" si="103"/>
        <v>0</v>
      </c>
      <c r="ITS6" s="88">
        <f t="shared" si="103"/>
        <v>0</v>
      </c>
      <c r="ITT6" s="88">
        <f t="shared" si="103"/>
        <v>0</v>
      </c>
      <c r="ITU6" s="88">
        <f t="shared" si="103"/>
        <v>0</v>
      </c>
      <c r="ITV6" s="88">
        <f t="shared" si="103"/>
        <v>0</v>
      </c>
      <c r="ITW6" s="88">
        <f t="shared" si="103"/>
        <v>0</v>
      </c>
      <c r="ITX6" s="88">
        <f t="shared" si="103"/>
        <v>0</v>
      </c>
      <c r="ITY6" s="88">
        <f t="shared" si="103"/>
        <v>0</v>
      </c>
      <c r="ITZ6" s="88">
        <f t="shared" si="103"/>
        <v>0</v>
      </c>
      <c r="IUA6" s="88">
        <f t="shared" si="103"/>
        <v>0</v>
      </c>
      <c r="IUB6" s="88">
        <f t="shared" si="103"/>
        <v>0</v>
      </c>
      <c r="IUC6" s="88">
        <f t="shared" si="103"/>
        <v>0</v>
      </c>
      <c r="IUD6" s="88">
        <f t="shared" si="103"/>
        <v>0</v>
      </c>
      <c r="IUE6" s="88">
        <f t="shared" si="103"/>
        <v>0</v>
      </c>
      <c r="IUF6" s="88">
        <f t="shared" si="103"/>
        <v>0</v>
      </c>
      <c r="IUG6" s="88">
        <f t="shared" si="103"/>
        <v>0</v>
      </c>
      <c r="IUH6" s="88">
        <f t="shared" si="103"/>
        <v>0</v>
      </c>
      <c r="IUI6" s="88">
        <f t="shared" si="103"/>
        <v>0</v>
      </c>
      <c r="IUJ6" s="88">
        <f t="shared" si="103"/>
        <v>0</v>
      </c>
      <c r="IUK6" s="88">
        <f t="shared" si="103"/>
        <v>0</v>
      </c>
      <c r="IUL6" s="88">
        <f t="shared" si="103"/>
        <v>0</v>
      </c>
      <c r="IUM6" s="88">
        <f t="shared" si="103"/>
        <v>0</v>
      </c>
      <c r="IUN6" s="88">
        <f t="shared" si="103"/>
        <v>0</v>
      </c>
      <c r="IUO6" s="88">
        <f t="shared" si="103"/>
        <v>0</v>
      </c>
      <c r="IUP6" s="88">
        <f t="shared" si="103"/>
        <v>0</v>
      </c>
      <c r="IUQ6" s="88">
        <f t="shared" si="103"/>
        <v>0</v>
      </c>
      <c r="IUR6" s="88">
        <f t="shared" si="103"/>
        <v>0</v>
      </c>
      <c r="IUS6" s="88">
        <f t="shared" si="103"/>
        <v>0</v>
      </c>
      <c r="IUT6" s="88">
        <f t="shared" si="103"/>
        <v>0</v>
      </c>
      <c r="IUU6" s="88">
        <f t="shared" si="103"/>
        <v>0</v>
      </c>
      <c r="IUV6" s="88">
        <f t="shared" si="103"/>
        <v>0</v>
      </c>
      <c r="IUW6" s="88">
        <f t="shared" si="103"/>
        <v>0</v>
      </c>
      <c r="IUX6" s="88">
        <f t="shared" si="103"/>
        <v>0</v>
      </c>
      <c r="IUY6" s="88">
        <f t="shared" si="103"/>
        <v>0</v>
      </c>
      <c r="IUZ6" s="88">
        <f t="shared" si="103"/>
        <v>0</v>
      </c>
      <c r="IVA6" s="88">
        <f t="shared" si="103"/>
        <v>0</v>
      </c>
      <c r="IVB6" s="88">
        <f t="shared" si="103"/>
        <v>0</v>
      </c>
      <c r="IVC6" s="88">
        <f t="shared" si="103"/>
        <v>0</v>
      </c>
      <c r="IVD6" s="88">
        <f t="shared" si="103"/>
        <v>0</v>
      </c>
      <c r="IVE6" s="88">
        <f t="shared" si="103"/>
        <v>0</v>
      </c>
      <c r="IVF6" s="88">
        <f t="shared" si="103"/>
        <v>0</v>
      </c>
      <c r="IVG6" s="88">
        <f t="shared" si="103"/>
        <v>0</v>
      </c>
      <c r="IVH6" s="88">
        <f t="shared" si="103"/>
        <v>0</v>
      </c>
      <c r="IVI6" s="88">
        <f t="shared" si="103"/>
        <v>0</v>
      </c>
      <c r="IVJ6" s="88">
        <f t="shared" si="103"/>
        <v>0</v>
      </c>
      <c r="IVK6" s="88">
        <f t="shared" si="103"/>
        <v>0</v>
      </c>
      <c r="IVL6" s="88">
        <f t="shared" ref="IVL6:IXW6" si="104">SUM(IVM3:IVM5)</f>
        <v>0</v>
      </c>
      <c r="IVM6" s="88">
        <f t="shared" si="104"/>
        <v>0</v>
      </c>
      <c r="IVN6" s="88">
        <f t="shared" si="104"/>
        <v>0</v>
      </c>
      <c r="IVO6" s="88">
        <f t="shared" si="104"/>
        <v>0</v>
      </c>
      <c r="IVP6" s="88">
        <f t="shared" si="104"/>
        <v>0</v>
      </c>
      <c r="IVQ6" s="88">
        <f t="shared" si="104"/>
        <v>0</v>
      </c>
      <c r="IVR6" s="88">
        <f t="shared" si="104"/>
        <v>0</v>
      </c>
      <c r="IVS6" s="88">
        <f t="shared" si="104"/>
        <v>0</v>
      </c>
      <c r="IVT6" s="88">
        <f t="shared" si="104"/>
        <v>0</v>
      </c>
      <c r="IVU6" s="88">
        <f t="shared" si="104"/>
        <v>0</v>
      </c>
      <c r="IVV6" s="88">
        <f t="shared" si="104"/>
        <v>0</v>
      </c>
      <c r="IVW6" s="88">
        <f t="shared" si="104"/>
        <v>0</v>
      </c>
      <c r="IVX6" s="88">
        <f t="shared" si="104"/>
        <v>0</v>
      </c>
      <c r="IVY6" s="88">
        <f t="shared" si="104"/>
        <v>0</v>
      </c>
      <c r="IVZ6" s="88">
        <f t="shared" si="104"/>
        <v>0</v>
      </c>
      <c r="IWA6" s="88">
        <f t="shared" si="104"/>
        <v>0</v>
      </c>
      <c r="IWB6" s="88">
        <f t="shared" si="104"/>
        <v>0</v>
      </c>
      <c r="IWC6" s="88">
        <f t="shared" si="104"/>
        <v>0</v>
      </c>
      <c r="IWD6" s="88">
        <f t="shared" si="104"/>
        <v>0</v>
      </c>
      <c r="IWE6" s="88">
        <f t="shared" si="104"/>
        <v>0</v>
      </c>
      <c r="IWF6" s="88">
        <f t="shared" si="104"/>
        <v>0</v>
      </c>
      <c r="IWG6" s="88">
        <f t="shared" si="104"/>
        <v>0</v>
      </c>
      <c r="IWH6" s="88">
        <f t="shared" si="104"/>
        <v>0</v>
      </c>
      <c r="IWI6" s="88">
        <f t="shared" si="104"/>
        <v>0</v>
      </c>
      <c r="IWJ6" s="88">
        <f t="shared" si="104"/>
        <v>0</v>
      </c>
      <c r="IWK6" s="88">
        <f t="shared" si="104"/>
        <v>0</v>
      </c>
      <c r="IWL6" s="88">
        <f t="shared" si="104"/>
        <v>0</v>
      </c>
      <c r="IWM6" s="88">
        <f t="shared" si="104"/>
        <v>0</v>
      </c>
      <c r="IWN6" s="88">
        <f t="shared" si="104"/>
        <v>0</v>
      </c>
      <c r="IWO6" s="88">
        <f t="shared" si="104"/>
        <v>0</v>
      </c>
      <c r="IWP6" s="88">
        <f t="shared" si="104"/>
        <v>0</v>
      </c>
      <c r="IWQ6" s="88">
        <f t="shared" si="104"/>
        <v>0</v>
      </c>
      <c r="IWR6" s="88">
        <f t="shared" si="104"/>
        <v>0</v>
      </c>
      <c r="IWS6" s="88">
        <f t="shared" si="104"/>
        <v>0</v>
      </c>
      <c r="IWT6" s="88">
        <f t="shared" si="104"/>
        <v>0</v>
      </c>
      <c r="IWU6" s="88">
        <f t="shared" si="104"/>
        <v>0</v>
      </c>
      <c r="IWV6" s="88">
        <f t="shared" si="104"/>
        <v>0</v>
      </c>
      <c r="IWW6" s="88">
        <f t="shared" si="104"/>
        <v>0</v>
      </c>
      <c r="IWX6" s="88">
        <f t="shared" si="104"/>
        <v>0</v>
      </c>
      <c r="IWY6" s="88">
        <f t="shared" si="104"/>
        <v>0</v>
      </c>
      <c r="IWZ6" s="88">
        <f t="shared" si="104"/>
        <v>0</v>
      </c>
      <c r="IXA6" s="88">
        <f t="shared" si="104"/>
        <v>0</v>
      </c>
      <c r="IXB6" s="88">
        <f t="shared" si="104"/>
        <v>0</v>
      </c>
      <c r="IXC6" s="88">
        <f t="shared" si="104"/>
        <v>0</v>
      </c>
      <c r="IXD6" s="88">
        <f t="shared" si="104"/>
        <v>0</v>
      </c>
      <c r="IXE6" s="88">
        <f t="shared" si="104"/>
        <v>0</v>
      </c>
      <c r="IXF6" s="88">
        <f t="shared" si="104"/>
        <v>0</v>
      </c>
      <c r="IXG6" s="88">
        <f t="shared" si="104"/>
        <v>0</v>
      </c>
      <c r="IXH6" s="88">
        <f t="shared" si="104"/>
        <v>0</v>
      </c>
      <c r="IXI6" s="88">
        <f t="shared" si="104"/>
        <v>0</v>
      </c>
      <c r="IXJ6" s="88">
        <f t="shared" si="104"/>
        <v>0</v>
      </c>
      <c r="IXK6" s="88">
        <f t="shared" si="104"/>
        <v>0</v>
      </c>
      <c r="IXL6" s="88">
        <f t="shared" si="104"/>
        <v>0</v>
      </c>
      <c r="IXM6" s="88">
        <f t="shared" si="104"/>
        <v>0</v>
      </c>
      <c r="IXN6" s="88">
        <f t="shared" si="104"/>
        <v>0</v>
      </c>
      <c r="IXO6" s="88">
        <f t="shared" si="104"/>
        <v>0</v>
      </c>
      <c r="IXP6" s="88">
        <f t="shared" si="104"/>
        <v>0</v>
      </c>
      <c r="IXQ6" s="88">
        <f t="shared" si="104"/>
        <v>0</v>
      </c>
      <c r="IXR6" s="88">
        <f t="shared" si="104"/>
        <v>0</v>
      </c>
      <c r="IXS6" s="88">
        <f t="shared" si="104"/>
        <v>0</v>
      </c>
      <c r="IXT6" s="88">
        <f t="shared" si="104"/>
        <v>0</v>
      </c>
      <c r="IXU6" s="88">
        <f t="shared" si="104"/>
        <v>0</v>
      </c>
      <c r="IXV6" s="88">
        <f t="shared" si="104"/>
        <v>0</v>
      </c>
      <c r="IXW6" s="88">
        <f t="shared" si="104"/>
        <v>0</v>
      </c>
      <c r="IXX6" s="88">
        <f t="shared" ref="IXX6:JAI6" si="105">SUM(IXY3:IXY5)</f>
        <v>0</v>
      </c>
      <c r="IXY6" s="88">
        <f t="shared" si="105"/>
        <v>0</v>
      </c>
      <c r="IXZ6" s="88">
        <f t="shared" si="105"/>
        <v>0</v>
      </c>
      <c r="IYA6" s="88">
        <f t="shared" si="105"/>
        <v>0</v>
      </c>
      <c r="IYB6" s="88">
        <f t="shared" si="105"/>
        <v>0</v>
      </c>
      <c r="IYC6" s="88">
        <f t="shared" si="105"/>
        <v>0</v>
      </c>
      <c r="IYD6" s="88">
        <f t="shared" si="105"/>
        <v>0</v>
      </c>
      <c r="IYE6" s="88">
        <f t="shared" si="105"/>
        <v>0</v>
      </c>
      <c r="IYF6" s="88">
        <f t="shared" si="105"/>
        <v>0</v>
      </c>
      <c r="IYG6" s="88">
        <f t="shared" si="105"/>
        <v>0</v>
      </c>
      <c r="IYH6" s="88">
        <f t="shared" si="105"/>
        <v>0</v>
      </c>
      <c r="IYI6" s="88">
        <f t="shared" si="105"/>
        <v>0</v>
      </c>
      <c r="IYJ6" s="88">
        <f t="shared" si="105"/>
        <v>0</v>
      </c>
      <c r="IYK6" s="88">
        <f t="shared" si="105"/>
        <v>0</v>
      </c>
      <c r="IYL6" s="88">
        <f t="shared" si="105"/>
        <v>0</v>
      </c>
      <c r="IYM6" s="88">
        <f t="shared" si="105"/>
        <v>0</v>
      </c>
      <c r="IYN6" s="88">
        <f t="shared" si="105"/>
        <v>0</v>
      </c>
      <c r="IYO6" s="88">
        <f t="shared" si="105"/>
        <v>0</v>
      </c>
      <c r="IYP6" s="88">
        <f t="shared" si="105"/>
        <v>0</v>
      </c>
      <c r="IYQ6" s="88">
        <f t="shared" si="105"/>
        <v>0</v>
      </c>
      <c r="IYR6" s="88">
        <f t="shared" si="105"/>
        <v>0</v>
      </c>
      <c r="IYS6" s="88">
        <f t="shared" si="105"/>
        <v>0</v>
      </c>
      <c r="IYT6" s="88">
        <f t="shared" si="105"/>
        <v>0</v>
      </c>
      <c r="IYU6" s="88">
        <f t="shared" si="105"/>
        <v>0</v>
      </c>
      <c r="IYV6" s="88">
        <f t="shared" si="105"/>
        <v>0</v>
      </c>
      <c r="IYW6" s="88">
        <f t="shared" si="105"/>
        <v>0</v>
      </c>
      <c r="IYX6" s="88">
        <f t="shared" si="105"/>
        <v>0</v>
      </c>
      <c r="IYY6" s="88">
        <f t="shared" si="105"/>
        <v>0</v>
      </c>
      <c r="IYZ6" s="88">
        <f t="shared" si="105"/>
        <v>0</v>
      </c>
      <c r="IZA6" s="88">
        <f t="shared" si="105"/>
        <v>0</v>
      </c>
      <c r="IZB6" s="88">
        <f t="shared" si="105"/>
        <v>0</v>
      </c>
      <c r="IZC6" s="88">
        <f t="shared" si="105"/>
        <v>0</v>
      </c>
      <c r="IZD6" s="88">
        <f t="shared" si="105"/>
        <v>0</v>
      </c>
      <c r="IZE6" s="88">
        <f t="shared" si="105"/>
        <v>0</v>
      </c>
      <c r="IZF6" s="88">
        <f t="shared" si="105"/>
        <v>0</v>
      </c>
      <c r="IZG6" s="88">
        <f t="shared" si="105"/>
        <v>0</v>
      </c>
      <c r="IZH6" s="88">
        <f t="shared" si="105"/>
        <v>0</v>
      </c>
      <c r="IZI6" s="88">
        <f t="shared" si="105"/>
        <v>0</v>
      </c>
      <c r="IZJ6" s="88">
        <f t="shared" si="105"/>
        <v>0</v>
      </c>
      <c r="IZK6" s="88">
        <f t="shared" si="105"/>
        <v>0</v>
      </c>
      <c r="IZL6" s="88">
        <f t="shared" si="105"/>
        <v>0</v>
      </c>
      <c r="IZM6" s="88">
        <f t="shared" si="105"/>
        <v>0</v>
      </c>
      <c r="IZN6" s="88">
        <f t="shared" si="105"/>
        <v>0</v>
      </c>
      <c r="IZO6" s="88">
        <f t="shared" si="105"/>
        <v>0</v>
      </c>
      <c r="IZP6" s="88">
        <f t="shared" si="105"/>
        <v>0</v>
      </c>
      <c r="IZQ6" s="88">
        <f t="shared" si="105"/>
        <v>0</v>
      </c>
      <c r="IZR6" s="88">
        <f t="shared" si="105"/>
        <v>0</v>
      </c>
      <c r="IZS6" s="88">
        <f t="shared" si="105"/>
        <v>0</v>
      </c>
      <c r="IZT6" s="88">
        <f t="shared" si="105"/>
        <v>0</v>
      </c>
      <c r="IZU6" s="88">
        <f t="shared" si="105"/>
        <v>0</v>
      </c>
      <c r="IZV6" s="88">
        <f t="shared" si="105"/>
        <v>0</v>
      </c>
      <c r="IZW6" s="88">
        <f t="shared" si="105"/>
        <v>0</v>
      </c>
      <c r="IZX6" s="88">
        <f t="shared" si="105"/>
        <v>0</v>
      </c>
      <c r="IZY6" s="88">
        <f t="shared" si="105"/>
        <v>0</v>
      </c>
      <c r="IZZ6" s="88">
        <f t="shared" si="105"/>
        <v>0</v>
      </c>
      <c r="JAA6" s="88">
        <f t="shared" si="105"/>
        <v>0</v>
      </c>
      <c r="JAB6" s="88">
        <f t="shared" si="105"/>
        <v>0</v>
      </c>
      <c r="JAC6" s="88">
        <f t="shared" si="105"/>
        <v>0</v>
      </c>
      <c r="JAD6" s="88">
        <f t="shared" si="105"/>
        <v>0</v>
      </c>
      <c r="JAE6" s="88">
        <f t="shared" si="105"/>
        <v>0</v>
      </c>
      <c r="JAF6" s="88">
        <f t="shared" si="105"/>
        <v>0</v>
      </c>
      <c r="JAG6" s="88">
        <f t="shared" si="105"/>
        <v>0</v>
      </c>
      <c r="JAH6" s="88">
        <f t="shared" si="105"/>
        <v>0</v>
      </c>
      <c r="JAI6" s="88">
        <f t="shared" si="105"/>
        <v>0</v>
      </c>
      <c r="JAJ6" s="88">
        <f t="shared" ref="JAJ6:JCU6" si="106">SUM(JAK3:JAK5)</f>
        <v>0</v>
      </c>
      <c r="JAK6" s="88">
        <f t="shared" si="106"/>
        <v>0</v>
      </c>
      <c r="JAL6" s="88">
        <f t="shared" si="106"/>
        <v>0</v>
      </c>
      <c r="JAM6" s="88">
        <f t="shared" si="106"/>
        <v>0</v>
      </c>
      <c r="JAN6" s="88">
        <f t="shared" si="106"/>
        <v>0</v>
      </c>
      <c r="JAO6" s="88">
        <f t="shared" si="106"/>
        <v>0</v>
      </c>
      <c r="JAP6" s="88">
        <f t="shared" si="106"/>
        <v>0</v>
      </c>
      <c r="JAQ6" s="88">
        <f t="shared" si="106"/>
        <v>0</v>
      </c>
      <c r="JAR6" s="88">
        <f t="shared" si="106"/>
        <v>0</v>
      </c>
      <c r="JAS6" s="88">
        <f t="shared" si="106"/>
        <v>0</v>
      </c>
      <c r="JAT6" s="88">
        <f t="shared" si="106"/>
        <v>0</v>
      </c>
      <c r="JAU6" s="88">
        <f t="shared" si="106"/>
        <v>0</v>
      </c>
      <c r="JAV6" s="88">
        <f t="shared" si="106"/>
        <v>0</v>
      </c>
      <c r="JAW6" s="88">
        <f t="shared" si="106"/>
        <v>0</v>
      </c>
      <c r="JAX6" s="88">
        <f t="shared" si="106"/>
        <v>0</v>
      </c>
      <c r="JAY6" s="88">
        <f t="shared" si="106"/>
        <v>0</v>
      </c>
      <c r="JAZ6" s="88">
        <f t="shared" si="106"/>
        <v>0</v>
      </c>
      <c r="JBA6" s="88">
        <f t="shared" si="106"/>
        <v>0</v>
      </c>
      <c r="JBB6" s="88">
        <f t="shared" si="106"/>
        <v>0</v>
      </c>
      <c r="JBC6" s="88">
        <f t="shared" si="106"/>
        <v>0</v>
      </c>
      <c r="JBD6" s="88">
        <f t="shared" si="106"/>
        <v>0</v>
      </c>
      <c r="JBE6" s="88">
        <f t="shared" si="106"/>
        <v>0</v>
      </c>
      <c r="JBF6" s="88">
        <f t="shared" si="106"/>
        <v>0</v>
      </c>
      <c r="JBG6" s="88">
        <f t="shared" si="106"/>
        <v>0</v>
      </c>
      <c r="JBH6" s="88">
        <f t="shared" si="106"/>
        <v>0</v>
      </c>
      <c r="JBI6" s="88">
        <f t="shared" si="106"/>
        <v>0</v>
      </c>
      <c r="JBJ6" s="88">
        <f t="shared" si="106"/>
        <v>0</v>
      </c>
      <c r="JBK6" s="88">
        <f t="shared" si="106"/>
        <v>0</v>
      </c>
      <c r="JBL6" s="88">
        <f t="shared" si="106"/>
        <v>0</v>
      </c>
      <c r="JBM6" s="88">
        <f t="shared" si="106"/>
        <v>0</v>
      </c>
      <c r="JBN6" s="88">
        <f t="shared" si="106"/>
        <v>0</v>
      </c>
      <c r="JBO6" s="88">
        <f t="shared" si="106"/>
        <v>0</v>
      </c>
      <c r="JBP6" s="88">
        <f t="shared" si="106"/>
        <v>0</v>
      </c>
      <c r="JBQ6" s="88">
        <f t="shared" si="106"/>
        <v>0</v>
      </c>
      <c r="JBR6" s="88">
        <f t="shared" si="106"/>
        <v>0</v>
      </c>
      <c r="JBS6" s="88">
        <f t="shared" si="106"/>
        <v>0</v>
      </c>
      <c r="JBT6" s="88">
        <f t="shared" si="106"/>
        <v>0</v>
      </c>
      <c r="JBU6" s="88">
        <f t="shared" si="106"/>
        <v>0</v>
      </c>
      <c r="JBV6" s="88">
        <f t="shared" si="106"/>
        <v>0</v>
      </c>
      <c r="JBW6" s="88">
        <f t="shared" si="106"/>
        <v>0</v>
      </c>
      <c r="JBX6" s="88">
        <f t="shared" si="106"/>
        <v>0</v>
      </c>
      <c r="JBY6" s="88">
        <f t="shared" si="106"/>
        <v>0</v>
      </c>
      <c r="JBZ6" s="88">
        <f t="shared" si="106"/>
        <v>0</v>
      </c>
      <c r="JCA6" s="88">
        <f t="shared" si="106"/>
        <v>0</v>
      </c>
      <c r="JCB6" s="88">
        <f t="shared" si="106"/>
        <v>0</v>
      </c>
      <c r="JCC6" s="88">
        <f t="shared" si="106"/>
        <v>0</v>
      </c>
      <c r="JCD6" s="88">
        <f t="shared" si="106"/>
        <v>0</v>
      </c>
      <c r="JCE6" s="88">
        <f t="shared" si="106"/>
        <v>0</v>
      </c>
      <c r="JCF6" s="88">
        <f t="shared" si="106"/>
        <v>0</v>
      </c>
      <c r="JCG6" s="88">
        <f t="shared" si="106"/>
        <v>0</v>
      </c>
      <c r="JCH6" s="88">
        <f t="shared" si="106"/>
        <v>0</v>
      </c>
      <c r="JCI6" s="88">
        <f t="shared" si="106"/>
        <v>0</v>
      </c>
      <c r="JCJ6" s="88">
        <f t="shared" si="106"/>
        <v>0</v>
      </c>
      <c r="JCK6" s="88">
        <f t="shared" si="106"/>
        <v>0</v>
      </c>
      <c r="JCL6" s="88">
        <f t="shared" si="106"/>
        <v>0</v>
      </c>
      <c r="JCM6" s="88">
        <f t="shared" si="106"/>
        <v>0</v>
      </c>
      <c r="JCN6" s="88">
        <f t="shared" si="106"/>
        <v>0</v>
      </c>
      <c r="JCO6" s="88">
        <f t="shared" si="106"/>
        <v>0</v>
      </c>
      <c r="JCP6" s="88">
        <f t="shared" si="106"/>
        <v>0</v>
      </c>
      <c r="JCQ6" s="88">
        <f t="shared" si="106"/>
        <v>0</v>
      </c>
      <c r="JCR6" s="88">
        <f t="shared" si="106"/>
        <v>0</v>
      </c>
      <c r="JCS6" s="88">
        <f t="shared" si="106"/>
        <v>0</v>
      </c>
      <c r="JCT6" s="88">
        <f t="shared" si="106"/>
        <v>0</v>
      </c>
      <c r="JCU6" s="88">
        <f t="shared" si="106"/>
        <v>0</v>
      </c>
      <c r="JCV6" s="88">
        <f t="shared" ref="JCV6:JFG6" si="107">SUM(JCW3:JCW5)</f>
        <v>0</v>
      </c>
      <c r="JCW6" s="88">
        <f t="shared" si="107"/>
        <v>0</v>
      </c>
      <c r="JCX6" s="88">
        <f t="shared" si="107"/>
        <v>0</v>
      </c>
      <c r="JCY6" s="88">
        <f t="shared" si="107"/>
        <v>0</v>
      </c>
      <c r="JCZ6" s="88">
        <f t="shared" si="107"/>
        <v>0</v>
      </c>
      <c r="JDA6" s="88">
        <f t="shared" si="107"/>
        <v>0</v>
      </c>
      <c r="JDB6" s="88">
        <f t="shared" si="107"/>
        <v>0</v>
      </c>
      <c r="JDC6" s="88">
        <f t="shared" si="107"/>
        <v>0</v>
      </c>
      <c r="JDD6" s="88">
        <f t="shared" si="107"/>
        <v>0</v>
      </c>
      <c r="JDE6" s="88">
        <f t="shared" si="107"/>
        <v>0</v>
      </c>
      <c r="JDF6" s="88">
        <f t="shared" si="107"/>
        <v>0</v>
      </c>
      <c r="JDG6" s="88">
        <f t="shared" si="107"/>
        <v>0</v>
      </c>
      <c r="JDH6" s="88">
        <f t="shared" si="107"/>
        <v>0</v>
      </c>
      <c r="JDI6" s="88">
        <f t="shared" si="107"/>
        <v>0</v>
      </c>
      <c r="JDJ6" s="88">
        <f t="shared" si="107"/>
        <v>0</v>
      </c>
      <c r="JDK6" s="88">
        <f t="shared" si="107"/>
        <v>0</v>
      </c>
      <c r="JDL6" s="88">
        <f t="shared" si="107"/>
        <v>0</v>
      </c>
      <c r="JDM6" s="88">
        <f t="shared" si="107"/>
        <v>0</v>
      </c>
      <c r="JDN6" s="88">
        <f t="shared" si="107"/>
        <v>0</v>
      </c>
      <c r="JDO6" s="88">
        <f t="shared" si="107"/>
        <v>0</v>
      </c>
      <c r="JDP6" s="88">
        <f t="shared" si="107"/>
        <v>0</v>
      </c>
      <c r="JDQ6" s="88">
        <f t="shared" si="107"/>
        <v>0</v>
      </c>
      <c r="JDR6" s="88">
        <f t="shared" si="107"/>
        <v>0</v>
      </c>
      <c r="JDS6" s="88">
        <f t="shared" si="107"/>
        <v>0</v>
      </c>
      <c r="JDT6" s="88">
        <f t="shared" si="107"/>
        <v>0</v>
      </c>
      <c r="JDU6" s="88">
        <f t="shared" si="107"/>
        <v>0</v>
      </c>
      <c r="JDV6" s="88">
        <f t="shared" si="107"/>
        <v>0</v>
      </c>
      <c r="JDW6" s="88">
        <f t="shared" si="107"/>
        <v>0</v>
      </c>
      <c r="JDX6" s="88">
        <f t="shared" si="107"/>
        <v>0</v>
      </c>
      <c r="JDY6" s="88">
        <f t="shared" si="107"/>
        <v>0</v>
      </c>
      <c r="JDZ6" s="88">
        <f t="shared" si="107"/>
        <v>0</v>
      </c>
      <c r="JEA6" s="88">
        <f t="shared" si="107"/>
        <v>0</v>
      </c>
      <c r="JEB6" s="88">
        <f t="shared" si="107"/>
        <v>0</v>
      </c>
      <c r="JEC6" s="88">
        <f t="shared" si="107"/>
        <v>0</v>
      </c>
      <c r="JED6" s="88">
        <f t="shared" si="107"/>
        <v>0</v>
      </c>
      <c r="JEE6" s="88">
        <f t="shared" si="107"/>
        <v>0</v>
      </c>
      <c r="JEF6" s="88">
        <f t="shared" si="107"/>
        <v>0</v>
      </c>
      <c r="JEG6" s="88">
        <f t="shared" si="107"/>
        <v>0</v>
      </c>
      <c r="JEH6" s="88">
        <f t="shared" si="107"/>
        <v>0</v>
      </c>
      <c r="JEI6" s="88">
        <f t="shared" si="107"/>
        <v>0</v>
      </c>
      <c r="JEJ6" s="88">
        <f t="shared" si="107"/>
        <v>0</v>
      </c>
      <c r="JEK6" s="88">
        <f t="shared" si="107"/>
        <v>0</v>
      </c>
      <c r="JEL6" s="88">
        <f t="shared" si="107"/>
        <v>0</v>
      </c>
      <c r="JEM6" s="88">
        <f t="shared" si="107"/>
        <v>0</v>
      </c>
      <c r="JEN6" s="88">
        <f t="shared" si="107"/>
        <v>0</v>
      </c>
      <c r="JEO6" s="88">
        <f t="shared" si="107"/>
        <v>0</v>
      </c>
      <c r="JEP6" s="88">
        <f t="shared" si="107"/>
        <v>0</v>
      </c>
      <c r="JEQ6" s="88">
        <f t="shared" si="107"/>
        <v>0</v>
      </c>
      <c r="JER6" s="88">
        <f t="shared" si="107"/>
        <v>0</v>
      </c>
      <c r="JES6" s="88">
        <f t="shared" si="107"/>
        <v>0</v>
      </c>
      <c r="JET6" s="88">
        <f t="shared" si="107"/>
        <v>0</v>
      </c>
      <c r="JEU6" s="88">
        <f t="shared" si="107"/>
        <v>0</v>
      </c>
      <c r="JEV6" s="88">
        <f t="shared" si="107"/>
        <v>0</v>
      </c>
      <c r="JEW6" s="88">
        <f t="shared" si="107"/>
        <v>0</v>
      </c>
      <c r="JEX6" s="88">
        <f t="shared" si="107"/>
        <v>0</v>
      </c>
      <c r="JEY6" s="88">
        <f t="shared" si="107"/>
        <v>0</v>
      </c>
      <c r="JEZ6" s="88">
        <f t="shared" si="107"/>
        <v>0</v>
      </c>
      <c r="JFA6" s="88">
        <f t="shared" si="107"/>
        <v>0</v>
      </c>
      <c r="JFB6" s="88">
        <f t="shared" si="107"/>
        <v>0</v>
      </c>
      <c r="JFC6" s="88">
        <f t="shared" si="107"/>
        <v>0</v>
      </c>
      <c r="JFD6" s="88">
        <f t="shared" si="107"/>
        <v>0</v>
      </c>
      <c r="JFE6" s="88">
        <f t="shared" si="107"/>
        <v>0</v>
      </c>
      <c r="JFF6" s="88">
        <f t="shared" si="107"/>
        <v>0</v>
      </c>
      <c r="JFG6" s="88">
        <f t="shared" si="107"/>
        <v>0</v>
      </c>
      <c r="JFH6" s="88">
        <f t="shared" ref="JFH6:JHS6" si="108">SUM(JFI3:JFI5)</f>
        <v>0</v>
      </c>
      <c r="JFI6" s="88">
        <f t="shared" si="108"/>
        <v>0</v>
      </c>
      <c r="JFJ6" s="88">
        <f t="shared" si="108"/>
        <v>0</v>
      </c>
      <c r="JFK6" s="88">
        <f t="shared" si="108"/>
        <v>0</v>
      </c>
      <c r="JFL6" s="88">
        <f t="shared" si="108"/>
        <v>0</v>
      </c>
      <c r="JFM6" s="88">
        <f t="shared" si="108"/>
        <v>0</v>
      </c>
      <c r="JFN6" s="88">
        <f t="shared" si="108"/>
        <v>0</v>
      </c>
      <c r="JFO6" s="88">
        <f t="shared" si="108"/>
        <v>0</v>
      </c>
      <c r="JFP6" s="88">
        <f t="shared" si="108"/>
        <v>0</v>
      </c>
      <c r="JFQ6" s="88">
        <f t="shared" si="108"/>
        <v>0</v>
      </c>
      <c r="JFR6" s="88">
        <f t="shared" si="108"/>
        <v>0</v>
      </c>
      <c r="JFS6" s="88">
        <f t="shared" si="108"/>
        <v>0</v>
      </c>
      <c r="JFT6" s="88">
        <f t="shared" si="108"/>
        <v>0</v>
      </c>
      <c r="JFU6" s="88">
        <f t="shared" si="108"/>
        <v>0</v>
      </c>
      <c r="JFV6" s="88">
        <f t="shared" si="108"/>
        <v>0</v>
      </c>
      <c r="JFW6" s="88">
        <f t="shared" si="108"/>
        <v>0</v>
      </c>
      <c r="JFX6" s="88">
        <f t="shared" si="108"/>
        <v>0</v>
      </c>
      <c r="JFY6" s="88">
        <f t="shared" si="108"/>
        <v>0</v>
      </c>
      <c r="JFZ6" s="88">
        <f t="shared" si="108"/>
        <v>0</v>
      </c>
      <c r="JGA6" s="88">
        <f t="shared" si="108"/>
        <v>0</v>
      </c>
      <c r="JGB6" s="88">
        <f t="shared" si="108"/>
        <v>0</v>
      </c>
      <c r="JGC6" s="88">
        <f t="shared" si="108"/>
        <v>0</v>
      </c>
      <c r="JGD6" s="88">
        <f t="shared" si="108"/>
        <v>0</v>
      </c>
      <c r="JGE6" s="88">
        <f t="shared" si="108"/>
        <v>0</v>
      </c>
      <c r="JGF6" s="88">
        <f t="shared" si="108"/>
        <v>0</v>
      </c>
      <c r="JGG6" s="88">
        <f t="shared" si="108"/>
        <v>0</v>
      </c>
      <c r="JGH6" s="88">
        <f t="shared" si="108"/>
        <v>0</v>
      </c>
      <c r="JGI6" s="88">
        <f t="shared" si="108"/>
        <v>0</v>
      </c>
      <c r="JGJ6" s="88">
        <f t="shared" si="108"/>
        <v>0</v>
      </c>
      <c r="JGK6" s="88">
        <f t="shared" si="108"/>
        <v>0</v>
      </c>
      <c r="JGL6" s="88">
        <f t="shared" si="108"/>
        <v>0</v>
      </c>
      <c r="JGM6" s="88">
        <f t="shared" si="108"/>
        <v>0</v>
      </c>
      <c r="JGN6" s="88">
        <f t="shared" si="108"/>
        <v>0</v>
      </c>
      <c r="JGO6" s="88">
        <f t="shared" si="108"/>
        <v>0</v>
      </c>
      <c r="JGP6" s="88">
        <f t="shared" si="108"/>
        <v>0</v>
      </c>
      <c r="JGQ6" s="88">
        <f t="shared" si="108"/>
        <v>0</v>
      </c>
      <c r="JGR6" s="88">
        <f t="shared" si="108"/>
        <v>0</v>
      </c>
      <c r="JGS6" s="88">
        <f t="shared" si="108"/>
        <v>0</v>
      </c>
      <c r="JGT6" s="88">
        <f t="shared" si="108"/>
        <v>0</v>
      </c>
      <c r="JGU6" s="88">
        <f t="shared" si="108"/>
        <v>0</v>
      </c>
      <c r="JGV6" s="88">
        <f t="shared" si="108"/>
        <v>0</v>
      </c>
      <c r="JGW6" s="88">
        <f t="shared" si="108"/>
        <v>0</v>
      </c>
      <c r="JGX6" s="88">
        <f t="shared" si="108"/>
        <v>0</v>
      </c>
      <c r="JGY6" s="88">
        <f t="shared" si="108"/>
        <v>0</v>
      </c>
      <c r="JGZ6" s="88">
        <f t="shared" si="108"/>
        <v>0</v>
      </c>
      <c r="JHA6" s="88">
        <f t="shared" si="108"/>
        <v>0</v>
      </c>
      <c r="JHB6" s="88">
        <f t="shared" si="108"/>
        <v>0</v>
      </c>
      <c r="JHC6" s="88">
        <f t="shared" si="108"/>
        <v>0</v>
      </c>
      <c r="JHD6" s="88">
        <f t="shared" si="108"/>
        <v>0</v>
      </c>
      <c r="JHE6" s="88">
        <f t="shared" si="108"/>
        <v>0</v>
      </c>
      <c r="JHF6" s="88">
        <f t="shared" si="108"/>
        <v>0</v>
      </c>
      <c r="JHG6" s="88">
        <f t="shared" si="108"/>
        <v>0</v>
      </c>
      <c r="JHH6" s="88">
        <f t="shared" si="108"/>
        <v>0</v>
      </c>
      <c r="JHI6" s="88">
        <f t="shared" si="108"/>
        <v>0</v>
      </c>
      <c r="JHJ6" s="88">
        <f t="shared" si="108"/>
        <v>0</v>
      </c>
      <c r="JHK6" s="88">
        <f t="shared" si="108"/>
        <v>0</v>
      </c>
      <c r="JHL6" s="88">
        <f t="shared" si="108"/>
        <v>0</v>
      </c>
      <c r="JHM6" s="88">
        <f t="shared" si="108"/>
        <v>0</v>
      </c>
      <c r="JHN6" s="88">
        <f t="shared" si="108"/>
        <v>0</v>
      </c>
      <c r="JHO6" s="88">
        <f t="shared" si="108"/>
        <v>0</v>
      </c>
      <c r="JHP6" s="88">
        <f t="shared" si="108"/>
        <v>0</v>
      </c>
      <c r="JHQ6" s="88">
        <f t="shared" si="108"/>
        <v>0</v>
      </c>
      <c r="JHR6" s="88">
        <f t="shared" si="108"/>
        <v>0</v>
      </c>
      <c r="JHS6" s="88">
        <f t="shared" si="108"/>
        <v>0</v>
      </c>
      <c r="JHT6" s="88">
        <f t="shared" ref="JHT6:JKE6" si="109">SUM(JHU3:JHU5)</f>
        <v>0</v>
      </c>
      <c r="JHU6" s="88">
        <f t="shared" si="109"/>
        <v>0</v>
      </c>
      <c r="JHV6" s="88">
        <f t="shared" si="109"/>
        <v>0</v>
      </c>
      <c r="JHW6" s="88">
        <f t="shared" si="109"/>
        <v>0</v>
      </c>
      <c r="JHX6" s="88">
        <f t="shared" si="109"/>
        <v>0</v>
      </c>
      <c r="JHY6" s="88">
        <f t="shared" si="109"/>
        <v>0</v>
      </c>
      <c r="JHZ6" s="88">
        <f t="shared" si="109"/>
        <v>0</v>
      </c>
      <c r="JIA6" s="88">
        <f t="shared" si="109"/>
        <v>0</v>
      </c>
      <c r="JIB6" s="88">
        <f t="shared" si="109"/>
        <v>0</v>
      </c>
      <c r="JIC6" s="88">
        <f t="shared" si="109"/>
        <v>0</v>
      </c>
      <c r="JID6" s="88">
        <f t="shared" si="109"/>
        <v>0</v>
      </c>
      <c r="JIE6" s="88">
        <f t="shared" si="109"/>
        <v>0</v>
      </c>
      <c r="JIF6" s="88">
        <f t="shared" si="109"/>
        <v>0</v>
      </c>
      <c r="JIG6" s="88">
        <f t="shared" si="109"/>
        <v>0</v>
      </c>
      <c r="JIH6" s="88">
        <f t="shared" si="109"/>
        <v>0</v>
      </c>
      <c r="JII6" s="88">
        <f t="shared" si="109"/>
        <v>0</v>
      </c>
      <c r="JIJ6" s="88">
        <f t="shared" si="109"/>
        <v>0</v>
      </c>
      <c r="JIK6" s="88">
        <f t="shared" si="109"/>
        <v>0</v>
      </c>
      <c r="JIL6" s="88">
        <f t="shared" si="109"/>
        <v>0</v>
      </c>
      <c r="JIM6" s="88">
        <f t="shared" si="109"/>
        <v>0</v>
      </c>
      <c r="JIN6" s="88">
        <f t="shared" si="109"/>
        <v>0</v>
      </c>
      <c r="JIO6" s="88">
        <f t="shared" si="109"/>
        <v>0</v>
      </c>
      <c r="JIP6" s="88">
        <f t="shared" si="109"/>
        <v>0</v>
      </c>
      <c r="JIQ6" s="88">
        <f t="shared" si="109"/>
        <v>0</v>
      </c>
      <c r="JIR6" s="88">
        <f t="shared" si="109"/>
        <v>0</v>
      </c>
      <c r="JIS6" s="88">
        <f t="shared" si="109"/>
        <v>0</v>
      </c>
      <c r="JIT6" s="88">
        <f t="shared" si="109"/>
        <v>0</v>
      </c>
      <c r="JIU6" s="88">
        <f t="shared" si="109"/>
        <v>0</v>
      </c>
      <c r="JIV6" s="88">
        <f t="shared" si="109"/>
        <v>0</v>
      </c>
      <c r="JIW6" s="88">
        <f t="shared" si="109"/>
        <v>0</v>
      </c>
      <c r="JIX6" s="88">
        <f t="shared" si="109"/>
        <v>0</v>
      </c>
      <c r="JIY6" s="88">
        <f t="shared" si="109"/>
        <v>0</v>
      </c>
      <c r="JIZ6" s="88">
        <f t="shared" si="109"/>
        <v>0</v>
      </c>
      <c r="JJA6" s="88">
        <f t="shared" si="109"/>
        <v>0</v>
      </c>
      <c r="JJB6" s="88">
        <f t="shared" si="109"/>
        <v>0</v>
      </c>
      <c r="JJC6" s="88">
        <f t="shared" si="109"/>
        <v>0</v>
      </c>
      <c r="JJD6" s="88">
        <f t="shared" si="109"/>
        <v>0</v>
      </c>
      <c r="JJE6" s="88">
        <f t="shared" si="109"/>
        <v>0</v>
      </c>
      <c r="JJF6" s="88">
        <f t="shared" si="109"/>
        <v>0</v>
      </c>
      <c r="JJG6" s="88">
        <f t="shared" si="109"/>
        <v>0</v>
      </c>
      <c r="JJH6" s="88">
        <f t="shared" si="109"/>
        <v>0</v>
      </c>
      <c r="JJI6" s="88">
        <f t="shared" si="109"/>
        <v>0</v>
      </c>
      <c r="JJJ6" s="88">
        <f t="shared" si="109"/>
        <v>0</v>
      </c>
      <c r="JJK6" s="88">
        <f t="shared" si="109"/>
        <v>0</v>
      </c>
      <c r="JJL6" s="88">
        <f t="shared" si="109"/>
        <v>0</v>
      </c>
      <c r="JJM6" s="88">
        <f t="shared" si="109"/>
        <v>0</v>
      </c>
      <c r="JJN6" s="88">
        <f t="shared" si="109"/>
        <v>0</v>
      </c>
      <c r="JJO6" s="88">
        <f t="shared" si="109"/>
        <v>0</v>
      </c>
      <c r="JJP6" s="88">
        <f t="shared" si="109"/>
        <v>0</v>
      </c>
      <c r="JJQ6" s="88">
        <f t="shared" si="109"/>
        <v>0</v>
      </c>
      <c r="JJR6" s="88">
        <f t="shared" si="109"/>
        <v>0</v>
      </c>
      <c r="JJS6" s="88">
        <f t="shared" si="109"/>
        <v>0</v>
      </c>
      <c r="JJT6" s="88">
        <f t="shared" si="109"/>
        <v>0</v>
      </c>
      <c r="JJU6" s="88">
        <f t="shared" si="109"/>
        <v>0</v>
      </c>
      <c r="JJV6" s="88">
        <f t="shared" si="109"/>
        <v>0</v>
      </c>
      <c r="JJW6" s="88">
        <f t="shared" si="109"/>
        <v>0</v>
      </c>
      <c r="JJX6" s="88">
        <f t="shared" si="109"/>
        <v>0</v>
      </c>
      <c r="JJY6" s="88">
        <f t="shared" si="109"/>
        <v>0</v>
      </c>
      <c r="JJZ6" s="88">
        <f t="shared" si="109"/>
        <v>0</v>
      </c>
      <c r="JKA6" s="88">
        <f t="shared" si="109"/>
        <v>0</v>
      </c>
      <c r="JKB6" s="88">
        <f t="shared" si="109"/>
        <v>0</v>
      </c>
      <c r="JKC6" s="88">
        <f t="shared" si="109"/>
        <v>0</v>
      </c>
      <c r="JKD6" s="88">
        <f t="shared" si="109"/>
        <v>0</v>
      </c>
      <c r="JKE6" s="88">
        <f t="shared" si="109"/>
        <v>0</v>
      </c>
      <c r="JKF6" s="88">
        <f t="shared" ref="JKF6:JMQ6" si="110">SUM(JKG3:JKG5)</f>
        <v>0</v>
      </c>
      <c r="JKG6" s="88">
        <f t="shared" si="110"/>
        <v>0</v>
      </c>
      <c r="JKH6" s="88">
        <f t="shared" si="110"/>
        <v>0</v>
      </c>
      <c r="JKI6" s="88">
        <f t="shared" si="110"/>
        <v>0</v>
      </c>
      <c r="JKJ6" s="88">
        <f t="shared" si="110"/>
        <v>0</v>
      </c>
      <c r="JKK6" s="88">
        <f t="shared" si="110"/>
        <v>0</v>
      </c>
      <c r="JKL6" s="88">
        <f t="shared" si="110"/>
        <v>0</v>
      </c>
      <c r="JKM6" s="88">
        <f t="shared" si="110"/>
        <v>0</v>
      </c>
      <c r="JKN6" s="88">
        <f t="shared" si="110"/>
        <v>0</v>
      </c>
      <c r="JKO6" s="88">
        <f t="shared" si="110"/>
        <v>0</v>
      </c>
      <c r="JKP6" s="88">
        <f t="shared" si="110"/>
        <v>0</v>
      </c>
      <c r="JKQ6" s="88">
        <f t="shared" si="110"/>
        <v>0</v>
      </c>
      <c r="JKR6" s="88">
        <f t="shared" si="110"/>
        <v>0</v>
      </c>
      <c r="JKS6" s="88">
        <f t="shared" si="110"/>
        <v>0</v>
      </c>
      <c r="JKT6" s="88">
        <f t="shared" si="110"/>
        <v>0</v>
      </c>
      <c r="JKU6" s="88">
        <f t="shared" si="110"/>
        <v>0</v>
      </c>
      <c r="JKV6" s="88">
        <f t="shared" si="110"/>
        <v>0</v>
      </c>
      <c r="JKW6" s="88">
        <f t="shared" si="110"/>
        <v>0</v>
      </c>
      <c r="JKX6" s="88">
        <f t="shared" si="110"/>
        <v>0</v>
      </c>
      <c r="JKY6" s="88">
        <f t="shared" si="110"/>
        <v>0</v>
      </c>
      <c r="JKZ6" s="88">
        <f t="shared" si="110"/>
        <v>0</v>
      </c>
      <c r="JLA6" s="88">
        <f t="shared" si="110"/>
        <v>0</v>
      </c>
      <c r="JLB6" s="88">
        <f t="shared" si="110"/>
        <v>0</v>
      </c>
      <c r="JLC6" s="88">
        <f t="shared" si="110"/>
        <v>0</v>
      </c>
      <c r="JLD6" s="88">
        <f t="shared" si="110"/>
        <v>0</v>
      </c>
      <c r="JLE6" s="88">
        <f t="shared" si="110"/>
        <v>0</v>
      </c>
      <c r="JLF6" s="88">
        <f t="shared" si="110"/>
        <v>0</v>
      </c>
      <c r="JLG6" s="88">
        <f t="shared" si="110"/>
        <v>0</v>
      </c>
      <c r="JLH6" s="88">
        <f t="shared" si="110"/>
        <v>0</v>
      </c>
      <c r="JLI6" s="88">
        <f t="shared" si="110"/>
        <v>0</v>
      </c>
      <c r="JLJ6" s="88">
        <f t="shared" si="110"/>
        <v>0</v>
      </c>
      <c r="JLK6" s="88">
        <f t="shared" si="110"/>
        <v>0</v>
      </c>
      <c r="JLL6" s="88">
        <f t="shared" si="110"/>
        <v>0</v>
      </c>
      <c r="JLM6" s="88">
        <f t="shared" si="110"/>
        <v>0</v>
      </c>
      <c r="JLN6" s="88">
        <f t="shared" si="110"/>
        <v>0</v>
      </c>
      <c r="JLO6" s="88">
        <f t="shared" si="110"/>
        <v>0</v>
      </c>
      <c r="JLP6" s="88">
        <f t="shared" si="110"/>
        <v>0</v>
      </c>
      <c r="JLQ6" s="88">
        <f t="shared" si="110"/>
        <v>0</v>
      </c>
      <c r="JLR6" s="88">
        <f t="shared" si="110"/>
        <v>0</v>
      </c>
      <c r="JLS6" s="88">
        <f t="shared" si="110"/>
        <v>0</v>
      </c>
      <c r="JLT6" s="88">
        <f t="shared" si="110"/>
        <v>0</v>
      </c>
      <c r="JLU6" s="88">
        <f t="shared" si="110"/>
        <v>0</v>
      </c>
      <c r="JLV6" s="88">
        <f t="shared" si="110"/>
        <v>0</v>
      </c>
      <c r="JLW6" s="88">
        <f t="shared" si="110"/>
        <v>0</v>
      </c>
      <c r="JLX6" s="88">
        <f t="shared" si="110"/>
        <v>0</v>
      </c>
      <c r="JLY6" s="88">
        <f t="shared" si="110"/>
        <v>0</v>
      </c>
      <c r="JLZ6" s="88">
        <f t="shared" si="110"/>
        <v>0</v>
      </c>
      <c r="JMA6" s="88">
        <f t="shared" si="110"/>
        <v>0</v>
      </c>
      <c r="JMB6" s="88">
        <f t="shared" si="110"/>
        <v>0</v>
      </c>
      <c r="JMC6" s="88">
        <f t="shared" si="110"/>
        <v>0</v>
      </c>
      <c r="JMD6" s="88">
        <f t="shared" si="110"/>
        <v>0</v>
      </c>
      <c r="JME6" s="88">
        <f t="shared" si="110"/>
        <v>0</v>
      </c>
      <c r="JMF6" s="88">
        <f t="shared" si="110"/>
        <v>0</v>
      </c>
      <c r="JMG6" s="88">
        <f t="shared" si="110"/>
        <v>0</v>
      </c>
      <c r="JMH6" s="88">
        <f t="shared" si="110"/>
        <v>0</v>
      </c>
      <c r="JMI6" s="88">
        <f t="shared" si="110"/>
        <v>0</v>
      </c>
      <c r="JMJ6" s="88">
        <f t="shared" si="110"/>
        <v>0</v>
      </c>
      <c r="JMK6" s="88">
        <f t="shared" si="110"/>
        <v>0</v>
      </c>
      <c r="JML6" s="88">
        <f t="shared" si="110"/>
        <v>0</v>
      </c>
      <c r="JMM6" s="88">
        <f t="shared" si="110"/>
        <v>0</v>
      </c>
      <c r="JMN6" s="88">
        <f t="shared" si="110"/>
        <v>0</v>
      </c>
      <c r="JMO6" s="88">
        <f t="shared" si="110"/>
        <v>0</v>
      </c>
      <c r="JMP6" s="88">
        <f t="shared" si="110"/>
        <v>0</v>
      </c>
      <c r="JMQ6" s="88">
        <f t="shared" si="110"/>
        <v>0</v>
      </c>
      <c r="JMR6" s="88">
        <f t="shared" ref="JMR6:JPC6" si="111">SUM(JMS3:JMS5)</f>
        <v>0</v>
      </c>
      <c r="JMS6" s="88">
        <f t="shared" si="111"/>
        <v>0</v>
      </c>
      <c r="JMT6" s="88">
        <f t="shared" si="111"/>
        <v>0</v>
      </c>
      <c r="JMU6" s="88">
        <f t="shared" si="111"/>
        <v>0</v>
      </c>
      <c r="JMV6" s="88">
        <f t="shared" si="111"/>
        <v>0</v>
      </c>
      <c r="JMW6" s="88">
        <f t="shared" si="111"/>
        <v>0</v>
      </c>
      <c r="JMX6" s="88">
        <f t="shared" si="111"/>
        <v>0</v>
      </c>
      <c r="JMY6" s="88">
        <f t="shared" si="111"/>
        <v>0</v>
      </c>
      <c r="JMZ6" s="88">
        <f t="shared" si="111"/>
        <v>0</v>
      </c>
      <c r="JNA6" s="88">
        <f t="shared" si="111"/>
        <v>0</v>
      </c>
      <c r="JNB6" s="88">
        <f t="shared" si="111"/>
        <v>0</v>
      </c>
      <c r="JNC6" s="88">
        <f t="shared" si="111"/>
        <v>0</v>
      </c>
      <c r="JND6" s="88">
        <f t="shared" si="111"/>
        <v>0</v>
      </c>
      <c r="JNE6" s="88">
        <f t="shared" si="111"/>
        <v>0</v>
      </c>
      <c r="JNF6" s="88">
        <f t="shared" si="111"/>
        <v>0</v>
      </c>
      <c r="JNG6" s="88">
        <f t="shared" si="111"/>
        <v>0</v>
      </c>
      <c r="JNH6" s="88">
        <f t="shared" si="111"/>
        <v>0</v>
      </c>
      <c r="JNI6" s="88">
        <f t="shared" si="111"/>
        <v>0</v>
      </c>
      <c r="JNJ6" s="88">
        <f t="shared" si="111"/>
        <v>0</v>
      </c>
      <c r="JNK6" s="88">
        <f t="shared" si="111"/>
        <v>0</v>
      </c>
      <c r="JNL6" s="88">
        <f t="shared" si="111"/>
        <v>0</v>
      </c>
      <c r="JNM6" s="88">
        <f t="shared" si="111"/>
        <v>0</v>
      </c>
      <c r="JNN6" s="88">
        <f t="shared" si="111"/>
        <v>0</v>
      </c>
      <c r="JNO6" s="88">
        <f t="shared" si="111"/>
        <v>0</v>
      </c>
      <c r="JNP6" s="88">
        <f t="shared" si="111"/>
        <v>0</v>
      </c>
      <c r="JNQ6" s="88">
        <f t="shared" si="111"/>
        <v>0</v>
      </c>
      <c r="JNR6" s="88">
        <f t="shared" si="111"/>
        <v>0</v>
      </c>
      <c r="JNS6" s="88">
        <f t="shared" si="111"/>
        <v>0</v>
      </c>
      <c r="JNT6" s="88">
        <f t="shared" si="111"/>
        <v>0</v>
      </c>
      <c r="JNU6" s="88">
        <f t="shared" si="111"/>
        <v>0</v>
      </c>
      <c r="JNV6" s="88">
        <f t="shared" si="111"/>
        <v>0</v>
      </c>
      <c r="JNW6" s="88">
        <f t="shared" si="111"/>
        <v>0</v>
      </c>
      <c r="JNX6" s="88">
        <f t="shared" si="111"/>
        <v>0</v>
      </c>
      <c r="JNY6" s="88">
        <f t="shared" si="111"/>
        <v>0</v>
      </c>
      <c r="JNZ6" s="88">
        <f t="shared" si="111"/>
        <v>0</v>
      </c>
      <c r="JOA6" s="88">
        <f t="shared" si="111"/>
        <v>0</v>
      </c>
      <c r="JOB6" s="88">
        <f t="shared" si="111"/>
        <v>0</v>
      </c>
      <c r="JOC6" s="88">
        <f t="shared" si="111"/>
        <v>0</v>
      </c>
      <c r="JOD6" s="88">
        <f t="shared" si="111"/>
        <v>0</v>
      </c>
      <c r="JOE6" s="88">
        <f t="shared" si="111"/>
        <v>0</v>
      </c>
      <c r="JOF6" s="88">
        <f t="shared" si="111"/>
        <v>0</v>
      </c>
      <c r="JOG6" s="88">
        <f t="shared" si="111"/>
        <v>0</v>
      </c>
      <c r="JOH6" s="88">
        <f t="shared" si="111"/>
        <v>0</v>
      </c>
      <c r="JOI6" s="88">
        <f t="shared" si="111"/>
        <v>0</v>
      </c>
      <c r="JOJ6" s="88">
        <f t="shared" si="111"/>
        <v>0</v>
      </c>
      <c r="JOK6" s="88">
        <f t="shared" si="111"/>
        <v>0</v>
      </c>
      <c r="JOL6" s="88">
        <f t="shared" si="111"/>
        <v>0</v>
      </c>
      <c r="JOM6" s="88">
        <f t="shared" si="111"/>
        <v>0</v>
      </c>
      <c r="JON6" s="88">
        <f t="shared" si="111"/>
        <v>0</v>
      </c>
      <c r="JOO6" s="88">
        <f t="shared" si="111"/>
        <v>0</v>
      </c>
      <c r="JOP6" s="88">
        <f t="shared" si="111"/>
        <v>0</v>
      </c>
      <c r="JOQ6" s="88">
        <f t="shared" si="111"/>
        <v>0</v>
      </c>
      <c r="JOR6" s="88">
        <f t="shared" si="111"/>
        <v>0</v>
      </c>
      <c r="JOS6" s="88">
        <f t="shared" si="111"/>
        <v>0</v>
      </c>
      <c r="JOT6" s="88">
        <f t="shared" si="111"/>
        <v>0</v>
      </c>
      <c r="JOU6" s="88">
        <f t="shared" si="111"/>
        <v>0</v>
      </c>
      <c r="JOV6" s="88">
        <f t="shared" si="111"/>
        <v>0</v>
      </c>
      <c r="JOW6" s="88">
        <f t="shared" si="111"/>
        <v>0</v>
      </c>
      <c r="JOX6" s="88">
        <f t="shared" si="111"/>
        <v>0</v>
      </c>
      <c r="JOY6" s="88">
        <f t="shared" si="111"/>
        <v>0</v>
      </c>
      <c r="JOZ6" s="88">
        <f t="shared" si="111"/>
        <v>0</v>
      </c>
      <c r="JPA6" s="88">
        <f t="shared" si="111"/>
        <v>0</v>
      </c>
      <c r="JPB6" s="88">
        <f t="shared" si="111"/>
        <v>0</v>
      </c>
      <c r="JPC6" s="88">
        <f t="shared" si="111"/>
        <v>0</v>
      </c>
      <c r="JPD6" s="88">
        <f t="shared" ref="JPD6:JRO6" si="112">SUM(JPE3:JPE5)</f>
        <v>0</v>
      </c>
      <c r="JPE6" s="88">
        <f t="shared" si="112"/>
        <v>0</v>
      </c>
      <c r="JPF6" s="88">
        <f t="shared" si="112"/>
        <v>0</v>
      </c>
      <c r="JPG6" s="88">
        <f t="shared" si="112"/>
        <v>0</v>
      </c>
      <c r="JPH6" s="88">
        <f t="shared" si="112"/>
        <v>0</v>
      </c>
      <c r="JPI6" s="88">
        <f t="shared" si="112"/>
        <v>0</v>
      </c>
      <c r="JPJ6" s="88">
        <f t="shared" si="112"/>
        <v>0</v>
      </c>
      <c r="JPK6" s="88">
        <f t="shared" si="112"/>
        <v>0</v>
      </c>
      <c r="JPL6" s="88">
        <f t="shared" si="112"/>
        <v>0</v>
      </c>
      <c r="JPM6" s="88">
        <f t="shared" si="112"/>
        <v>0</v>
      </c>
      <c r="JPN6" s="88">
        <f t="shared" si="112"/>
        <v>0</v>
      </c>
      <c r="JPO6" s="88">
        <f t="shared" si="112"/>
        <v>0</v>
      </c>
      <c r="JPP6" s="88">
        <f t="shared" si="112"/>
        <v>0</v>
      </c>
      <c r="JPQ6" s="88">
        <f t="shared" si="112"/>
        <v>0</v>
      </c>
      <c r="JPR6" s="88">
        <f t="shared" si="112"/>
        <v>0</v>
      </c>
      <c r="JPS6" s="88">
        <f t="shared" si="112"/>
        <v>0</v>
      </c>
      <c r="JPT6" s="88">
        <f t="shared" si="112"/>
        <v>0</v>
      </c>
      <c r="JPU6" s="88">
        <f t="shared" si="112"/>
        <v>0</v>
      </c>
      <c r="JPV6" s="88">
        <f t="shared" si="112"/>
        <v>0</v>
      </c>
      <c r="JPW6" s="88">
        <f t="shared" si="112"/>
        <v>0</v>
      </c>
      <c r="JPX6" s="88">
        <f t="shared" si="112"/>
        <v>0</v>
      </c>
      <c r="JPY6" s="88">
        <f t="shared" si="112"/>
        <v>0</v>
      </c>
      <c r="JPZ6" s="88">
        <f t="shared" si="112"/>
        <v>0</v>
      </c>
      <c r="JQA6" s="88">
        <f t="shared" si="112"/>
        <v>0</v>
      </c>
      <c r="JQB6" s="88">
        <f t="shared" si="112"/>
        <v>0</v>
      </c>
      <c r="JQC6" s="88">
        <f t="shared" si="112"/>
        <v>0</v>
      </c>
      <c r="JQD6" s="88">
        <f t="shared" si="112"/>
        <v>0</v>
      </c>
      <c r="JQE6" s="88">
        <f t="shared" si="112"/>
        <v>0</v>
      </c>
      <c r="JQF6" s="88">
        <f t="shared" si="112"/>
        <v>0</v>
      </c>
      <c r="JQG6" s="88">
        <f t="shared" si="112"/>
        <v>0</v>
      </c>
      <c r="JQH6" s="88">
        <f t="shared" si="112"/>
        <v>0</v>
      </c>
      <c r="JQI6" s="88">
        <f t="shared" si="112"/>
        <v>0</v>
      </c>
      <c r="JQJ6" s="88">
        <f t="shared" si="112"/>
        <v>0</v>
      </c>
      <c r="JQK6" s="88">
        <f t="shared" si="112"/>
        <v>0</v>
      </c>
      <c r="JQL6" s="88">
        <f t="shared" si="112"/>
        <v>0</v>
      </c>
      <c r="JQM6" s="88">
        <f t="shared" si="112"/>
        <v>0</v>
      </c>
      <c r="JQN6" s="88">
        <f t="shared" si="112"/>
        <v>0</v>
      </c>
      <c r="JQO6" s="88">
        <f t="shared" si="112"/>
        <v>0</v>
      </c>
      <c r="JQP6" s="88">
        <f t="shared" si="112"/>
        <v>0</v>
      </c>
      <c r="JQQ6" s="88">
        <f t="shared" si="112"/>
        <v>0</v>
      </c>
      <c r="JQR6" s="88">
        <f t="shared" si="112"/>
        <v>0</v>
      </c>
      <c r="JQS6" s="88">
        <f t="shared" si="112"/>
        <v>0</v>
      </c>
      <c r="JQT6" s="88">
        <f t="shared" si="112"/>
        <v>0</v>
      </c>
      <c r="JQU6" s="88">
        <f t="shared" si="112"/>
        <v>0</v>
      </c>
      <c r="JQV6" s="88">
        <f t="shared" si="112"/>
        <v>0</v>
      </c>
      <c r="JQW6" s="88">
        <f t="shared" si="112"/>
        <v>0</v>
      </c>
      <c r="JQX6" s="88">
        <f t="shared" si="112"/>
        <v>0</v>
      </c>
      <c r="JQY6" s="88">
        <f t="shared" si="112"/>
        <v>0</v>
      </c>
      <c r="JQZ6" s="88">
        <f t="shared" si="112"/>
        <v>0</v>
      </c>
      <c r="JRA6" s="88">
        <f t="shared" si="112"/>
        <v>0</v>
      </c>
      <c r="JRB6" s="88">
        <f t="shared" si="112"/>
        <v>0</v>
      </c>
      <c r="JRC6" s="88">
        <f t="shared" si="112"/>
        <v>0</v>
      </c>
      <c r="JRD6" s="88">
        <f t="shared" si="112"/>
        <v>0</v>
      </c>
      <c r="JRE6" s="88">
        <f t="shared" si="112"/>
        <v>0</v>
      </c>
      <c r="JRF6" s="88">
        <f t="shared" si="112"/>
        <v>0</v>
      </c>
      <c r="JRG6" s="88">
        <f t="shared" si="112"/>
        <v>0</v>
      </c>
      <c r="JRH6" s="88">
        <f t="shared" si="112"/>
        <v>0</v>
      </c>
      <c r="JRI6" s="88">
        <f t="shared" si="112"/>
        <v>0</v>
      </c>
      <c r="JRJ6" s="88">
        <f t="shared" si="112"/>
        <v>0</v>
      </c>
      <c r="JRK6" s="88">
        <f t="shared" si="112"/>
        <v>0</v>
      </c>
      <c r="JRL6" s="88">
        <f t="shared" si="112"/>
        <v>0</v>
      </c>
      <c r="JRM6" s="88">
        <f t="shared" si="112"/>
        <v>0</v>
      </c>
      <c r="JRN6" s="88">
        <f t="shared" si="112"/>
        <v>0</v>
      </c>
      <c r="JRO6" s="88">
        <f t="shared" si="112"/>
        <v>0</v>
      </c>
      <c r="JRP6" s="88">
        <f t="shared" ref="JRP6:JUA6" si="113">SUM(JRQ3:JRQ5)</f>
        <v>0</v>
      </c>
      <c r="JRQ6" s="88">
        <f t="shared" si="113"/>
        <v>0</v>
      </c>
      <c r="JRR6" s="88">
        <f t="shared" si="113"/>
        <v>0</v>
      </c>
      <c r="JRS6" s="88">
        <f t="shared" si="113"/>
        <v>0</v>
      </c>
      <c r="JRT6" s="88">
        <f t="shared" si="113"/>
        <v>0</v>
      </c>
      <c r="JRU6" s="88">
        <f t="shared" si="113"/>
        <v>0</v>
      </c>
      <c r="JRV6" s="88">
        <f t="shared" si="113"/>
        <v>0</v>
      </c>
      <c r="JRW6" s="88">
        <f t="shared" si="113"/>
        <v>0</v>
      </c>
      <c r="JRX6" s="88">
        <f t="shared" si="113"/>
        <v>0</v>
      </c>
      <c r="JRY6" s="88">
        <f t="shared" si="113"/>
        <v>0</v>
      </c>
      <c r="JRZ6" s="88">
        <f t="shared" si="113"/>
        <v>0</v>
      </c>
      <c r="JSA6" s="88">
        <f t="shared" si="113"/>
        <v>0</v>
      </c>
      <c r="JSB6" s="88">
        <f t="shared" si="113"/>
        <v>0</v>
      </c>
      <c r="JSC6" s="88">
        <f t="shared" si="113"/>
        <v>0</v>
      </c>
      <c r="JSD6" s="88">
        <f t="shared" si="113"/>
        <v>0</v>
      </c>
      <c r="JSE6" s="88">
        <f t="shared" si="113"/>
        <v>0</v>
      </c>
      <c r="JSF6" s="88">
        <f t="shared" si="113"/>
        <v>0</v>
      </c>
      <c r="JSG6" s="88">
        <f t="shared" si="113"/>
        <v>0</v>
      </c>
      <c r="JSH6" s="88">
        <f t="shared" si="113"/>
        <v>0</v>
      </c>
      <c r="JSI6" s="88">
        <f t="shared" si="113"/>
        <v>0</v>
      </c>
      <c r="JSJ6" s="88">
        <f t="shared" si="113"/>
        <v>0</v>
      </c>
      <c r="JSK6" s="88">
        <f t="shared" si="113"/>
        <v>0</v>
      </c>
      <c r="JSL6" s="88">
        <f t="shared" si="113"/>
        <v>0</v>
      </c>
      <c r="JSM6" s="88">
        <f t="shared" si="113"/>
        <v>0</v>
      </c>
      <c r="JSN6" s="88">
        <f t="shared" si="113"/>
        <v>0</v>
      </c>
      <c r="JSO6" s="88">
        <f t="shared" si="113"/>
        <v>0</v>
      </c>
      <c r="JSP6" s="88">
        <f t="shared" si="113"/>
        <v>0</v>
      </c>
      <c r="JSQ6" s="88">
        <f t="shared" si="113"/>
        <v>0</v>
      </c>
      <c r="JSR6" s="88">
        <f t="shared" si="113"/>
        <v>0</v>
      </c>
      <c r="JSS6" s="88">
        <f t="shared" si="113"/>
        <v>0</v>
      </c>
      <c r="JST6" s="88">
        <f t="shared" si="113"/>
        <v>0</v>
      </c>
      <c r="JSU6" s="88">
        <f t="shared" si="113"/>
        <v>0</v>
      </c>
      <c r="JSV6" s="88">
        <f t="shared" si="113"/>
        <v>0</v>
      </c>
      <c r="JSW6" s="88">
        <f t="shared" si="113"/>
        <v>0</v>
      </c>
      <c r="JSX6" s="88">
        <f t="shared" si="113"/>
        <v>0</v>
      </c>
      <c r="JSY6" s="88">
        <f t="shared" si="113"/>
        <v>0</v>
      </c>
      <c r="JSZ6" s="88">
        <f t="shared" si="113"/>
        <v>0</v>
      </c>
      <c r="JTA6" s="88">
        <f t="shared" si="113"/>
        <v>0</v>
      </c>
      <c r="JTB6" s="88">
        <f t="shared" si="113"/>
        <v>0</v>
      </c>
      <c r="JTC6" s="88">
        <f t="shared" si="113"/>
        <v>0</v>
      </c>
      <c r="JTD6" s="88">
        <f t="shared" si="113"/>
        <v>0</v>
      </c>
      <c r="JTE6" s="88">
        <f t="shared" si="113"/>
        <v>0</v>
      </c>
      <c r="JTF6" s="88">
        <f t="shared" si="113"/>
        <v>0</v>
      </c>
      <c r="JTG6" s="88">
        <f t="shared" si="113"/>
        <v>0</v>
      </c>
      <c r="JTH6" s="88">
        <f t="shared" si="113"/>
        <v>0</v>
      </c>
      <c r="JTI6" s="88">
        <f t="shared" si="113"/>
        <v>0</v>
      </c>
      <c r="JTJ6" s="88">
        <f t="shared" si="113"/>
        <v>0</v>
      </c>
      <c r="JTK6" s="88">
        <f t="shared" si="113"/>
        <v>0</v>
      </c>
      <c r="JTL6" s="88">
        <f t="shared" si="113"/>
        <v>0</v>
      </c>
      <c r="JTM6" s="88">
        <f t="shared" si="113"/>
        <v>0</v>
      </c>
      <c r="JTN6" s="88">
        <f t="shared" si="113"/>
        <v>0</v>
      </c>
      <c r="JTO6" s="88">
        <f t="shared" si="113"/>
        <v>0</v>
      </c>
      <c r="JTP6" s="88">
        <f t="shared" si="113"/>
        <v>0</v>
      </c>
      <c r="JTQ6" s="88">
        <f t="shared" si="113"/>
        <v>0</v>
      </c>
      <c r="JTR6" s="88">
        <f t="shared" si="113"/>
        <v>0</v>
      </c>
      <c r="JTS6" s="88">
        <f t="shared" si="113"/>
        <v>0</v>
      </c>
      <c r="JTT6" s="88">
        <f t="shared" si="113"/>
        <v>0</v>
      </c>
      <c r="JTU6" s="88">
        <f t="shared" si="113"/>
        <v>0</v>
      </c>
      <c r="JTV6" s="88">
        <f t="shared" si="113"/>
        <v>0</v>
      </c>
      <c r="JTW6" s="88">
        <f t="shared" si="113"/>
        <v>0</v>
      </c>
      <c r="JTX6" s="88">
        <f t="shared" si="113"/>
        <v>0</v>
      </c>
      <c r="JTY6" s="88">
        <f t="shared" si="113"/>
        <v>0</v>
      </c>
      <c r="JTZ6" s="88">
        <f t="shared" si="113"/>
        <v>0</v>
      </c>
      <c r="JUA6" s="88">
        <f t="shared" si="113"/>
        <v>0</v>
      </c>
      <c r="JUB6" s="88">
        <f t="shared" ref="JUB6:JWM6" si="114">SUM(JUC3:JUC5)</f>
        <v>0</v>
      </c>
      <c r="JUC6" s="88">
        <f t="shared" si="114"/>
        <v>0</v>
      </c>
      <c r="JUD6" s="88">
        <f t="shared" si="114"/>
        <v>0</v>
      </c>
      <c r="JUE6" s="88">
        <f t="shared" si="114"/>
        <v>0</v>
      </c>
      <c r="JUF6" s="88">
        <f t="shared" si="114"/>
        <v>0</v>
      </c>
      <c r="JUG6" s="88">
        <f t="shared" si="114"/>
        <v>0</v>
      </c>
      <c r="JUH6" s="88">
        <f t="shared" si="114"/>
        <v>0</v>
      </c>
      <c r="JUI6" s="88">
        <f t="shared" si="114"/>
        <v>0</v>
      </c>
      <c r="JUJ6" s="88">
        <f t="shared" si="114"/>
        <v>0</v>
      </c>
      <c r="JUK6" s="88">
        <f t="shared" si="114"/>
        <v>0</v>
      </c>
      <c r="JUL6" s="88">
        <f t="shared" si="114"/>
        <v>0</v>
      </c>
      <c r="JUM6" s="88">
        <f t="shared" si="114"/>
        <v>0</v>
      </c>
      <c r="JUN6" s="88">
        <f t="shared" si="114"/>
        <v>0</v>
      </c>
      <c r="JUO6" s="88">
        <f t="shared" si="114"/>
        <v>0</v>
      </c>
      <c r="JUP6" s="88">
        <f t="shared" si="114"/>
        <v>0</v>
      </c>
      <c r="JUQ6" s="88">
        <f t="shared" si="114"/>
        <v>0</v>
      </c>
      <c r="JUR6" s="88">
        <f t="shared" si="114"/>
        <v>0</v>
      </c>
      <c r="JUS6" s="88">
        <f t="shared" si="114"/>
        <v>0</v>
      </c>
      <c r="JUT6" s="88">
        <f t="shared" si="114"/>
        <v>0</v>
      </c>
      <c r="JUU6" s="88">
        <f t="shared" si="114"/>
        <v>0</v>
      </c>
      <c r="JUV6" s="88">
        <f t="shared" si="114"/>
        <v>0</v>
      </c>
      <c r="JUW6" s="88">
        <f t="shared" si="114"/>
        <v>0</v>
      </c>
      <c r="JUX6" s="88">
        <f t="shared" si="114"/>
        <v>0</v>
      </c>
      <c r="JUY6" s="88">
        <f t="shared" si="114"/>
        <v>0</v>
      </c>
      <c r="JUZ6" s="88">
        <f t="shared" si="114"/>
        <v>0</v>
      </c>
      <c r="JVA6" s="88">
        <f t="shared" si="114"/>
        <v>0</v>
      </c>
      <c r="JVB6" s="88">
        <f t="shared" si="114"/>
        <v>0</v>
      </c>
      <c r="JVC6" s="88">
        <f t="shared" si="114"/>
        <v>0</v>
      </c>
      <c r="JVD6" s="88">
        <f t="shared" si="114"/>
        <v>0</v>
      </c>
      <c r="JVE6" s="88">
        <f t="shared" si="114"/>
        <v>0</v>
      </c>
      <c r="JVF6" s="88">
        <f t="shared" si="114"/>
        <v>0</v>
      </c>
      <c r="JVG6" s="88">
        <f t="shared" si="114"/>
        <v>0</v>
      </c>
      <c r="JVH6" s="88">
        <f t="shared" si="114"/>
        <v>0</v>
      </c>
      <c r="JVI6" s="88">
        <f t="shared" si="114"/>
        <v>0</v>
      </c>
      <c r="JVJ6" s="88">
        <f t="shared" si="114"/>
        <v>0</v>
      </c>
      <c r="JVK6" s="88">
        <f t="shared" si="114"/>
        <v>0</v>
      </c>
      <c r="JVL6" s="88">
        <f t="shared" si="114"/>
        <v>0</v>
      </c>
      <c r="JVM6" s="88">
        <f t="shared" si="114"/>
        <v>0</v>
      </c>
      <c r="JVN6" s="88">
        <f t="shared" si="114"/>
        <v>0</v>
      </c>
      <c r="JVO6" s="88">
        <f t="shared" si="114"/>
        <v>0</v>
      </c>
      <c r="JVP6" s="88">
        <f t="shared" si="114"/>
        <v>0</v>
      </c>
      <c r="JVQ6" s="88">
        <f t="shared" si="114"/>
        <v>0</v>
      </c>
      <c r="JVR6" s="88">
        <f t="shared" si="114"/>
        <v>0</v>
      </c>
      <c r="JVS6" s="88">
        <f t="shared" si="114"/>
        <v>0</v>
      </c>
      <c r="JVT6" s="88">
        <f t="shared" si="114"/>
        <v>0</v>
      </c>
      <c r="JVU6" s="88">
        <f t="shared" si="114"/>
        <v>0</v>
      </c>
      <c r="JVV6" s="88">
        <f t="shared" si="114"/>
        <v>0</v>
      </c>
      <c r="JVW6" s="88">
        <f t="shared" si="114"/>
        <v>0</v>
      </c>
      <c r="JVX6" s="88">
        <f t="shared" si="114"/>
        <v>0</v>
      </c>
      <c r="JVY6" s="88">
        <f t="shared" si="114"/>
        <v>0</v>
      </c>
      <c r="JVZ6" s="88">
        <f t="shared" si="114"/>
        <v>0</v>
      </c>
      <c r="JWA6" s="88">
        <f t="shared" si="114"/>
        <v>0</v>
      </c>
      <c r="JWB6" s="88">
        <f t="shared" si="114"/>
        <v>0</v>
      </c>
      <c r="JWC6" s="88">
        <f t="shared" si="114"/>
        <v>0</v>
      </c>
      <c r="JWD6" s="88">
        <f t="shared" si="114"/>
        <v>0</v>
      </c>
      <c r="JWE6" s="88">
        <f t="shared" si="114"/>
        <v>0</v>
      </c>
      <c r="JWF6" s="88">
        <f t="shared" si="114"/>
        <v>0</v>
      </c>
      <c r="JWG6" s="88">
        <f t="shared" si="114"/>
        <v>0</v>
      </c>
      <c r="JWH6" s="88">
        <f t="shared" si="114"/>
        <v>0</v>
      </c>
      <c r="JWI6" s="88">
        <f t="shared" si="114"/>
        <v>0</v>
      </c>
      <c r="JWJ6" s="88">
        <f t="shared" si="114"/>
        <v>0</v>
      </c>
      <c r="JWK6" s="88">
        <f t="shared" si="114"/>
        <v>0</v>
      </c>
      <c r="JWL6" s="88">
        <f t="shared" si="114"/>
        <v>0</v>
      </c>
      <c r="JWM6" s="88">
        <f t="shared" si="114"/>
        <v>0</v>
      </c>
      <c r="JWN6" s="88">
        <f t="shared" ref="JWN6:JYY6" si="115">SUM(JWO3:JWO5)</f>
        <v>0</v>
      </c>
      <c r="JWO6" s="88">
        <f t="shared" si="115"/>
        <v>0</v>
      </c>
      <c r="JWP6" s="88">
        <f t="shared" si="115"/>
        <v>0</v>
      </c>
      <c r="JWQ6" s="88">
        <f t="shared" si="115"/>
        <v>0</v>
      </c>
      <c r="JWR6" s="88">
        <f t="shared" si="115"/>
        <v>0</v>
      </c>
      <c r="JWS6" s="88">
        <f t="shared" si="115"/>
        <v>0</v>
      </c>
      <c r="JWT6" s="88">
        <f t="shared" si="115"/>
        <v>0</v>
      </c>
      <c r="JWU6" s="88">
        <f t="shared" si="115"/>
        <v>0</v>
      </c>
      <c r="JWV6" s="88">
        <f t="shared" si="115"/>
        <v>0</v>
      </c>
      <c r="JWW6" s="88">
        <f t="shared" si="115"/>
        <v>0</v>
      </c>
      <c r="JWX6" s="88">
        <f t="shared" si="115"/>
        <v>0</v>
      </c>
      <c r="JWY6" s="88">
        <f t="shared" si="115"/>
        <v>0</v>
      </c>
      <c r="JWZ6" s="88">
        <f t="shared" si="115"/>
        <v>0</v>
      </c>
      <c r="JXA6" s="88">
        <f t="shared" si="115"/>
        <v>0</v>
      </c>
      <c r="JXB6" s="88">
        <f t="shared" si="115"/>
        <v>0</v>
      </c>
      <c r="JXC6" s="88">
        <f t="shared" si="115"/>
        <v>0</v>
      </c>
      <c r="JXD6" s="88">
        <f t="shared" si="115"/>
        <v>0</v>
      </c>
      <c r="JXE6" s="88">
        <f t="shared" si="115"/>
        <v>0</v>
      </c>
      <c r="JXF6" s="88">
        <f t="shared" si="115"/>
        <v>0</v>
      </c>
      <c r="JXG6" s="88">
        <f t="shared" si="115"/>
        <v>0</v>
      </c>
      <c r="JXH6" s="88">
        <f t="shared" si="115"/>
        <v>0</v>
      </c>
      <c r="JXI6" s="88">
        <f t="shared" si="115"/>
        <v>0</v>
      </c>
      <c r="JXJ6" s="88">
        <f t="shared" si="115"/>
        <v>0</v>
      </c>
      <c r="JXK6" s="88">
        <f t="shared" si="115"/>
        <v>0</v>
      </c>
      <c r="JXL6" s="88">
        <f t="shared" si="115"/>
        <v>0</v>
      </c>
      <c r="JXM6" s="88">
        <f t="shared" si="115"/>
        <v>0</v>
      </c>
      <c r="JXN6" s="88">
        <f t="shared" si="115"/>
        <v>0</v>
      </c>
      <c r="JXO6" s="88">
        <f t="shared" si="115"/>
        <v>0</v>
      </c>
      <c r="JXP6" s="88">
        <f t="shared" si="115"/>
        <v>0</v>
      </c>
      <c r="JXQ6" s="88">
        <f t="shared" si="115"/>
        <v>0</v>
      </c>
      <c r="JXR6" s="88">
        <f t="shared" si="115"/>
        <v>0</v>
      </c>
      <c r="JXS6" s="88">
        <f t="shared" si="115"/>
        <v>0</v>
      </c>
      <c r="JXT6" s="88">
        <f t="shared" si="115"/>
        <v>0</v>
      </c>
      <c r="JXU6" s="88">
        <f t="shared" si="115"/>
        <v>0</v>
      </c>
      <c r="JXV6" s="88">
        <f t="shared" si="115"/>
        <v>0</v>
      </c>
      <c r="JXW6" s="88">
        <f t="shared" si="115"/>
        <v>0</v>
      </c>
      <c r="JXX6" s="88">
        <f t="shared" si="115"/>
        <v>0</v>
      </c>
      <c r="JXY6" s="88">
        <f t="shared" si="115"/>
        <v>0</v>
      </c>
      <c r="JXZ6" s="88">
        <f t="shared" si="115"/>
        <v>0</v>
      </c>
      <c r="JYA6" s="88">
        <f t="shared" si="115"/>
        <v>0</v>
      </c>
      <c r="JYB6" s="88">
        <f t="shared" si="115"/>
        <v>0</v>
      </c>
      <c r="JYC6" s="88">
        <f t="shared" si="115"/>
        <v>0</v>
      </c>
      <c r="JYD6" s="88">
        <f t="shared" si="115"/>
        <v>0</v>
      </c>
      <c r="JYE6" s="88">
        <f t="shared" si="115"/>
        <v>0</v>
      </c>
      <c r="JYF6" s="88">
        <f t="shared" si="115"/>
        <v>0</v>
      </c>
      <c r="JYG6" s="88">
        <f t="shared" si="115"/>
        <v>0</v>
      </c>
      <c r="JYH6" s="88">
        <f t="shared" si="115"/>
        <v>0</v>
      </c>
      <c r="JYI6" s="88">
        <f t="shared" si="115"/>
        <v>0</v>
      </c>
      <c r="JYJ6" s="88">
        <f t="shared" si="115"/>
        <v>0</v>
      </c>
      <c r="JYK6" s="88">
        <f t="shared" si="115"/>
        <v>0</v>
      </c>
      <c r="JYL6" s="88">
        <f t="shared" si="115"/>
        <v>0</v>
      </c>
      <c r="JYM6" s="88">
        <f t="shared" si="115"/>
        <v>0</v>
      </c>
      <c r="JYN6" s="88">
        <f t="shared" si="115"/>
        <v>0</v>
      </c>
      <c r="JYO6" s="88">
        <f t="shared" si="115"/>
        <v>0</v>
      </c>
      <c r="JYP6" s="88">
        <f t="shared" si="115"/>
        <v>0</v>
      </c>
      <c r="JYQ6" s="88">
        <f t="shared" si="115"/>
        <v>0</v>
      </c>
      <c r="JYR6" s="88">
        <f t="shared" si="115"/>
        <v>0</v>
      </c>
      <c r="JYS6" s="88">
        <f t="shared" si="115"/>
        <v>0</v>
      </c>
      <c r="JYT6" s="88">
        <f t="shared" si="115"/>
        <v>0</v>
      </c>
      <c r="JYU6" s="88">
        <f t="shared" si="115"/>
        <v>0</v>
      </c>
      <c r="JYV6" s="88">
        <f t="shared" si="115"/>
        <v>0</v>
      </c>
      <c r="JYW6" s="88">
        <f t="shared" si="115"/>
        <v>0</v>
      </c>
      <c r="JYX6" s="88">
        <f t="shared" si="115"/>
        <v>0</v>
      </c>
      <c r="JYY6" s="88">
        <f t="shared" si="115"/>
        <v>0</v>
      </c>
      <c r="JYZ6" s="88">
        <f t="shared" ref="JYZ6:KBK6" si="116">SUM(JZA3:JZA5)</f>
        <v>0</v>
      </c>
      <c r="JZA6" s="88">
        <f t="shared" si="116"/>
        <v>0</v>
      </c>
      <c r="JZB6" s="88">
        <f t="shared" si="116"/>
        <v>0</v>
      </c>
      <c r="JZC6" s="88">
        <f t="shared" si="116"/>
        <v>0</v>
      </c>
      <c r="JZD6" s="88">
        <f t="shared" si="116"/>
        <v>0</v>
      </c>
      <c r="JZE6" s="88">
        <f t="shared" si="116"/>
        <v>0</v>
      </c>
      <c r="JZF6" s="88">
        <f t="shared" si="116"/>
        <v>0</v>
      </c>
      <c r="JZG6" s="88">
        <f t="shared" si="116"/>
        <v>0</v>
      </c>
      <c r="JZH6" s="88">
        <f t="shared" si="116"/>
        <v>0</v>
      </c>
      <c r="JZI6" s="88">
        <f t="shared" si="116"/>
        <v>0</v>
      </c>
      <c r="JZJ6" s="88">
        <f t="shared" si="116"/>
        <v>0</v>
      </c>
      <c r="JZK6" s="88">
        <f t="shared" si="116"/>
        <v>0</v>
      </c>
      <c r="JZL6" s="88">
        <f t="shared" si="116"/>
        <v>0</v>
      </c>
      <c r="JZM6" s="88">
        <f t="shared" si="116"/>
        <v>0</v>
      </c>
      <c r="JZN6" s="88">
        <f t="shared" si="116"/>
        <v>0</v>
      </c>
      <c r="JZO6" s="88">
        <f t="shared" si="116"/>
        <v>0</v>
      </c>
      <c r="JZP6" s="88">
        <f t="shared" si="116"/>
        <v>0</v>
      </c>
      <c r="JZQ6" s="88">
        <f t="shared" si="116"/>
        <v>0</v>
      </c>
      <c r="JZR6" s="88">
        <f t="shared" si="116"/>
        <v>0</v>
      </c>
      <c r="JZS6" s="88">
        <f t="shared" si="116"/>
        <v>0</v>
      </c>
      <c r="JZT6" s="88">
        <f t="shared" si="116"/>
        <v>0</v>
      </c>
      <c r="JZU6" s="88">
        <f t="shared" si="116"/>
        <v>0</v>
      </c>
      <c r="JZV6" s="88">
        <f t="shared" si="116"/>
        <v>0</v>
      </c>
      <c r="JZW6" s="88">
        <f t="shared" si="116"/>
        <v>0</v>
      </c>
      <c r="JZX6" s="88">
        <f t="shared" si="116"/>
        <v>0</v>
      </c>
      <c r="JZY6" s="88">
        <f t="shared" si="116"/>
        <v>0</v>
      </c>
      <c r="JZZ6" s="88">
        <f t="shared" si="116"/>
        <v>0</v>
      </c>
      <c r="KAA6" s="88">
        <f t="shared" si="116"/>
        <v>0</v>
      </c>
      <c r="KAB6" s="88">
        <f t="shared" si="116"/>
        <v>0</v>
      </c>
      <c r="KAC6" s="88">
        <f t="shared" si="116"/>
        <v>0</v>
      </c>
      <c r="KAD6" s="88">
        <f t="shared" si="116"/>
        <v>0</v>
      </c>
      <c r="KAE6" s="88">
        <f t="shared" si="116"/>
        <v>0</v>
      </c>
      <c r="KAF6" s="88">
        <f t="shared" si="116"/>
        <v>0</v>
      </c>
      <c r="KAG6" s="88">
        <f t="shared" si="116"/>
        <v>0</v>
      </c>
      <c r="KAH6" s="88">
        <f t="shared" si="116"/>
        <v>0</v>
      </c>
      <c r="KAI6" s="88">
        <f t="shared" si="116"/>
        <v>0</v>
      </c>
      <c r="KAJ6" s="88">
        <f t="shared" si="116"/>
        <v>0</v>
      </c>
      <c r="KAK6" s="88">
        <f t="shared" si="116"/>
        <v>0</v>
      </c>
      <c r="KAL6" s="88">
        <f t="shared" si="116"/>
        <v>0</v>
      </c>
      <c r="KAM6" s="88">
        <f t="shared" si="116"/>
        <v>0</v>
      </c>
      <c r="KAN6" s="88">
        <f t="shared" si="116"/>
        <v>0</v>
      </c>
      <c r="KAO6" s="88">
        <f t="shared" si="116"/>
        <v>0</v>
      </c>
      <c r="KAP6" s="88">
        <f t="shared" si="116"/>
        <v>0</v>
      </c>
      <c r="KAQ6" s="88">
        <f t="shared" si="116"/>
        <v>0</v>
      </c>
      <c r="KAR6" s="88">
        <f t="shared" si="116"/>
        <v>0</v>
      </c>
      <c r="KAS6" s="88">
        <f t="shared" si="116"/>
        <v>0</v>
      </c>
      <c r="KAT6" s="88">
        <f t="shared" si="116"/>
        <v>0</v>
      </c>
      <c r="KAU6" s="88">
        <f t="shared" si="116"/>
        <v>0</v>
      </c>
      <c r="KAV6" s="88">
        <f t="shared" si="116"/>
        <v>0</v>
      </c>
      <c r="KAW6" s="88">
        <f t="shared" si="116"/>
        <v>0</v>
      </c>
      <c r="KAX6" s="88">
        <f t="shared" si="116"/>
        <v>0</v>
      </c>
      <c r="KAY6" s="88">
        <f t="shared" si="116"/>
        <v>0</v>
      </c>
      <c r="KAZ6" s="88">
        <f t="shared" si="116"/>
        <v>0</v>
      </c>
      <c r="KBA6" s="88">
        <f t="shared" si="116"/>
        <v>0</v>
      </c>
      <c r="KBB6" s="88">
        <f t="shared" si="116"/>
        <v>0</v>
      </c>
      <c r="KBC6" s="88">
        <f t="shared" si="116"/>
        <v>0</v>
      </c>
      <c r="KBD6" s="88">
        <f t="shared" si="116"/>
        <v>0</v>
      </c>
      <c r="KBE6" s="88">
        <f t="shared" si="116"/>
        <v>0</v>
      </c>
      <c r="KBF6" s="88">
        <f t="shared" si="116"/>
        <v>0</v>
      </c>
      <c r="KBG6" s="88">
        <f t="shared" si="116"/>
        <v>0</v>
      </c>
      <c r="KBH6" s="88">
        <f t="shared" si="116"/>
        <v>0</v>
      </c>
      <c r="KBI6" s="88">
        <f t="shared" si="116"/>
        <v>0</v>
      </c>
      <c r="KBJ6" s="88">
        <f t="shared" si="116"/>
        <v>0</v>
      </c>
      <c r="KBK6" s="88">
        <f t="shared" si="116"/>
        <v>0</v>
      </c>
      <c r="KBL6" s="88">
        <f t="shared" ref="KBL6:KDW6" si="117">SUM(KBM3:KBM5)</f>
        <v>0</v>
      </c>
      <c r="KBM6" s="88">
        <f t="shared" si="117"/>
        <v>0</v>
      </c>
      <c r="KBN6" s="88">
        <f t="shared" si="117"/>
        <v>0</v>
      </c>
      <c r="KBO6" s="88">
        <f t="shared" si="117"/>
        <v>0</v>
      </c>
      <c r="KBP6" s="88">
        <f t="shared" si="117"/>
        <v>0</v>
      </c>
      <c r="KBQ6" s="88">
        <f t="shared" si="117"/>
        <v>0</v>
      </c>
      <c r="KBR6" s="88">
        <f t="shared" si="117"/>
        <v>0</v>
      </c>
      <c r="KBS6" s="88">
        <f t="shared" si="117"/>
        <v>0</v>
      </c>
      <c r="KBT6" s="88">
        <f t="shared" si="117"/>
        <v>0</v>
      </c>
      <c r="KBU6" s="88">
        <f t="shared" si="117"/>
        <v>0</v>
      </c>
      <c r="KBV6" s="88">
        <f t="shared" si="117"/>
        <v>0</v>
      </c>
      <c r="KBW6" s="88">
        <f t="shared" si="117"/>
        <v>0</v>
      </c>
      <c r="KBX6" s="88">
        <f t="shared" si="117"/>
        <v>0</v>
      </c>
      <c r="KBY6" s="88">
        <f t="shared" si="117"/>
        <v>0</v>
      </c>
      <c r="KBZ6" s="88">
        <f t="shared" si="117"/>
        <v>0</v>
      </c>
      <c r="KCA6" s="88">
        <f t="shared" si="117"/>
        <v>0</v>
      </c>
      <c r="KCB6" s="88">
        <f t="shared" si="117"/>
        <v>0</v>
      </c>
      <c r="KCC6" s="88">
        <f t="shared" si="117"/>
        <v>0</v>
      </c>
      <c r="KCD6" s="88">
        <f t="shared" si="117"/>
        <v>0</v>
      </c>
      <c r="KCE6" s="88">
        <f t="shared" si="117"/>
        <v>0</v>
      </c>
      <c r="KCF6" s="88">
        <f t="shared" si="117"/>
        <v>0</v>
      </c>
      <c r="KCG6" s="88">
        <f t="shared" si="117"/>
        <v>0</v>
      </c>
      <c r="KCH6" s="88">
        <f t="shared" si="117"/>
        <v>0</v>
      </c>
      <c r="KCI6" s="88">
        <f t="shared" si="117"/>
        <v>0</v>
      </c>
      <c r="KCJ6" s="88">
        <f t="shared" si="117"/>
        <v>0</v>
      </c>
      <c r="KCK6" s="88">
        <f t="shared" si="117"/>
        <v>0</v>
      </c>
      <c r="KCL6" s="88">
        <f t="shared" si="117"/>
        <v>0</v>
      </c>
      <c r="KCM6" s="88">
        <f t="shared" si="117"/>
        <v>0</v>
      </c>
      <c r="KCN6" s="88">
        <f t="shared" si="117"/>
        <v>0</v>
      </c>
      <c r="KCO6" s="88">
        <f t="shared" si="117"/>
        <v>0</v>
      </c>
      <c r="KCP6" s="88">
        <f t="shared" si="117"/>
        <v>0</v>
      </c>
      <c r="KCQ6" s="88">
        <f t="shared" si="117"/>
        <v>0</v>
      </c>
      <c r="KCR6" s="88">
        <f t="shared" si="117"/>
        <v>0</v>
      </c>
      <c r="KCS6" s="88">
        <f t="shared" si="117"/>
        <v>0</v>
      </c>
      <c r="KCT6" s="88">
        <f t="shared" si="117"/>
        <v>0</v>
      </c>
      <c r="KCU6" s="88">
        <f t="shared" si="117"/>
        <v>0</v>
      </c>
      <c r="KCV6" s="88">
        <f t="shared" si="117"/>
        <v>0</v>
      </c>
      <c r="KCW6" s="88">
        <f t="shared" si="117"/>
        <v>0</v>
      </c>
      <c r="KCX6" s="88">
        <f t="shared" si="117"/>
        <v>0</v>
      </c>
      <c r="KCY6" s="88">
        <f t="shared" si="117"/>
        <v>0</v>
      </c>
      <c r="KCZ6" s="88">
        <f t="shared" si="117"/>
        <v>0</v>
      </c>
      <c r="KDA6" s="88">
        <f t="shared" si="117"/>
        <v>0</v>
      </c>
      <c r="KDB6" s="88">
        <f t="shared" si="117"/>
        <v>0</v>
      </c>
      <c r="KDC6" s="88">
        <f t="shared" si="117"/>
        <v>0</v>
      </c>
      <c r="KDD6" s="88">
        <f t="shared" si="117"/>
        <v>0</v>
      </c>
      <c r="KDE6" s="88">
        <f t="shared" si="117"/>
        <v>0</v>
      </c>
      <c r="KDF6" s="88">
        <f t="shared" si="117"/>
        <v>0</v>
      </c>
      <c r="KDG6" s="88">
        <f t="shared" si="117"/>
        <v>0</v>
      </c>
      <c r="KDH6" s="88">
        <f t="shared" si="117"/>
        <v>0</v>
      </c>
      <c r="KDI6" s="88">
        <f t="shared" si="117"/>
        <v>0</v>
      </c>
      <c r="KDJ6" s="88">
        <f t="shared" si="117"/>
        <v>0</v>
      </c>
      <c r="KDK6" s="88">
        <f t="shared" si="117"/>
        <v>0</v>
      </c>
      <c r="KDL6" s="88">
        <f t="shared" si="117"/>
        <v>0</v>
      </c>
      <c r="KDM6" s="88">
        <f t="shared" si="117"/>
        <v>0</v>
      </c>
      <c r="KDN6" s="88">
        <f t="shared" si="117"/>
        <v>0</v>
      </c>
      <c r="KDO6" s="88">
        <f t="shared" si="117"/>
        <v>0</v>
      </c>
      <c r="KDP6" s="88">
        <f t="shared" si="117"/>
        <v>0</v>
      </c>
      <c r="KDQ6" s="88">
        <f t="shared" si="117"/>
        <v>0</v>
      </c>
      <c r="KDR6" s="88">
        <f t="shared" si="117"/>
        <v>0</v>
      </c>
      <c r="KDS6" s="88">
        <f t="shared" si="117"/>
        <v>0</v>
      </c>
      <c r="KDT6" s="88">
        <f t="shared" si="117"/>
        <v>0</v>
      </c>
      <c r="KDU6" s="88">
        <f t="shared" si="117"/>
        <v>0</v>
      </c>
      <c r="KDV6" s="88">
        <f t="shared" si="117"/>
        <v>0</v>
      </c>
      <c r="KDW6" s="88">
        <f t="shared" si="117"/>
        <v>0</v>
      </c>
      <c r="KDX6" s="88">
        <f t="shared" ref="KDX6:KGI6" si="118">SUM(KDY3:KDY5)</f>
        <v>0</v>
      </c>
      <c r="KDY6" s="88">
        <f t="shared" si="118"/>
        <v>0</v>
      </c>
      <c r="KDZ6" s="88">
        <f t="shared" si="118"/>
        <v>0</v>
      </c>
      <c r="KEA6" s="88">
        <f t="shared" si="118"/>
        <v>0</v>
      </c>
      <c r="KEB6" s="88">
        <f t="shared" si="118"/>
        <v>0</v>
      </c>
      <c r="KEC6" s="88">
        <f t="shared" si="118"/>
        <v>0</v>
      </c>
      <c r="KED6" s="88">
        <f t="shared" si="118"/>
        <v>0</v>
      </c>
      <c r="KEE6" s="88">
        <f t="shared" si="118"/>
        <v>0</v>
      </c>
      <c r="KEF6" s="88">
        <f t="shared" si="118"/>
        <v>0</v>
      </c>
      <c r="KEG6" s="88">
        <f t="shared" si="118"/>
        <v>0</v>
      </c>
      <c r="KEH6" s="88">
        <f t="shared" si="118"/>
        <v>0</v>
      </c>
      <c r="KEI6" s="88">
        <f t="shared" si="118"/>
        <v>0</v>
      </c>
      <c r="KEJ6" s="88">
        <f t="shared" si="118"/>
        <v>0</v>
      </c>
      <c r="KEK6" s="88">
        <f t="shared" si="118"/>
        <v>0</v>
      </c>
      <c r="KEL6" s="88">
        <f t="shared" si="118"/>
        <v>0</v>
      </c>
      <c r="KEM6" s="88">
        <f t="shared" si="118"/>
        <v>0</v>
      </c>
      <c r="KEN6" s="88">
        <f t="shared" si="118"/>
        <v>0</v>
      </c>
      <c r="KEO6" s="88">
        <f t="shared" si="118"/>
        <v>0</v>
      </c>
      <c r="KEP6" s="88">
        <f t="shared" si="118"/>
        <v>0</v>
      </c>
      <c r="KEQ6" s="88">
        <f t="shared" si="118"/>
        <v>0</v>
      </c>
      <c r="KER6" s="88">
        <f t="shared" si="118"/>
        <v>0</v>
      </c>
      <c r="KES6" s="88">
        <f t="shared" si="118"/>
        <v>0</v>
      </c>
      <c r="KET6" s="88">
        <f t="shared" si="118"/>
        <v>0</v>
      </c>
      <c r="KEU6" s="88">
        <f t="shared" si="118"/>
        <v>0</v>
      </c>
      <c r="KEV6" s="88">
        <f t="shared" si="118"/>
        <v>0</v>
      </c>
      <c r="KEW6" s="88">
        <f t="shared" si="118"/>
        <v>0</v>
      </c>
      <c r="KEX6" s="88">
        <f t="shared" si="118"/>
        <v>0</v>
      </c>
      <c r="KEY6" s="88">
        <f t="shared" si="118"/>
        <v>0</v>
      </c>
      <c r="KEZ6" s="88">
        <f t="shared" si="118"/>
        <v>0</v>
      </c>
      <c r="KFA6" s="88">
        <f t="shared" si="118"/>
        <v>0</v>
      </c>
      <c r="KFB6" s="88">
        <f t="shared" si="118"/>
        <v>0</v>
      </c>
      <c r="KFC6" s="88">
        <f t="shared" si="118"/>
        <v>0</v>
      </c>
      <c r="KFD6" s="88">
        <f t="shared" si="118"/>
        <v>0</v>
      </c>
      <c r="KFE6" s="88">
        <f t="shared" si="118"/>
        <v>0</v>
      </c>
      <c r="KFF6" s="88">
        <f t="shared" si="118"/>
        <v>0</v>
      </c>
      <c r="KFG6" s="88">
        <f t="shared" si="118"/>
        <v>0</v>
      </c>
      <c r="KFH6" s="88">
        <f t="shared" si="118"/>
        <v>0</v>
      </c>
      <c r="KFI6" s="88">
        <f t="shared" si="118"/>
        <v>0</v>
      </c>
      <c r="KFJ6" s="88">
        <f t="shared" si="118"/>
        <v>0</v>
      </c>
      <c r="KFK6" s="88">
        <f t="shared" si="118"/>
        <v>0</v>
      </c>
      <c r="KFL6" s="88">
        <f t="shared" si="118"/>
        <v>0</v>
      </c>
      <c r="KFM6" s="88">
        <f t="shared" si="118"/>
        <v>0</v>
      </c>
      <c r="KFN6" s="88">
        <f t="shared" si="118"/>
        <v>0</v>
      </c>
      <c r="KFO6" s="88">
        <f t="shared" si="118"/>
        <v>0</v>
      </c>
      <c r="KFP6" s="88">
        <f t="shared" si="118"/>
        <v>0</v>
      </c>
      <c r="KFQ6" s="88">
        <f t="shared" si="118"/>
        <v>0</v>
      </c>
      <c r="KFR6" s="88">
        <f t="shared" si="118"/>
        <v>0</v>
      </c>
      <c r="KFS6" s="88">
        <f t="shared" si="118"/>
        <v>0</v>
      </c>
      <c r="KFT6" s="88">
        <f t="shared" si="118"/>
        <v>0</v>
      </c>
      <c r="KFU6" s="88">
        <f t="shared" si="118"/>
        <v>0</v>
      </c>
      <c r="KFV6" s="88">
        <f t="shared" si="118"/>
        <v>0</v>
      </c>
      <c r="KFW6" s="88">
        <f t="shared" si="118"/>
        <v>0</v>
      </c>
      <c r="KFX6" s="88">
        <f t="shared" si="118"/>
        <v>0</v>
      </c>
      <c r="KFY6" s="88">
        <f t="shared" si="118"/>
        <v>0</v>
      </c>
      <c r="KFZ6" s="88">
        <f t="shared" si="118"/>
        <v>0</v>
      </c>
      <c r="KGA6" s="88">
        <f t="shared" si="118"/>
        <v>0</v>
      </c>
      <c r="KGB6" s="88">
        <f t="shared" si="118"/>
        <v>0</v>
      </c>
      <c r="KGC6" s="88">
        <f t="shared" si="118"/>
        <v>0</v>
      </c>
      <c r="KGD6" s="88">
        <f t="shared" si="118"/>
        <v>0</v>
      </c>
      <c r="KGE6" s="88">
        <f t="shared" si="118"/>
        <v>0</v>
      </c>
      <c r="KGF6" s="88">
        <f t="shared" si="118"/>
        <v>0</v>
      </c>
      <c r="KGG6" s="88">
        <f t="shared" si="118"/>
        <v>0</v>
      </c>
      <c r="KGH6" s="88">
        <f t="shared" si="118"/>
        <v>0</v>
      </c>
      <c r="KGI6" s="88">
        <f t="shared" si="118"/>
        <v>0</v>
      </c>
      <c r="KGJ6" s="88">
        <f t="shared" ref="KGJ6:KIU6" si="119">SUM(KGK3:KGK5)</f>
        <v>0</v>
      </c>
      <c r="KGK6" s="88">
        <f t="shared" si="119"/>
        <v>0</v>
      </c>
      <c r="KGL6" s="88">
        <f t="shared" si="119"/>
        <v>0</v>
      </c>
      <c r="KGM6" s="88">
        <f t="shared" si="119"/>
        <v>0</v>
      </c>
      <c r="KGN6" s="88">
        <f t="shared" si="119"/>
        <v>0</v>
      </c>
      <c r="KGO6" s="88">
        <f t="shared" si="119"/>
        <v>0</v>
      </c>
      <c r="KGP6" s="88">
        <f t="shared" si="119"/>
        <v>0</v>
      </c>
      <c r="KGQ6" s="88">
        <f t="shared" si="119"/>
        <v>0</v>
      </c>
      <c r="KGR6" s="88">
        <f t="shared" si="119"/>
        <v>0</v>
      </c>
      <c r="KGS6" s="88">
        <f t="shared" si="119"/>
        <v>0</v>
      </c>
      <c r="KGT6" s="88">
        <f t="shared" si="119"/>
        <v>0</v>
      </c>
      <c r="KGU6" s="88">
        <f t="shared" si="119"/>
        <v>0</v>
      </c>
      <c r="KGV6" s="88">
        <f t="shared" si="119"/>
        <v>0</v>
      </c>
      <c r="KGW6" s="88">
        <f t="shared" si="119"/>
        <v>0</v>
      </c>
      <c r="KGX6" s="88">
        <f t="shared" si="119"/>
        <v>0</v>
      </c>
      <c r="KGY6" s="88">
        <f t="shared" si="119"/>
        <v>0</v>
      </c>
      <c r="KGZ6" s="88">
        <f t="shared" si="119"/>
        <v>0</v>
      </c>
      <c r="KHA6" s="88">
        <f t="shared" si="119"/>
        <v>0</v>
      </c>
      <c r="KHB6" s="88">
        <f t="shared" si="119"/>
        <v>0</v>
      </c>
      <c r="KHC6" s="88">
        <f t="shared" si="119"/>
        <v>0</v>
      </c>
      <c r="KHD6" s="88">
        <f t="shared" si="119"/>
        <v>0</v>
      </c>
      <c r="KHE6" s="88">
        <f t="shared" si="119"/>
        <v>0</v>
      </c>
      <c r="KHF6" s="88">
        <f t="shared" si="119"/>
        <v>0</v>
      </c>
      <c r="KHG6" s="88">
        <f t="shared" si="119"/>
        <v>0</v>
      </c>
      <c r="KHH6" s="88">
        <f t="shared" si="119"/>
        <v>0</v>
      </c>
      <c r="KHI6" s="88">
        <f t="shared" si="119"/>
        <v>0</v>
      </c>
      <c r="KHJ6" s="88">
        <f t="shared" si="119"/>
        <v>0</v>
      </c>
      <c r="KHK6" s="88">
        <f t="shared" si="119"/>
        <v>0</v>
      </c>
      <c r="KHL6" s="88">
        <f t="shared" si="119"/>
        <v>0</v>
      </c>
      <c r="KHM6" s="88">
        <f t="shared" si="119"/>
        <v>0</v>
      </c>
      <c r="KHN6" s="88">
        <f t="shared" si="119"/>
        <v>0</v>
      </c>
      <c r="KHO6" s="88">
        <f t="shared" si="119"/>
        <v>0</v>
      </c>
      <c r="KHP6" s="88">
        <f t="shared" si="119"/>
        <v>0</v>
      </c>
      <c r="KHQ6" s="88">
        <f t="shared" si="119"/>
        <v>0</v>
      </c>
      <c r="KHR6" s="88">
        <f t="shared" si="119"/>
        <v>0</v>
      </c>
      <c r="KHS6" s="88">
        <f t="shared" si="119"/>
        <v>0</v>
      </c>
      <c r="KHT6" s="88">
        <f t="shared" si="119"/>
        <v>0</v>
      </c>
      <c r="KHU6" s="88">
        <f t="shared" si="119"/>
        <v>0</v>
      </c>
      <c r="KHV6" s="88">
        <f t="shared" si="119"/>
        <v>0</v>
      </c>
      <c r="KHW6" s="88">
        <f t="shared" si="119"/>
        <v>0</v>
      </c>
      <c r="KHX6" s="88">
        <f t="shared" si="119"/>
        <v>0</v>
      </c>
      <c r="KHY6" s="88">
        <f t="shared" si="119"/>
        <v>0</v>
      </c>
      <c r="KHZ6" s="88">
        <f t="shared" si="119"/>
        <v>0</v>
      </c>
      <c r="KIA6" s="88">
        <f t="shared" si="119"/>
        <v>0</v>
      </c>
      <c r="KIB6" s="88">
        <f t="shared" si="119"/>
        <v>0</v>
      </c>
      <c r="KIC6" s="88">
        <f t="shared" si="119"/>
        <v>0</v>
      </c>
      <c r="KID6" s="88">
        <f t="shared" si="119"/>
        <v>0</v>
      </c>
      <c r="KIE6" s="88">
        <f t="shared" si="119"/>
        <v>0</v>
      </c>
      <c r="KIF6" s="88">
        <f t="shared" si="119"/>
        <v>0</v>
      </c>
      <c r="KIG6" s="88">
        <f t="shared" si="119"/>
        <v>0</v>
      </c>
      <c r="KIH6" s="88">
        <f t="shared" si="119"/>
        <v>0</v>
      </c>
      <c r="KII6" s="88">
        <f t="shared" si="119"/>
        <v>0</v>
      </c>
      <c r="KIJ6" s="88">
        <f t="shared" si="119"/>
        <v>0</v>
      </c>
      <c r="KIK6" s="88">
        <f t="shared" si="119"/>
        <v>0</v>
      </c>
      <c r="KIL6" s="88">
        <f t="shared" si="119"/>
        <v>0</v>
      </c>
      <c r="KIM6" s="88">
        <f t="shared" si="119"/>
        <v>0</v>
      </c>
      <c r="KIN6" s="88">
        <f t="shared" si="119"/>
        <v>0</v>
      </c>
      <c r="KIO6" s="88">
        <f t="shared" si="119"/>
        <v>0</v>
      </c>
      <c r="KIP6" s="88">
        <f t="shared" si="119"/>
        <v>0</v>
      </c>
      <c r="KIQ6" s="88">
        <f t="shared" si="119"/>
        <v>0</v>
      </c>
      <c r="KIR6" s="88">
        <f t="shared" si="119"/>
        <v>0</v>
      </c>
      <c r="KIS6" s="88">
        <f t="shared" si="119"/>
        <v>0</v>
      </c>
      <c r="KIT6" s="88">
        <f t="shared" si="119"/>
        <v>0</v>
      </c>
      <c r="KIU6" s="88">
        <f t="shared" si="119"/>
        <v>0</v>
      </c>
      <c r="KIV6" s="88">
        <f t="shared" ref="KIV6:KLG6" si="120">SUM(KIW3:KIW5)</f>
        <v>0</v>
      </c>
      <c r="KIW6" s="88">
        <f t="shared" si="120"/>
        <v>0</v>
      </c>
      <c r="KIX6" s="88">
        <f t="shared" si="120"/>
        <v>0</v>
      </c>
      <c r="KIY6" s="88">
        <f t="shared" si="120"/>
        <v>0</v>
      </c>
      <c r="KIZ6" s="88">
        <f t="shared" si="120"/>
        <v>0</v>
      </c>
      <c r="KJA6" s="88">
        <f t="shared" si="120"/>
        <v>0</v>
      </c>
      <c r="KJB6" s="88">
        <f t="shared" si="120"/>
        <v>0</v>
      </c>
      <c r="KJC6" s="88">
        <f t="shared" si="120"/>
        <v>0</v>
      </c>
      <c r="KJD6" s="88">
        <f t="shared" si="120"/>
        <v>0</v>
      </c>
      <c r="KJE6" s="88">
        <f t="shared" si="120"/>
        <v>0</v>
      </c>
      <c r="KJF6" s="88">
        <f t="shared" si="120"/>
        <v>0</v>
      </c>
      <c r="KJG6" s="88">
        <f t="shared" si="120"/>
        <v>0</v>
      </c>
      <c r="KJH6" s="88">
        <f t="shared" si="120"/>
        <v>0</v>
      </c>
      <c r="KJI6" s="88">
        <f t="shared" si="120"/>
        <v>0</v>
      </c>
      <c r="KJJ6" s="88">
        <f t="shared" si="120"/>
        <v>0</v>
      </c>
      <c r="KJK6" s="88">
        <f t="shared" si="120"/>
        <v>0</v>
      </c>
      <c r="KJL6" s="88">
        <f t="shared" si="120"/>
        <v>0</v>
      </c>
      <c r="KJM6" s="88">
        <f t="shared" si="120"/>
        <v>0</v>
      </c>
      <c r="KJN6" s="88">
        <f t="shared" si="120"/>
        <v>0</v>
      </c>
      <c r="KJO6" s="88">
        <f t="shared" si="120"/>
        <v>0</v>
      </c>
      <c r="KJP6" s="88">
        <f t="shared" si="120"/>
        <v>0</v>
      </c>
      <c r="KJQ6" s="88">
        <f t="shared" si="120"/>
        <v>0</v>
      </c>
      <c r="KJR6" s="88">
        <f t="shared" si="120"/>
        <v>0</v>
      </c>
      <c r="KJS6" s="88">
        <f t="shared" si="120"/>
        <v>0</v>
      </c>
      <c r="KJT6" s="88">
        <f t="shared" si="120"/>
        <v>0</v>
      </c>
      <c r="KJU6" s="88">
        <f t="shared" si="120"/>
        <v>0</v>
      </c>
      <c r="KJV6" s="88">
        <f t="shared" si="120"/>
        <v>0</v>
      </c>
      <c r="KJW6" s="88">
        <f t="shared" si="120"/>
        <v>0</v>
      </c>
      <c r="KJX6" s="88">
        <f t="shared" si="120"/>
        <v>0</v>
      </c>
      <c r="KJY6" s="88">
        <f t="shared" si="120"/>
        <v>0</v>
      </c>
      <c r="KJZ6" s="88">
        <f t="shared" si="120"/>
        <v>0</v>
      </c>
      <c r="KKA6" s="88">
        <f t="shared" si="120"/>
        <v>0</v>
      </c>
      <c r="KKB6" s="88">
        <f t="shared" si="120"/>
        <v>0</v>
      </c>
      <c r="KKC6" s="88">
        <f t="shared" si="120"/>
        <v>0</v>
      </c>
      <c r="KKD6" s="88">
        <f t="shared" si="120"/>
        <v>0</v>
      </c>
      <c r="KKE6" s="88">
        <f t="shared" si="120"/>
        <v>0</v>
      </c>
      <c r="KKF6" s="88">
        <f t="shared" si="120"/>
        <v>0</v>
      </c>
      <c r="KKG6" s="88">
        <f t="shared" si="120"/>
        <v>0</v>
      </c>
      <c r="KKH6" s="88">
        <f t="shared" si="120"/>
        <v>0</v>
      </c>
      <c r="KKI6" s="88">
        <f t="shared" si="120"/>
        <v>0</v>
      </c>
      <c r="KKJ6" s="88">
        <f t="shared" si="120"/>
        <v>0</v>
      </c>
      <c r="KKK6" s="88">
        <f t="shared" si="120"/>
        <v>0</v>
      </c>
      <c r="KKL6" s="88">
        <f t="shared" si="120"/>
        <v>0</v>
      </c>
      <c r="KKM6" s="88">
        <f t="shared" si="120"/>
        <v>0</v>
      </c>
      <c r="KKN6" s="88">
        <f t="shared" si="120"/>
        <v>0</v>
      </c>
      <c r="KKO6" s="88">
        <f t="shared" si="120"/>
        <v>0</v>
      </c>
      <c r="KKP6" s="88">
        <f t="shared" si="120"/>
        <v>0</v>
      </c>
      <c r="KKQ6" s="88">
        <f t="shared" si="120"/>
        <v>0</v>
      </c>
      <c r="KKR6" s="88">
        <f t="shared" si="120"/>
        <v>0</v>
      </c>
      <c r="KKS6" s="88">
        <f t="shared" si="120"/>
        <v>0</v>
      </c>
      <c r="KKT6" s="88">
        <f t="shared" si="120"/>
        <v>0</v>
      </c>
      <c r="KKU6" s="88">
        <f t="shared" si="120"/>
        <v>0</v>
      </c>
      <c r="KKV6" s="88">
        <f t="shared" si="120"/>
        <v>0</v>
      </c>
      <c r="KKW6" s="88">
        <f t="shared" si="120"/>
        <v>0</v>
      </c>
      <c r="KKX6" s="88">
        <f t="shared" si="120"/>
        <v>0</v>
      </c>
      <c r="KKY6" s="88">
        <f t="shared" si="120"/>
        <v>0</v>
      </c>
      <c r="KKZ6" s="88">
        <f t="shared" si="120"/>
        <v>0</v>
      </c>
      <c r="KLA6" s="88">
        <f t="shared" si="120"/>
        <v>0</v>
      </c>
      <c r="KLB6" s="88">
        <f t="shared" si="120"/>
        <v>0</v>
      </c>
      <c r="KLC6" s="88">
        <f t="shared" si="120"/>
        <v>0</v>
      </c>
      <c r="KLD6" s="88">
        <f t="shared" si="120"/>
        <v>0</v>
      </c>
      <c r="KLE6" s="88">
        <f t="shared" si="120"/>
        <v>0</v>
      </c>
      <c r="KLF6" s="88">
        <f t="shared" si="120"/>
        <v>0</v>
      </c>
      <c r="KLG6" s="88">
        <f t="shared" si="120"/>
        <v>0</v>
      </c>
      <c r="KLH6" s="88">
        <f t="shared" ref="KLH6:KNS6" si="121">SUM(KLI3:KLI5)</f>
        <v>0</v>
      </c>
      <c r="KLI6" s="88">
        <f t="shared" si="121"/>
        <v>0</v>
      </c>
      <c r="KLJ6" s="88">
        <f t="shared" si="121"/>
        <v>0</v>
      </c>
      <c r="KLK6" s="88">
        <f t="shared" si="121"/>
        <v>0</v>
      </c>
      <c r="KLL6" s="88">
        <f t="shared" si="121"/>
        <v>0</v>
      </c>
      <c r="KLM6" s="88">
        <f t="shared" si="121"/>
        <v>0</v>
      </c>
      <c r="KLN6" s="88">
        <f t="shared" si="121"/>
        <v>0</v>
      </c>
      <c r="KLO6" s="88">
        <f t="shared" si="121"/>
        <v>0</v>
      </c>
      <c r="KLP6" s="88">
        <f t="shared" si="121"/>
        <v>0</v>
      </c>
      <c r="KLQ6" s="88">
        <f t="shared" si="121"/>
        <v>0</v>
      </c>
      <c r="KLR6" s="88">
        <f t="shared" si="121"/>
        <v>0</v>
      </c>
      <c r="KLS6" s="88">
        <f t="shared" si="121"/>
        <v>0</v>
      </c>
      <c r="KLT6" s="88">
        <f t="shared" si="121"/>
        <v>0</v>
      </c>
      <c r="KLU6" s="88">
        <f t="shared" si="121"/>
        <v>0</v>
      </c>
      <c r="KLV6" s="88">
        <f t="shared" si="121"/>
        <v>0</v>
      </c>
      <c r="KLW6" s="88">
        <f t="shared" si="121"/>
        <v>0</v>
      </c>
      <c r="KLX6" s="88">
        <f t="shared" si="121"/>
        <v>0</v>
      </c>
      <c r="KLY6" s="88">
        <f t="shared" si="121"/>
        <v>0</v>
      </c>
      <c r="KLZ6" s="88">
        <f t="shared" si="121"/>
        <v>0</v>
      </c>
      <c r="KMA6" s="88">
        <f t="shared" si="121"/>
        <v>0</v>
      </c>
      <c r="KMB6" s="88">
        <f t="shared" si="121"/>
        <v>0</v>
      </c>
      <c r="KMC6" s="88">
        <f t="shared" si="121"/>
        <v>0</v>
      </c>
      <c r="KMD6" s="88">
        <f t="shared" si="121"/>
        <v>0</v>
      </c>
      <c r="KME6" s="88">
        <f t="shared" si="121"/>
        <v>0</v>
      </c>
      <c r="KMF6" s="88">
        <f t="shared" si="121"/>
        <v>0</v>
      </c>
      <c r="KMG6" s="88">
        <f t="shared" si="121"/>
        <v>0</v>
      </c>
      <c r="KMH6" s="88">
        <f t="shared" si="121"/>
        <v>0</v>
      </c>
      <c r="KMI6" s="88">
        <f t="shared" si="121"/>
        <v>0</v>
      </c>
      <c r="KMJ6" s="88">
        <f t="shared" si="121"/>
        <v>0</v>
      </c>
      <c r="KMK6" s="88">
        <f t="shared" si="121"/>
        <v>0</v>
      </c>
      <c r="KML6" s="88">
        <f t="shared" si="121"/>
        <v>0</v>
      </c>
      <c r="KMM6" s="88">
        <f t="shared" si="121"/>
        <v>0</v>
      </c>
      <c r="KMN6" s="88">
        <f t="shared" si="121"/>
        <v>0</v>
      </c>
      <c r="KMO6" s="88">
        <f t="shared" si="121"/>
        <v>0</v>
      </c>
      <c r="KMP6" s="88">
        <f t="shared" si="121"/>
        <v>0</v>
      </c>
      <c r="KMQ6" s="88">
        <f t="shared" si="121"/>
        <v>0</v>
      </c>
      <c r="KMR6" s="88">
        <f t="shared" si="121"/>
        <v>0</v>
      </c>
      <c r="KMS6" s="88">
        <f t="shared" si="121"/>
        <v>0</v>
      </c>
      <c r="KMT6" s="88">
        <f t="shared" si="121"/>
        <v>0</v>
      </c>
      <c r="KMU6" s="88">
        <f t="shared" si="121"/>
        <v>0</v>
      </c>
      <c r="KMV6" s="88">
        <f t="shared" si="121"/>
        <v>0</v>
      </c>
      <c r="KMW6" s="88">
        <f t="shared" si="121"/>
        <v>0</v>
      </c>
      <c r="KMX6" s="88">
        <f t="shared" si="121"/>
        <v>0</v>
      </c>
      <c r="KMY6" s="88">
        <f t="shared" si="121"/>
        <v>0</v>
      </c>
      <c r="KMZ6" s="88">
        <f t="shared" si="121"/>
        <v>0</v>
      </c>
      <c r="KNA6" s="88">
        <f t="shared" si="121"/>
        <v>0</v>
      </c>
      <c r="KNB6" s="88">
        <f t="shared" si="121"/>
        <v>0</v>
      </c>
      <c r="KNC6" s="88">
        <f t="shared" si="121"/>
        <v>0</v>
      </c>
      <c r="KND6" s="88">
        <f t="shared" si="121"/>
        <v>0</v>
      </c>
      <c r="KNE6" s="88">
        <f t="shared" si="121"/>
        <v>0</v>
      </c>
      <c r="KNF6" s="88">
        <f t="shared" si="121"/>
        <v>0</v>
      </c>
      <c r="KNG6" s="88">
        <f t="shared" si="121"/>
        <v>0</v>
      </c>
      <c r="KNH6" s="88">
        <f t="shared" si="121"/>
        <v>0</v>
      </c>
      <c r="KNI6" s="88">
        <f t="shared" si="121"/>
        <v>0</v>
      </c>
      <c r="KNJ6" s="88">
        <f t="shared" si="121"/>
        <v>0</v>
      </c>
      <c r="KNK6" s="88">
        <f t="shared" si="121"/>
        <v>0</v>
      </c>
      <c r="KNL6" s="88">
        <f t="shared" si="121"/>
        <v>0</v>
      </c>
      <c r="KNM6" s="88">
        <f t="shared" si="121"/>
        <v>0</v>
      </c>
      <c r="KNN6" s="88">
        <f t="shared" si="121"/>
        <v>0</v>
      </c>
      <c r="KNO6" s="88">
        <f t="shared" si="121"/>
        <v>0</v>
      </c>
      <c r="KNP6" s="88">
        <f t="shared" si="121"/>
        <v>0</v>
      </c>
      <c r="KNQ6" s="88">
        <f t="shared" si="121"/>
        <v>0</v>
      </c>
      <c r="KNR6" s="88">
        <f t="shared" si="121"/>
        <v>0</v>
      </c>
      <c r="KNS6" s="88">
        <f t="shared" si="121"/>
        <v>0</v>
      </c>
      <c r="KNT6" s="88">
        <f t="shared" ref="KNT6:KQE6" si="122">SUM(KNU3:KNU5)</f>
        <v>0</v>
      </c>
      <c r="KNU6" s="88">
        <f t="shared" si="122"/>
        <v>0</v>
      </c>
      <c r="KNV6" s="88">
        <f t="shared" si="122"/>
        <v>0</v>
      </c>
      <c r="KNW6" s="88">
        <f t="shared" si="122"/>
        <v>0</v>
      </c>
      <c r="KNX6" s="88">
        <f t="shared" si="122"/>
        <v>0</v>
      </c>
      <c r="KNY6" s="88">
        <f t="shared" si="122"/>
        <v>0</v>
      </c>
      <c r="KNZ6" s="88">
        <f t="shared" si="122"/>
        <v>0</v>
      </c>
      <c r="KOA6" s="88">
        <f t="shared" si="122"/>
        <v>0</v>
      </c>
      <c r="KOB6" s="88">
        <f t="shared" si="122"/>
        <v>0</v>
      </c>
      <c r="KOC6" s="88">
        <f t="shared" si="122"/>
        <v>0</v>
      </c>
      <c r="KOD6" s="88">
        <f t="shared" si="122"/>
        <v>0</v>
      </c>
      <c r="KOE6" s="88">
        <f t="shared" si="122"/>
        <v>0</v>
      </c>
      <c r="KOF6" s="88">
        <f t="shared" si="122"/>
        <v>0</v>
      </c>
      <c r="KOG6" s="88">
        <f t="shared" si="122"/>
        <v>0</v>
      </c>
      <c r="KOH6" s="88">
        <f t="shared" si="122"/>
        <v>0</v>
      </c>
      <c r="KOI6" s="88">
        <f t="shared" si="122"/>
        <v>0</v>
      </c>
      <c r="KOJ6" s="88">
        <f t="shared" si="122"/>
        <v>0</v>
      </c>
      <c r="KOK6" s="88">
        <f t="shared" si="122"/>
        <v>0</v>
      </c>
      <c r="KOL6" s="88">
        <f t="shared" si="122"/>
        <v>0</v>
      </c>
      <c r="KOM6" s="88">
        <f t="shared" si="122"/>
        <v>0</v>
      </c>
      <c r="KON6" s="88">
        <f t="shared" si="122"/>
        <v>0</v>
      </c>
      <c r="KOO6" s="88">
        <f t="shared" si="122"/>
        <v>0</v>
      </c>
      <c r="KOP6" s="88">
        <f t="shared" si="122"/>
        <v>0</v>
      </c>
      <c r="KOQ6" s="88">
        <f t="shared" si="122"/>
        <v>0</v>
      </c>
      <c r="KOR6" s="88">
        <f t="shared" si="122"/>
        <v>0</v>
      </c>
      <c r="KOS6" s="88">
        <f t="shared" si="122"/>
        <v>0</v>
      </c>
      <c r="KOT6" s="88">
        <f t="shared" si="122"/>
        <v>0</v>
      </c>
      <c r="KOU6" s="88">
        <f t="shared" si="122"/>
        <v>0</v>
      </c>
      <c r="KOV6" s="88">
        <f t="shared" si="122"/>
        <v>0</v>
      </c>
      <c r="KOW6" s="88">
        <f t="shared" si="122"/>
        <v>0</v>
      </c>
      <c r="KOX6" s="88">
        <f t="shared" si="122"/>
        <v>0</v>
      </c>
      <c r="KOY6" s="88">
        <f t="shared" si="122"/>
        <v>0</v>
      </c>
      <c r="KOZ6" s="88">
        <f t="shared" si="122"/>
        <v>0</v>
      </c>
      <c r="KPA6" s="88">
        <f t="shared" si="122"/>
        <v>0</v>
      </c>
      <c r="KPB6" s="88">
        <f t="shared" si="122"/>
        <v>0</v>
      </c>
      <c r="KPC6" s="88">
        <f t="shared" si="122"/>
        <v>0</v>
      </c>
      <c r="KPD6" s="88">
        <f t="shared" si="122"/>
        <v>0</v>
      </c>
      <c r="KPE6" s="88">
        <f t="shared" si="122"/>
        <v>0</v>
      </c>
      <c r="KPF6" s="88">
        <f t="shared" si="122"/>
        <v>0</v>
      </c>
      <c r="KPG6" s="88">
        <f t="shared" si="122"/>
        <v>0</v>
      </c>
      <c r="KPH6" s="88">
        <f t="shared" si="122"/>
        <v>0</v>
      </c>
      <c r="KPI6" s="88">
        <f t="shared" si="122"/>
        <v>0</v>
      </c>
      <c r="KPJ6" s="88">
        <f t="shared" si="122"/>
        <v>0</v>
      </c>
      <c r="KPK6" s="88">
        <f t="shared" si="122"/>
        <v>0</v>
      </c>
      <c r="KPL6" s="88">
        <f t="shared" si="122"/>
        <v>0</v>
      </c>
      <c r="KPM6" s="88">
        <f t="shared" si="122"/>
        <v>0</v>
      </c>
      <c r="KPN6" s="88">
        <f t="shared" si="122"/>
        <v>0</v>
      </c>
      <c r="KPO6" s="88">
        <f t="shared" si="122"/>
        <v>0</v>
      </c>
      <c r="KPP6" s="88">
        <f t="shared" si="122"/>
        <v>0</v>
      </c>
      <c r="KPQ6" s="88">
        <f t="shared" si="122"/>
        <v>0</v>
      </c>
      <c r="KPR6" s="88">
        <f t="shared" si="122"/>
        <v>0</v>
      </c>
      <c r="KPS6" s="88">
        <f t="shared" si="122"/>
        <v>0</v>
      </c>
      <c r="KPT6" s="88">
        <f t="shared" si="122"/>
        <v>0</v>
      </c>
      <c r="KPU6" s="88">
        <f t="shared" si="122"/>
        <v>0</v>
      </c>
      <c r="KPV6" s="88">
        <f t="shared" si="122"/>
        <v>0</v>
      </c>
      <c r="KPW6" s="88">
        <f t="shared" si="122"/>
        <v>0</v>
      </c>
      <c r="KPX6" s="88">
        <f t="shared" si="122"/>
        <v>0</v>
      </c>
      <c r="KPY6" s="88">
        <f t="shared" si="122"/>
        <v>0</v>
      </c>
      <c r="KPZ6" s="88">
        <f t="shared" si="122"/>
        <v>0</v>
      </c>
      <c r="KQA6" s="88">
        <f t="shared" si="122"/>
        <v>0</v>
      </c>
      <c r="KQB6" s="88">
        <f t="shared" si="122"/>
        <v>0</v>
      </c>
      <c r="KQC6" s="88">
        <f t="shared" si="122"/>
        <v>0</v>
      </c>
      <c r="KQD6" s="88">
        <f t="shared" si="122"/>
        <v>0</v>
      </c>
      <c r="KQE6" s="88">
        <f t="shared" si="122"/>
        <v>0</v>
      </c>
      <c r="KQF6" s="88">
        <f t="shared" ref="KQF6:KSQ6" si="123">SUM(KQG3:KQG5)</f>
        <v>0</v>
      </c>
      <c r="KQG6" s="88">
        <f t="shared" si="123"/>
        <v>0</v>
      </c>
      <c r="KQH6" s="88">
        <f t="shared" si="123"/>
        <v>0</v>
      </c>
      <c r="KQI6" s="88">
        <f t="shared" si="123"/>
        <v>0</v>
      </c>
      <c r="KQJ6" s="88">
        <f t="shared" si="123"/>
        <v>0</v>
      </c>
      <c r="KQK6" s="88">
        <f t="shared" si="123"/>
        <v>0</v>
      </c>
      <c r="KQL6" s="88">
        <f t="shared" si="123"/>
        <v>0</v>
      </c>
      <c r="KQM6" s="88">
        <f t="shared" si="123"/>
        <v>0</v>
      </c>
      <c r="KQN6" s="88">
        <f t="shared" si="123"/>
        <v>0</v>
      </c>
      <c r="KQO6" s="88">
        <f t="shared" si="123"/>
        <v>0</v>
      </c>
      <c r="KQP6" s="88">
        <f t="shared" si="123"/>
        <v>0</v>
      </c>
      <c r="KQQ6" s="88">
        <f t="shared" si="123"/>
        <v>0</v>
      </c>
      <c r="KQR6" s="88">
        <f t="shared" si="123"/>
        <v>0</v>
      </c>
      <c r="KQS6" s="88">
        <f t="shared" si="123"/>
        <v>0</v>
      </c>
      <c r="KQT6" s="88">
        <f t="shared" si="123"/>
        <v>0</v>
      </c>
      <c r="KQU6" s="88">
        <f t="shared" si="123"/>
        <v>0</v>
      </c>
      <c r="KQV6" s="88">
        <f t="shared" si="123"/>
        <v>0</v>
      </c>
      <c r="KQW6" s="88">
        <f t="shared" si="123"/>
        <v>0</v>
      </c>
      <c r="KQX6" s="88">
        <f t="shared" si="123"/>
        <v>0</v>
      </c>
      <c r="KQY6" s="88">
        <f t="shared" si="123"/>
        <v>0</v>
      </c>
      <c r="KQZ6" s="88">
        <f t="shared" si="123"/>
        <v>0</v>
      </c>
      <c r="KRA6" s="88">
        <f t="shared" si="123"/>
        <v>0</v>
      </c>
      <c r="KRB6" s="88">
        <f t="shared" si="123"/>
        <v>0</v>
      </c>
      <c r="KRC6" s="88">
        <f t="shared" si="123"/>
        <v>0</v>
      </c>
      <c r="KRD6" s="88">
        <f t="shared" si="123"/>
        <v>0</v>
      </c>
      <c r="KRE6" s="88">
        <f t="shared" si="123"/>
        <v>0</v>
      </c>
      <c r="KRF6" s="88">
        <f t="shared" si="123"/>
        <v>0</v>
      </c>
      <c r="KRG6" s="88">
        <f t="shared" si="123"/>
        <v>0</v>
      </c>
      <c r="KRH6" s="88">
        <f t="shared" si="123"/>
        <v>0</v>
      </c>
      <c r="KRI6" s="88">
        <f t="shared" si="123"/>
        <v>0</v>
      </c>
      <c r="KRJ6" s="88">
        <f t="shared" si="123"/>
        <v>0</v>
      </c>
      <c r="KRK6" s="88">
        <f t="shared" si="123"/>
        <v>0</v>
      </c>
      <c r="KRL6" s="88">
        <f t="shared" si="123"/>
        <v>0</v>
      </c>
      <c r="KRM6" s="88">
        <f t="shared" si="123"/>
        <v>0</v>
      </c>
      <c r="KRN6" s="88">
        <f t="shared" si="123"/>
        <v>0</v>
      </c>
      <c r="KRO6" s="88">
        <f t="shared" si="123"/>
        <v>0</v>
      </c>
      <c r="KRP6" s="88">
        <f t="shared" si="123"/>
        <v>0</v>
      </c>
      <c r="KRQ6" s="88">
        <f t="shared" si="123"/>
        <v>0</v>
      </c>
      <c r="KRR6" s="88">
        <f t="shared" si="123"/>
        <v>0</v>
      </c>
      <c r="KRS6" s="88">
        <f t="shared" si="123"/>
        <v>0</v>
      </c>
      <c r="KRT6" s="88">
        <f t="shared" si="123"/>
        <v>0</v>
      </c>
      <c r="KRU6" s="88">
        <f t="shared" si="123"/>
        <v>0</v>
      </c>
      <c r="KRV6" s="88">
        <f t="shared" si="123"/>
        <v>0</v>
      </c>
      <c r="KRW6" s="88">
        <f t="shared" si="123"/>
        <v>0</v>
      </c>
      <c r="KRX6" s="88">
        <f t="shared" si="123"/>
        <v>0</v>
      </c>
      <c r="KRY6" s="88">
        <f t="shared" si="123"/>
        <v>0</v>
      </c>
      <c r="KRZ6" s="88">
        <f t="shared" si="123"/>
        <v>0</v>
      </c>
      <c r="KSA6" s="88">
        <f t="shared" si="123"/>
        <v>0</v>
      </c>
      <c r="KSB6" s="88">
        <f t="shared" si="123"/>
        <v>0</v>
      </c>
      <c r="KSC6" s="88">
        <f t="shared" si="123"/>
        <v>0</v>
      </c>
      <c r="KSD6" s="88">
        <f t="shared" si="123"/>
        <v>0</v>
      </c>
      <c r="KSE6" s="88">
        <f t="shared" si="123"/>
        <v>0</v>
      </c>
      <c r="KSF6" s="88">
        <f t="shared" si="123"/>
        <v>0</v>
      </c>
      <c r="KSG6" s="88">
        <f t="shared" si="123"/>
        <v>0</v>
      </c>
      <c r="KSH6" s="88">
        <f t="shared" si="123"/>
        <v>0</v>
      </c>
      <c r="KSI6" s="88">
        <f t="shared" si="123"/>
        <v>0</v>
      </c>
      <c r="KSJ6" s="88">
        <f t="shared" si="123"/>
        <v>0</v>
      </c>
      <c r="KSK6" s="88">
        <f t="shared" si="123"/>
        <v>0</v>
      </c>
      <c r="KSL6" s="88">
        <f t="shared" si="123"/>
        <v>0</v>
      </c>
      <c r="KSM6" s="88">
        <f t="shared" si="123"/>
        <v>0</v>
      </c>
      <c r="KSN6" s="88">
        <f t="shared" si="123"/>
        <v>0</v>
      </c>
      <c r="KSO6" s="88">
        <f t="shared" si="123"/>
        <v>0</v>
      </c>
      <c r="KSP6" s="88">
        <f t="shared" si="123"/>
        <v>0</v>
      </c>
      <c r="KSQ6" s="88">
        <f t="shared" si="123"/>
        <v>0</v>
      </c>
      <c r="KSR6" s="88">
        <f t="shared" ref="KSR6:KVC6" si="124">SUM(KSS3:KSS5)</f>
        <v>0</v>
      </c>
      <c r="KSS6" s="88">
        <f t="shared" si="124"/>
        <v>0</v>
      </c>
      <c r="KST6" s="88">
        <f t="shared" si="124"/>
        <v>0</v>
      </c>
      <c r="KSU6" s="88">
        <f t="shared" si="124"/>
        <v>0</v>
      </c>
      <c r="KSV6" s="88">
        <f t="shared" si="124"/>
        <v>0</v>
      </c>
      <c r="KSW6" s="88">
        <f t="shared" si="124"/>
        <v>0</v>
      </c>
      <c r="KSX6" s="88">
        <f t="shared" si="124"/>
        <v>0</v>
      </c>
      <c r="KSY6" s="88">
        <f t="shared" si="124"/>
        <v>0</v>
      </c>
      <c r="KSZ6" s="88">
        <f t="shared" si="124"/>
        <v>0</v>
      </c>
      <c r="KTA6" s="88">
        <f t="shared" si="124"/>
        <v>0</v>
      </c>
      <c r="KTB6" s="88">
        <f t="shared" si="124"/>
        <v>0</v>
      </c>
      <c r="KTC6" s="88">
        <f t="shared" si="124"/>
        <v>0</v>
      </c>
      <c r="KTD6" s="88">
        <f t="shared" si="124"/>
        <v>0</v>
      </c>
      <c r="KTE6" s="88">
        <f t="shared" si="124"/>
        <v>0</v>
      </c>
      <c r="KTF6" s="88">
        <f t="shared" si="124"/>
        <v>0</v>
      </c>
      <c r="KTG6" s="88">
        <f t="shared" si="124"/>
        <v>0</v>
      </c>
      <c r="KTH6" s="88">
        <f t="shared" si="124"/>
        <v>0</v>
      </c>
      <c r="KTI6" s="88">
        <f t="shared" si="124"/>
        <v>0</v>
      </c>
      <c r="KTJ6" s="88">
        <f t="shared" si="124"/>
        <v>0</v>
      </c>
      <c r="KTK6" s="88">
        <f t="shared" si="124"/>
        <v>0</v>
      </c>
      <c r="KTL6" s="88">
        <f t="shared" si="124"/>
        <v>0</v>
      </c>
      <c r="KTM6" s="88">
        <f t="shared" si="124"/>
        <v>0</v>
      </c>
      <c r="KTN6" s="88">
        <f t="shared" si="124"/>
        <v>0</v>
      </c>
      <c r="KTO6" s="88">
        <f t="shared" si="124"/>
        <v>0</v>
      </c>
      <c r="KTP6" s="88">
        <f t="shared" si="124"/>
        <v>0</v>
      </c>
      <c r="KTQ6" s="88">
        <f t="shared" si="124"/>
        <v>0</v>
      </c>
      <c r="KTR6" s="88">
        <f t="shared" si="124"/>
        <v>0</v>
      </c>
      <c r="KTS6" s="88">
        <f t="shared" si="124"/>
        <v>0</v>
      </c>
      <c r="KTT6" s="88">
        <f t="shared" si="124"/>
        <v>0</v>
      </c>
      <c r="KTU6" s="88">
        <f t="shared" si="124"/>
        <v>0</v>
      </c>
      <c r="KTV6" s="88">
        <f t="shared" si="124"/>
        <v>0</v>
      </c>
      <c r="KTW6" s="88">
        <f t="shared" si="124"/>
        <v>0</v>
      </c>
      <c r="KTX6" s="88">
        <f t="shared" si="124"/>
        <v>0</v>
      </c>
      <c r="KTY6" s="88">
        <f t="shared" si="124"/>
        <v>0</v>
      </c>
      <c r="KTZ6" s="88">
        <f t="shared" si="124"/>
        <v>0</v>
      </c>
      <c r="KUA6" s="88">
        <f t="shared" si="124"/>
        <v>0</v>
      </c>
      <c r="KUB6" s="88">
        <f t="shared" si="124"/>
        <v>0</v>
      </c>
      <c r="KUC6" s="88">
        <f t="shared" si="124"/>
        <v>0</v>
      </c>
      <c r="KUD6" s="88">
        <f t="shared" si="124"/>
        <v>0</v>
      </c>
      <c r="KUE6" s="88">
        <f t="shared" si="124"/>
        <v>0</v>
      </c>
      <c r="KUF6" s="88">
        <f t="shared" si="124"/>
        <v>0</v>
      </c>
      <c r="KUG6" s="88">
        <f t="shared" si="124"/>
        <v>0</v>
      </c>
      <c r="KUH6" s="88">
        <f t="shared" si="124"/>
        <v>0</v>
      </c>
      <c r="KUI6" s="88">
        <f t="shared" si="124"/>
        <v>0</v>
      </c>
      <c r="KUJ6" s="88">
        <f t="shared" si="124"/>
        <v>0</v>
      </c>
      <c r="KUK6" s="88">
        <f t="shared" si="124"/>
        <v>0</v>
      </c>
      <c r="KUL6" s="88">
        <f t="shared" si="124"/>
        <v>0</v>
      </c>
      <c r="KUM6" s="88">
        <f t="shared" si="124"/>
        <v>0</v>
      </c>
      <c r="KUN6" s="88">
        <f t="shared" si="124"/>
        <v>0</v>
      </c>
      <c r="KUO6" s="88">
        <f t="shared" si="124"/>
        <v>0</v>
      </c>
      <c r="KUP6" s="88">
        <f t="shared" si="124"/>
        <v>0</v>
      </c>
      <c r="KUQ6" s="88">
        <f t="shared" si="124"/>
        <v>0</v>
      </c>
      <c r="KUR6" s="88">
        <f t="shared" si="124"/>
        <v>0</v>
      </c>
      <c r="KUS6" s="88">
        <f t="shared" si="124"/>
        <v>0</v>
      </c>
      <c r="KUT6" s="88">
        <f t="shared" si="124"/>
        <v>0</v>
      </c>
      <c r="KUU6" s="88">
        <f t="shared" si="124"/>
        <v>0</v>
      </c>
      <c r="KUV6" s="88">
        <f t="shared" si="124"/>
        <v>0</v>
      </c>
      <c r="KUW6" s="88">
        <f t="shared" si="124"/>
        <v>0</v>
      </c>
      <c r="KUX6" s="88">
        <f t="shared" si="124"/>
        <v>0</v>
      </c>
      <c r="KUY6" s="88">
        <f t="shared" si="124"/>
        <v>0</v>
      </c>
      <c r="KUZ6" s="88">
        <f t="shared" si="124"/>
        <v>0</v>
      </c>
      <c r="KVA6" s="88">
        <f t="shared" si="124"/>
        <v>0</v>
      </c>
      <c r="KVB6" s="88">
        <f t="shared" si="124"/>
        <v>0</v>
      </c>
      <c r="KVC6" s="88">
        <f t="shared" si="124"/>
        <v>0</v>
      </c>
      <c r="KVD6" s="88">
        <f t="shared" ref="KVD6:KXO6" si="125">SUM(KVE3:KVE5)</f>
        <v>0</v>
      </c>
      <c r="KVE6" s="88">
        <f t="shared" si="125"/>
        <v>0</v>
      </c>
      <c r="KVF6" s="88">
        <f t="shared" si="125"/>
        <v>0</v>
      </c>
      <c r="KVG6" s="88">
        <f t="shared" si="125"/>
        <v>0</v>
      </c>
      <c r="KVH6" s="88">
        <f t="shared" si="125"/>
        <v>0</v>
      </c>
      <c r="KVI6" s="88">
        <f t="shared" si="125"/>
        <v>0</v>
      </c>
      <c r="KVJ6" s="88">
        <f t="shared" si="125"/>
        <v>0</v>
      </c>
      <c r="KVK6" s="88">
        <f t="shared" si="125"/>
        <v>0</v>
      </c>
      <c r="KVL6" s="88">
        <f t="shared" si="125"/>
        <v>0</v>
      </c>
      <c r="KVM6" s="88">
        <f t="shared" si="125"/>
        <v>0</v>
      </c>
      <c r="KVN6" s="88">
        <f t="shared" si="125"/>
        <v>0</v>
      </c>
      <c r="KVO6" s="88">
        <f t="shared" si="125"/>
        <v>0</v>
      </c>
      <c r="KVP6" s="88">
        <f t="shared" si="125"/>
        <v>0</v>
      </c>
      <c r="KVQ6" s="88">
        <f t="shared" si="125"/>
        <v>0</v>
      </c>
      <c r="KVR6" s="88">
        <f t="shared" si="125"/>
        <v>0</v>
      </c>
      <c r="KVS6" s="88">
        <f t="shared" si="125"/>
        <v>0</v>
      </c>
      <c r="KVT6" s="88">
        <f t="shared" si="125"/>
        <v>0</v>
      </c>
      <c r="KVU6" s="88">
        <f t="shared" si="125"/>
        <v>0</v>
      </c>
      <c r="KVV6" s="88">
        <f t="shared" si="125"/>
        <v>0</v>
      </c>
      <c r="KVW6" s="88">
        <f t="shared" si="125"/>
        <v>0</v>
      </c>
      <c r="KVX6" s="88">
        <f t="shared" si="125"/>
        <v>0</v>
      </c>
      <c r="KVY6" s="88">
        <f t="shared" si="125"/>
        <v>0</v>
      </c>
      <c r="KVZ6" s="88">
        <f t="shared" si="125"/>
        <v>0</v>
      </c>
      <c r="KWA6" s="88">
        <f t="shared" si="125"/>
        <v>0</v>
      </c>
      <c r="KWB6" s="88">
        <f t="shared" si="125"/>
        <v>0</v>
      </c>
      <c r="KWC6" s="88">
        <f t="shared" si="125"/>
        <v>0</v>
      </c>
      <c r="KWD6" s="88">
        <f t="shared" si="125"/>
        <v>0</v>
      </c>
      <c r="KWE6" s="88">
        <f t="shared" si="125"/>
        <v>0</v>
      </c>
      <c r="KWF6" s="88">
        <f t="shared" si="125"/>
        <v>0</v>
      </c>
      <c r="KWG6" s="88">
        <f t="shared" si="125"/>
        <v>0</v>
      </c>
      <c r="KWH6" s="88">
        <f t="shared" si="125"/>
        <v>0</v>
      </c>
      <c r="KWI6" s="88">
        <f t="shared" si="125"/>
        <v>0</v>
      </c>
      <c r="KWJ6" s="88">
        <f t="shared" si="125"/>
        <v>0</v>
      </c>
      <c r="KWK6" s="88">
        <f t="shared" si="125"/>
        <v>0</v>
      </c>
      <c r="KWL6" s="88">
        <f t="shared" si="125"/>
        <v>0</v>
      </c>
      <c r="KWM6" s="88">
        <f t="shared" si="125"/>
        <v>0</v>
      </c>
      <c r="KWN6" s="88">
        <f t="shared" si="125"/>
        <v>0</v>
      </c>
      <c r="KWO6" s="88">
        <f t="shared" si="125"/>
        <v>0</v>
      </c>
      <c r="KWP6" s="88">
        <f t="shared" si="125"/>
        <v>0</v>
      </c>
      <c r="KWQ6" s="88">
        <f t="shared" si="125"/>
        <v>0</v>
      </c>
      <c r="KWR6" s="88">
        <f t="shared" si="125"/>
        <v>0</v>
      </c>
      <c r="KWS6" s="88">
        <f t="shared" si="125"/>
        <v>0</v>
      </c>
      <c r="KWT6" s="88">
        <f t="shared" si="125"/>
        <v>0</v>
      </c>
      <c r="KWU6" s="88">
        <f t="shared" si="125"/>
        <v>0</v>
      </c>
      <c r="KWV6" s="88">
        <f t="shared" si="125"/>
        <v>0</v>
      </c>
      <c r="KWW6" s="88">
        <f t="shared" si="125"/>
        <v>0</v>
      </c>
      <c r="KWX6" s="88">
        <f t="shared" si="125"/>
        <v>0</v>
      </c>
      <c r="KWY6" s="88">
        <f t="shared" si="125"/>
        <v>0</v>
      </c>
      <c r="KWZ6" s="88">
        <f t="shared" si="125"/>
        <v>0</v>
      </c>
      <c r="KXA6" s="88">
        <f t="shared" si="125"/>
        <v>0</v>
      </c>
      <c r="KXB6" s="88">
        <f t="shared" si="125"/>
        <v>0</v>
      </c>
      <c r="KXC6" s="88">
        <f t="shared" si="125"/>
        <v>0</v>
      </c>
      <c r="KXD6" s="88">
        <f t="shared" si="125"/>
        <v>0</v>
      </c>
      <c r="KXE6" s="88">
        <f t="shared" si="125"/>
        <v>0</v>
      </c>
      <c r="KXF6" s="88">
        <f t="shared" si="125"/>
        <v>0</v>
      </c>
      <c r="KXG6" s="88">
        <f t="shared" si="125"/>
        <v>0</v>
      </c>
      <c r="KXH6" s="88">
        <f t="shared" si="125"/>
        <v>0</v>
      </c>
      <c r="KXI6" s="88">
        <f t="shared" si="125"/>
        <v>0</v>
      </c>
      <c r="KXJ6" s="88">
        <f t="shared" si="125"/>
        <v>0</v>
      </c>
      <c r="KXK6" s="88">
        <f t="shared" si="125"/>
        <v>0</v>
      </c>
      <c r="KXL6" s="88">
        <f t="shared" si="125"/>
        <v>0</v>
      </c>
      <c r="KXM6" s="88">
        <f t="shared" si="125"/>
        <v>0</v>
      </c>
      <c r="KXN6" s="88">
        <f t="shared" si="125"/>
        <v>0</v>
      </c>
      <c r="KXO6" s="88">
        <f t="shared" si="125"/>
        <v>0</v>
      </c>
      <c r="KXP6" s="88">
        <f t="shared" ref="KXP6:LAA6" si="126">SUM(KXQ3:KXQ5)</f>
        <v>0</v>
      </c>
      <c r="KXQ6" s="88">
        <f t="shared" si="126"/>
        <v>0</v>
      </c>
      <c r="KXR6" s="88">
        <f t="shared" si="126"/>
        <v>0</v>
      </c>
      <c r="KXS6" s="88">
        <f t="shared" si="126"/>
        <v>0</v>
      </c>
      <c r="KXT6" s="88">
        <f t="shared" si="126"/>
        <v>0</v>
      </c>
      <c r="KXU6" s="88">
        <f t="shared" si="126"/>
        <v>0</v>
      </c>
      <c r="KXV6" s="88">
        <f t="shared" si="126"/>
        <v>0</v>
      </c>
      <c r="KXW6" s="88">
        <f t="shared" si="126"/>
        <v>0</v>
      </c>
      <c r="KXX6" s="88">
        <f t="shared" si="126"/>
        <v>0</v>
      </c>
      <c r="KXY6" s="88">
        <f t="shared" si="126"/>
        <v>0</v>
      </c>
      <c r="KXZ6" s="88">
        <f t="shared" si="126"/>
        <v>0</v>
      </c>
      <c r="KYA6" s="88">
        <f t="shared" si="126"/>
        <v>0</v>
      </c>
      <c r="KYB6" s="88">
        <f t="shared" si="126"/>
        <v>0</v>
      </c>
      <c r="KYC6" s="88">
        <f t="shared" si="126"/>
        <v>0</v>
      </c>
      <c r="KYD6" s="88">
        <f t="shared" si="126"/>
        <v>0</v>
      </c>
      <c r="KYE6" s="88">
        <f t="shared" si="126"/>
        <v>0</v>
      </c>
      <c r="KYF6" s="88">
        <f t="shared" si="126"/>
        <v>0</v>
      </c>
      <c r="KYG6" s="88">
        <f t="shared" si="126"/>
        <v>0</v>
      </c>
      <c r="KYH6" s="88">
        <f t="shared" si="126"/>
        <v>0</v>
      </c>
      <c r="KYI6" s="88">
        <f t="shared" si="126"/>
        <v>0</v>
      </c>
      <c r="KYJ6" s="88">
        <f t="shared" si="126"/>
        <v>0</v>
      </c>
      <c r="KYK6" s="88">
        <f t="shared" si="126"/>
        <v>0</v>
      </c>
      <c r="KYL6" s="88">
        <f t="shared" si="126"/>
        <v>0</v>
      </c>
      <c r="KYM6" s="88">
        <f t="shared" si="126"/>
        <v>0</v>
      </c>
      <c r="KYN6" s="88">
        <f t="shared" si="126"/>
        <v>0</v>
      </c>
      <c r="KYO6" s="88">
        <f t="shared" si="126"/>
        <v>0</v>
      </c>
      <c r="KYP6" s="88">
        <f t="shared" si="126"/>
        <v>0</v>
      </c>
      <c r="KYQ6" s="88">
        <f t="shared" si="126"/>
        <v>0</v>
      </c>
      <c r="KYR6" s="88">
        <f t="shared" si="126"/>
        <v>0</v>
      </c>
      <c r="KYS6" s="88">
        <f t="shared" si="126"/>
        <v>0</v>
      </c>
      <c r="KYT6" s="88">
        <f t="shared" si="126"/>
        <v>0</v>
      </c>
      <c r="KYU6" s="88">
        <f t="shared" si="126"/>
        <v>0</v>
      </c>
      <c r="KYV6" s="88">
        <f t="shared" si="126"/>
        <v>0</v>
      </c>
      <c r="KYW6" s="88">
        <f t="shared" si="126"/>
        <v>0</v>
      </c>
      <c r="KYX6" s="88">
        <f t="shared" si="126"/>
        <v>0</v>
      </c>
      <c r="KYY6" s="88">
        <f t="shared" si="126"/>
        <v>0</v>
      </c>
      <c r="KYZ6" s="88">
        <f t="shared" si="126"/>
        <v>0</v>
      </c>
      <c r="KZA6" s="88">
        <f t="shared" si="126"/>
        <v>0</v>
      </c>
      <c r="KZB6" s="88">
        <f t="shared" si="126"/>
        <v>0</v>
      </c>
      <c r="KZC6" s="88">
        <f t="shared" si="126"/>
        <v>0</v>
      </c>
      <c r="KZD6" s="88">
        <f t="shared" si="126"/>
        <v>0</v>
      </c>
      <c r="KZE6" s="88">
        <f t="shared" si="126"/>
        <v>0</v>
      </c>
      <c r="KZF6" s="88">
        <f t="shared" si="126"/>
        <v>0</v>
      </c>
      <c r="KZG6" s="88">
        <f t="shared" si="126"/>
        <v>0</v>
      </c>
      <c r="KZH6" s="88">
        <f t="shared" si="126"/>
        <v>0</v>
      </c>
      <c r="KZI6" s="88">
        <f t="shared" si="126"/>
        <v>0</v>
      </c>
      <c r="KZJ6" s="88">
        <f t="shared" si="126"/>
        <v>0</v>
      </c>
      <c r="KZK6" s="88">
        <f t="shared" si="126"/>
        <v>0</v>
      </c>
      <c r="KZL6" s="88">
        <f t="shared" si="126"/>
        <v>0</v>
      </c>
      <c r="KZM6" s="88">
        <f t="shared" si="126"/>
        <v>0</v>
      </c>
      <c r="KZN6" s="88">
        <f t="shared" si="126"/>
        <v>0</v>
      </c>
      <c r="KZO6" s="88">
        <f t="shared" si="126"/>
        <v>0</v>
      </c>
      <c r="KZP6" s="88">
        <f t="shared" si="126"/>
        <v>0</v>
      </c>
      <c r="KZQ6" s="88">
        <f t="shared" si="126"/>
        <v>0</v>
      </c>
      <c r="KZR6" s="88">
        <f t="shared" si="126"/>
        <v>0</v>
      </c>
      <c r="KZS6" s="88">
        <f t="shared" si="126"/>
        <v>0</v>
      </c>
      <c r="KZT6" s="88">
        <f t="shared" si="126"/>
        <v>0</v>
      </c>
      <c r="KZU6" s="88">
        <f t="shared" si="126"/>
        <v>0</v>
      </c>
      <c r="KZV6" s="88">
        <f t="shared" si="126"/>
        <v>0</v>
      </c>
      <c r="KZW6" s="88">
        <f t="shared" si="126"/>
        <v>0</v>
      </c>
      <c r="KZX6" s="88">
        <f t="shared" si="126"/>
        <v>0</v>
      </c>
      <c r="KZY6" s="88">
        <f t="shared" si="126"/>
        <v>0</v>
      </c>
      <c r="KZZ6" s="88">
        <f t="shared" si="126"/>
        <v>0</v>
      </c>
      <c r="LAA6" s="88">
        <f t="shared" si="126"/>
        <v>0</v>
      </c>
      <c r="LAB6" s="88">
        <f t="shared" ref="LAB6:LCM6" si="127">SUM(LAC3:LAC5)</f>
        <v>0</v>
      </c>
      <c r="LAC6" s="88">
        <f t="shared" si="127"/>
        <v>0</v>
      </c>
      <c r="LAD6" s="88">
        <f t="shared" si="127"/>
        <v>0</v>
      </c>
      <c r="LAE6" s="88">
        <f t="shared" si="127"/>
        <v>0</v>
      </c>
      <c r="LAF6" s="88">
        <f t="shared" si="127"/>
        <v>0</v>
      </c>
      <c r="LAG6" s="88">
        <f t="shared" si="127"/>
        <v>0</v>
      </c>
      <c r="LAH6" s="88">
        <f t="shared" si="127"/>
        <v>0</v>
      </c>
      <c r="LAI6" s="88">
        <f t="shared" si="127"/>
        <v>0</v>
      </c>
      <c r="LAJ6" s="88">
        <f t="shared" si="127"/>
        <v>0</v>
      </c>
      <c r="LAK6" s="88">
        <f t="shared" si="127"/>
        <v>0</v>
      </c>
      <c r="LAL6" s="88">
        <f t="shared" si="127"/>
        <v>0</v>
      </c>
      <c r="LAM6" s="88">
        <f t="shared" si="127"/>
        <v>0</v>
      </c>
      <c r="LAN6" s="88">
        <f t="shared" si="127"/>
        <v>0</v>
      </c>
      <c r="LAO6" s="88">
        <f t="shared" si="127"/>
        <v>0</v>
      </c>
      <c r="LAP6" s="88">
        <f t="shared" si="127"/>
        <v>0</v>
      </c>
      <c r="LAQ6" s="88">
        <f t="shared" si="127"/>
        <v>0</v>
      </c>
      <c r="LAR6" s="88">
        <f t="shared" si="127"/>
        <v>0</v>
      </c>
      <c r="LAS6" s="88">
        <f t="shared" si="127"/>
        <v>0</v>
      </c>
      <c r="LAT6" s="88">
        <f t="shared" si="127"/>
        <v>0</v>
      </c>
      <c r="LAU6" s="88">
        <f t="shared" si="127"/>
        <v>0</v>
      </c>
      <c r="LAV6" s="88">
        <f t="shared" si="127"/>
        <v>0</v>
      </c>
      <c r="LAW6" s="88">
        <f t="shared" si="127"/>
        <v>0</v>
      </c>
      <c r="LAX6" s="88">
        <f t="shared" si="127"/>
        <v>0</v>
      </c>
      <c r="LAY6" s="88">
        <f t="shared" si="127"/>
        <v>0</v>
      </c>
      <c r="LAZ6" s="88">
        <f t="shared" si="127"/>
        <v>0</v>
      </c>
      <c r="LBA6" s="88">
        <f t="shared" si="127"/>
        <v>0</v>
      </c>
      <c r="LBB6" s="88">
        <f t="shared" si="127"/>
        <v>0</v>
      </c>
      <c r="LBC6" s="88">
        <f t="shared" si="127"/>
        <v>0</v>
      </c>
      <c r="LBD6" s="88">
        <f t="shared" si="127"/>
        <v>0</v>
      </c>
      <c r="LBE6" s="88">
        <f t="shared" si="127"/>
        <v>0</v>
      </c>
      <c r="LBF6" s="88">
        <f t="shared" si="127"/>
        <v>0</v>
      </c>
      <c r="LBG6" s="88">
        <f t="shared" si="127"/>
        <v>0</v>
      </c>
      <c r="LBH6" s="88">
        <f t="shared" si="127"/>
        <v>0</v>
      </c>
      <c r="LBI6" s="88">
        <f t="shared" si="127"/>
        <v>0</v>
      </c>
      <c r="LBJ6" s="88">
        <f t="shared" si="127"/>
        <v>0</v>
      </c>
      <c r="LBK6" s="88">
        <f t="shared" si="127"/>
        <v>0</v>
      </c>
      <c r="LBL6" s="88">
        <f t="shared" si="127"/>
        <v>0</v>
      </c>
      <c r="LBM6" s="88">
        <f t="shared" si="127"/>
        <v>0</v>
      </c>
      <c r="LBN6" s="88">
        <f t="shared" si="127"/>
        <v>0</v>
      </c>
      <c r="LBO6" s="88">
        <f t="shared" si="127"/>
        <v>0</v>
      </c>
      <c r="LBP6" s="88">
        <f t="shared" si="127"/>
        <v>0</v>
      </c>
      <c r="LBQ6" s="88">
        <f t="shared" si="127"/>
        <v>0</v>
      </c>
      <c r="LBR6" s="88">
        <f t="shared" si="127"/>
        <v>0</v>
      </c>
      <c r="LBS6" s="88">
        <f t="shared" si="127"/>
        <v>0</v>
      </c>
      <c r="LBT6" s="88">
        <f t="shared" si="127"/>
        <v>0</v>
      </c>
      <c r="LBU6" s="88">
        <f t="shared" si="127"/>
        <v>0</v>
      </c>
      <c r="LBV6" s="88">
        <f t="shared" si="127"/>
        <v>0</v>
      </c>
      <c r="LBW6" s="88">
        <f t="shared" si="127"/>
        <v>0</v>
      </c>
      <c r="LBX6" s="88">
        <f t="shared" si="127"/>
        <v>0</v>
      </c>
      <c r="LBY6" s="88">
        <f t="shared" si="127"/>
        <v>0</v>
      </c>
      <c r="LBZ6" s="88">
        <f t="shared" si="127"/>
        <v>0</v>
      </c>
      <c r="LCA6" s="88">
        <f t="shared" si="127"/>
        <v>0</v>
      </c>
      <c r="LCB6" s="88">
        <f t="shared" si="127"/>
        <v>0</v>
      </c>
      <c r="LCC6" s="88">
        <f t="shared" si="127"/>
        <v>0</v>
      </c>
      <c r="LCD6" s="88">
        <f t="shared" si="127"/>
        <v>0</v>
      </c>
      <c r="LCE6" s="88">
        <f t="shared" si="127"/>
        <v>0</v>
      </c>
      <c r="LCF6" s="88">
        <f t="shared" si="127"/>
        <v>0</v>
      </c>
      <c r="LCG6" s="88">
        <f t="shared" si="127"/>
        <v>0</v>
      </c>
      <c r="LCH6" s="88">
        <f t="shared" si="127"/>
        <v>0</v>
      </c>
      <c r="LCI6" s="88">
        <f t="shared" si="127"/>
        <v>0</v>
      </c>
      <c r="LCJ6" s="88">
        <f t="shared" si="127"/>
        <v>0</v>
      </c>
      <c r="LCK6" s="88">
        <f t="shared" si="127"/>
        <v>0</v>
      </c>
      <c r="LCL6" s="88">
        <f t="shared" si="127"/>
        <v>0</v>
      </c>
      <c r="LCM6" s="88">
        <f t="shared" si="127"/>
        <v>0</v>
      </c>
      <c r="LCN6" s="88">
        <f t="shared" ref="LCN6:LEY6" si="128">SUM(LCO3:LCO5)</f>
        <v>0</v>
      </c>
      <c r="LCO6" s="88">
        <f t="shared" si="128"/>
        <v>0</v>
      </c>
      <c r="LCP6" s="88">
        <f t="shared" si="128"/>
        <v>0</v>
      </c>
      <c r="LCQ6" s="88">
        <f t="shared" si="128"/>
        <v>0</v>
      </c>
      <c r="LCR6" s="88">
        <f t="shared" si="128"/>
        <v>0</v>
      </c>
      <c r="LCS6" s="88">
        <f t="shared" si="128"/>
        <v>0</v>
      </c>
      <c r="LCT6" s="88">
        <f t="shared" si="128"/>
        <v>0</v>
      </c>
      <c r="LCU6" s="88">
        <f t="shared" si="128"/>
        <v>0</v>
      </c>
      <c r="LCV6" s="88">
        <f t="shared" si="128"/>
        <v>0</v>
      </c>
      <c r="LCW6" s="88">
        <f t="shared" si="128"/>
        <v>0</v>
      </c>
      <c r="LCX6" s="88">
        <f t="shared" si="128"/>
        <v>0</v>
      </c>
      <c r="LCY6" s="88">
        <f t="shared" si="128"/>
        <v>0</v>
      </c>
      <c r="LCZ6" s="88">
        <f t="shared" si="128"/>
        <v>0</v>
      </c>
      <c r="LDA6" s="88">
        <f t="shared" si="128"/>
        <v>0</v>
      </c>
      <c r="LDB6" s="88">
        <f t="shared" si="128"/>
        <v>0</v>
      </c>
      <c r="LDC6" s="88">
        <f t="shared" si="128"/>
        <v>0</v>
      </c>
      <c r="LDD6" s="88">
        <f t="shared" si="128"/>
        <v>0</v>
      </c>
      <c r="LDE6" s="88">
        <f t="shared" si="128"/>
        <v>0</v>
      </c>
      <c r="LDF6" s="88">
        <f t="shared" si="128"/>
        <v>0</v>
      </c>
      <c r="LDG6" s="88">
        <f t="shared" si="128"/>
        <v>0</v>
      </c>
      <c r="LDH6" s="88">
        <f t="shared" si="128"/>
        <v>0</v>
      </c>
      <c r="LDI6" s="88">
        <f t="shared" si="128"/>
        <v>0</v>
      </c>
      <c r="LDJ6" s="88">
        <f t="shared" si="128"/>
        <v>0</v>
      </c>
      <c r="LDK6" s="88">
        <f t="shared" si="128"/>
        <v>0</v>
      </c>
      <c r="LDL6" s="88">
        <f t="shared" si="128"/>
        <v>0</v>
      </c>
      <c r="LDM6" s="88">
        <f t="shared" si="128"/>
        <v>0</v>
      </c>
      <c r="LDN6" s="88">
        <f t="shared" si="128"/>
        <v>0</v>
      </c>
      <c r="LDO6" s="88">
        <f t="shared" si="128"/>
        <v>0</v>
      </c>
      <c r="LDP6" s="88">
        <f t="shared" si="128"/>
        <v>0</v>
      </c>
      <c r="LDQ6" s="88">
        <f t="shared" si="128"/>
        <v>0</v>
      </c>
      <c r="LDR6" s="88">
        <f t="shared" si="128"/>
        <v>0</v>
      </c>
      <c r="LDS6" s="88">
        <f t="shared" si="128"/>
        <v>0</v>
      </c>
      <c r="LDT6" s="88">
        <f t="shared" si="128"/>
        <v>0</v>
      </c>
      <c r="LDU6" s="88">
        <f t="shared" si="128"/>
        <v>0</v>
      </c>
      <c r="LDV6" s="88">
        <f t="shared" si="128"/>
        <v>0</v>
      </c>
      <c r="LDW6" s="88">
        <f t="shared" si="128"/>
        <v>0</v>
      </c>
      <c r="LDX6" s="88">
        <f t="shared" si="128"/>
        <v>0</v>
      </c>
      <c r="LDY6" s="88">
        <f t="shared" si="128"/>
        <v>0</v>
      </c>
      <c r="LDZ6" s="88">
        <f t="shared" si="128"/>
        <v>0</v>
      </c>
      <c r="LEA6" s="88">
        <f t="shared" si="128"/>
        <v>0</v>
      </c>
      <c r="LEB6" s="88">
        <f t="shared" si="128"/>
        <v>0</v>
      </c>
      <c r="LEC6" s="88">
        <f t="shared" si="128"/>
        <v>0</v>
      </c>
      <c r="LED6" s="88">
        <f t="shared" si="128"/>
        <v>0</v>
      </c>
      <c r="LEE6" s="88">
        <f t="shared" si="128"/>
        <v>0</v>
      </c>
      <c r="LEF6" s="88">
        <f t="shared" si="128"/>
        <v>0</v>
      </c>
      <c r="LEG6" s="88">
        <f t="shared" si="128"/>
        <v>0</v>
      </c>
      <c r="LEH6" s="88">
        <f t="shared" si="128"/>
        <v>0</v>
      </c>
      <c r="LEI6" s="88">
        <f t="shared" si="128"/>
        <v>0</v>
      </c>
      <c r="LEJ6" s="88">
        <f t="shared" si="128"/>
        <v>0</v>
      </c>
      <c r="LEK6" s="88">
        <f t="shared" si="128"/>
        <v>0</v>
      </c>
      <c r="LEL6" s="88">
        <f t="shared" si="128"/>
        <v>0</v>
      </c>
      <c r="LEM6" s="88">
        <f t="shared" si="128"/>
        <v>0</v>
      </c>
      <c r="LEN6" s="88">
        <f t="shared" si="128"/>
        <v>0</v>
      </c>
      <c r="LEO6" s="88">
        <f t="shared" si="128"/>
        <v>0</v>
      </c>
      <c r="LEP6" s="88">
        <f t="shared" si="128"/>
        <v>0</v>
      </c>
      <c r="LEQ6" s="88">
        <f t="shared" si="128"/>
        <v>0</v>
      </c>
      <c r="LER6" s="88">
        <f t="shared" si="128"/>
        <v>0</v>
      </c>
      <c r="LES6" s="88">
        <f t="shared" si="128"/>
        <v>0</v>
      </c>
      <c r="LET6" s="88">
        <f t="shared" si="128"/>
        <v>0</v>
      </c>
      <c r="LEU6" s="88">
        <f t="shared" si="128"/>
        <v>0</v>
      </c>
      <c r="LEV6" s="88">
        <f t="shared" si="128"/>
        <v>0</v>
      </c>
      <c r="LEW6" s="88">
        <f t="shared" si="128"/>
        <v>0</v>
      </c>
      <c r="LEX6" s="88">
        <f t="shared" si="128"/>
        <v>0</v>
      </c>
      <c r="LEY6" s="88">
        <f t="shared" si="128"/>
        <v>0</v>
      </c>
      <c r="LEZ6" s="88">
        <f t="shared" ref="LEZ6:LHK6" si="129">SUM(LFA3:LFA5)</f>
        <v>0</v>
      </c>
      <c r="LFA6" s="88">
        <f t="shared" si="129"/>
        <v>0</v>
      </c>
      <c r="LFB6" s="88">
        <f t="shared" si="129"/>
        <v>0</v>
      </c>
      <c r="LFC6" s="88">
        <f t="shared" si="129"/>
        <v>0</v>
      </c>
      <c r="LFD6" s="88">
        <f t="shared" si="129"/>
        <v>0</v>
      </c>
      <c r="LFE6" s="88">
        <f t="shared" si="129"/>
        <v>0</v>
      </c>
      <c r="LFF6" s="88">
        <f t="shared" si="129"/>
        <v>0</v>
      </c>
      <c r="LFG6" s="88">
        <f t="shared" si="129"/>
        <v>0</v>
      </c>
      <c r="LFH6" s="88">
        <f t="shared" si="129"/>
        <v>0</v>
      </c>
      <c r="LFI6" s="88">
        <f t="shared" si="129"/>
        <v>0</v>
      </c>
      <c r="LFJ6" s="88">
        <f t="shared" si="129"/>
        <v>0</v>
      </c>
      <c r="LFK6" s="88">
        <f t="shared" si="129"/>
        <v>0</v>
      </c>
      <c r="LFL6" s="88">
        <f t="shared" si="129"/>
        <v>0</v>
      </c>
      <c r="LFM6" s="88">
        <f t="shared" si="129"/>
        <v>0</v>
      </c>
      <c r="LFN6" s="88">
        <f t="shared" si="129"/>
        <v>0</v>
      </c>
      <c r="LFO6" s="88">
        <f t="shared" si="129"/>
        <v>0</v>
      </c>
      <c r="LFP6" s="88">
        <f t="shared" si="129"/>
        <v>0</v>
      </c>
      <c r="LFQ6" s="88">
        <f t="shared" si="129"/>
        <v>0</v>
      </c>
      <c r="LFR6" s="88">
        <f t="shared" si="129"/>
        <v>0</v>
      </c>
      <c r="LFS6" s="88">
        <f t="shared" si="129"/>
        <v>0</v>
      </c>
      <c r="LFT6" s="88">
        <f t="shared" si="129"/>
        <v>0</v>
      </c>
      <c r="LFU6" s="88">
        <f t="shared" si="129"/>
        <v>0</v>
      </c>
      <c r="LFV6" s="88">
        <f t="shared" si="129"/>
        <v>0</v>
      </c>
      <c r="LFW6" s="88">
        <f t="shared" si="129"/>
        <v>0</v>
      </c>
      <c r="LFX6" s="88">
        <f t="shared" si="129"/>
        <v>0</v>
      </c>
      <c r="LFY6" s="88">
        <f t="shared" si="129"/>
        <v>0</v>
      </c>
      <c r="LFZ6" s="88">
        <f t="shared" si="129"/>
        <v>0</v>
      </c>
      <c r="LGA6" s="88">
        <f t="shared" si="129"/>
        <v>0</v>
      </c>
      <c r="LGB6" s="88">
        <f t="shared" si="129"/>
        <v>0</v>
      </c>
      <c r="LGC6" s="88">
        <f t="shared" si="129"/>
        <v>0</v>
      </c>
      <c r="LGD6" s="88">
        <f t="shared" si="129"/>
        <v>0</v>
      </c>
      <c r="LGE6" s="88">
        <f t="shared" si="129"/>
        <v>0</v>
      </c>
      <c r="LGF6" s="88">
        <f t="shared" si="129"/>
        <v>0</v>
      </c>
      <c r="LGG6" s="88">
        <f t="shared" si="129"/>
        <v>0</v>
      </c>
      <c r="LGH6" s="88">
        <f t="shared" si="129"/>
        <v>0</v>
      </c>
      <c r="LGI6" s="88">
        <f t="shared" si="129"/>
        <v>0</v>
      </c>
      <c r="LGJ6" s="88">
        <f t="shared" si="129"/>
        <v>0</v>
      </c>
      <c r="LGK6" s="88">
        <f t="shared" si="129"/>
        <v>0</v>
      </c>
      <c r="LGL6" s="88">
        <f t="shared" si="129"/>
        <v>0</v>
      </c>
      <c r="LGM6" s="88">
        <f t="shared" si="129"/>
        <v>0</v>
      </c>
      <c r="LGN6" s="88">
        <f t="shared" si="129"/>
        <v>0</v>
      </c>
      <c r="LGO6" s="88">
        <f t="shared" si="129"/>
        <v>0</v>
      </c>
      <c r="LGP6" s="88">
        <f t="shared" si="129"/>
        <v>0</v>
      </c>
      <c r="LGQ6" s="88">
        <f t="shared" si="129"/>
        <v>0</v>
      </c>
      <c r="LGR6" s="88">
        <f t="shared" si="129"/>
        <v>0</v>
      </c>
      <c r="LGS6" s="88">
        <f t="shared" si="129"/>
        <v>0</v>
      </c>
      <c r="LGT6" s="88">
        <f t="shared" si="129"/>
        <v>0</v>
      </c>
      <c r="LGU6" s="88">
        <f t="shared" si="129"/>
        <v>0</v>
      </c>
      <c r="LGV6" s="88">
        <f t="shared" si="129"/>
        <v>0</v>
      </c>
      <c r="LGW6" s="88">
        <f t="shared" si="129"/>
        <v>0</v>
      </c>
      <c r="LGX6" s="88">
        <f t="shared" si="129"/>
        <v>0</v>
      </c>
      <c r="LGY6" s="88">
        <f t="shared" si="129"/>
        <v>0</v>
      </c>
      <c r="LGZ6" s="88">
        <f t="shared" si="129"/>
        <v>0</v>
      </c>
      <c r="LHA6" s="88">
        <f t="shared" si="129"/>
        <v>0</v>
      </c>
      <c r="LHB6" s="88">
        <f t="shared" si="129"/>
        <v>0</v>
      </c>
      <c r="LHC6" s="88">
        <f t="shared" si="129"/>
        <v>0</v>
      </c>
      <c r="LHD6" s="88">
        <f t="shared" si="129"/>
        <v>0</v>
      </c>
      <c r="LHE6" s="88">
        <f t="shared" si="129"/>
        <v>0</v>
      </c>
      <c r="LHF6" s="88">
        <f t="shared" si="129"/>
        <v>0</v>
      </c>
      <c r="LHG6" s="88">
        <f t="shared" si="129"/>
        <v>0</v>
      </c>
      <c r="LHH6" s="88">
        <f t="shared" si="129"/>
        <v>0</v>
      </c>
      <c r="LHI6" s="88">
        <f t="shared" si="129"/>
        <v>0</v>
      </c>
      <c r="LHJ6" s="88">
        <f t="shared" si="129"/>
        <v>0</v>
      </c>
      <c r="LHK6" s="88">
        <f t="shared" si="129"/>
        <v>0</v>
      </c>
      <c r="LHL6" s="88">
        <f t="shared" ref="LHL6:LJW6" si="130">SUM(LHM3:LHM5)</f>
        <v>0</v>
      </c>
      <c r="LHM6" s="88">
        <f t="shared" si="130"/>
        <v>0</v>
      </c>
      <c r="LHN6" s="88">
        <f t="shared" si="130"/>
        <v>0</v>
      </c>
      <c r="LHO6" s="88">
        <f t="shared" si="130"/>
        <v>0</v>
      </c>
      <c r="LHP6" s="88">
        <f t="shared" si="130"/>
        <v>0</v>
      </c>
      <c r="LHQ6" s="88">
        <f t="shared" si="130"/>
        <v>0</v>
      </c>
      <c r="LHR6" s="88">
        <f t="shared" si="130"/>
        <v>0</v>
      </c>
      <c r="LHS6" s="88">
        <f t="shared" si="130"/>
        <v>0</v>
      </c>
      <c r="LHT6" s="88">
        <f t="shared" si="130"/>
        <v>0</v>
      </c>
      <c r="LHU6" s="88">
        <f t="shared" si="130"/>
        <v>0</v>
      </c>
      <c r="LHV6" s="88">
        <f t="shared" si="130"/>
        <v>0</v>
      </c>
      <c r="LHW6" s="88">
        <f t="shared" si="130"/>
        <v>0</v>
      </c>
      <c r="LHX6" s="88">
        <f t="shared" si="130"/>
        <v>0</v>
      </c>
      <c r="LHY6" s="88">
        <f t="shared" si="130"/>
        <v>0</v>
      </c>
      <c r="LHZ6" s="88">
        <f t="shared" si="130"/>
        <v>0</v>
      </c>
      <c r="LIA6" s="88">
        <f t="shared" si="130"/>
        <v>0</v>
      </c>
      <c r="LIB6" s="88">
        <f t="shared" si="130"/>
        <v>0</v>
      </c>
      <c r="LIC6" s="88">
        <f t="shared" si="130"/>
        <v>0</v>
      </c>
      <c r="LID6" s="88">
        <f t="shared" si="130"/>
        <v>0</v>
      </c>
      <c r="LIE6" s="88">
        <f t="shared" si="130"/>
        <v>0</v>
      </c>
      <c r="LIF6" s="88">
        <f t="shared" si="130"/>
        <v>0</v>
      </c>
      <c r="LIG6" s="88">
        <f t="shared" si="130"/>
        <v>0</v>
      </c>
      <c r="LIH6" s="88">
        <f t="shared" si="130"/>
        <v>0</v>
      </c>
      <c r="LII6" s="88">
        <f t="shared" si="130"/>
        <v>0</v>
      </c>
      <c r="LIJ6" s="88">
        <f t="shared" si="130"/>
        <v>0</v>
      </c>
      <c r="LIK6" s="88">
        <f t="shared" si="130"/>
        <v>0</v>
      </c>
      <c r="LIL6" s="88">
        <f t="shared" si="130"/>
        <v>0</v>
      </c>
      <c r="LIM6" s="88">
        <f t="shared" si="130"/>
        <v>0</v>
      </c>
      <c r="LIN6" s="88">
        <f t="shared" si="130"/>
        <v>0</v>
      </c>
      <c r="LIO6" s="88">
        <f t="shared" si="130"/>
        <v>0</v>
      </c>
      <c r="LIP6" s="88">
        <f t="shared" si="130"/>
        <v>0</v>
      </c>
      <c r="LIQ6" s="88">
        <f t="shared" si="130"/>
        <v>0</v>
      </c>
      <c r="LIR6" s="88">
        <f t="shared" si="130"/>
        <v>0</v>
      </c>
      <c r="LIS6" s="88">
        <f t="shared" si="130"/>
        <v>0</v>
      </c>
      <c r="LIT6" s="88">
        <f t="shared" si="130"/>
        <v>0</v>
      </c>
      <c r="LIU6" s="88">
        <f t="shared" si="130"/>
        <v>0</v>
      </c>
      <c r="LIV6" s="88">
        <f t="shared" si="130"/>
        <v>0</v>
      </c>
      <c r="LIW6" s="88">
        <f t="shared" si="130"/>
        <v>0</v>
      </c>
      <c r="LIX6" s="88">
        <f t="shared" si="130"/>
        <v>0</v>
      </c>
      <c r="LIY6" s="88">
        <f t="shared" si="130"/>
        <v>0</v>
      </c>
      <c r="LIZ6" s="88">
        <f t="shared" si="130"/>
        <v>0</v>
      </c>
      <c r="LJA6" s="88">
        <f t="shared" si="130"/>
        <v>0</v>
      </c>
      <c r="LJB6" s="88">
        <f t="shared" si="130"/>
        <v>0</v>
      </c>
      <c r="LJC6" s="88">
        <f t="shared" si="130"/>
        <v>0</v>
      </c>
      <c r="LJD6" s="88">
        <f t="shared" si="130"/>
        <v>0</v>
      </c>
      <c r="LJE6" s="88">
        <f t="shared" si="130"/>
        <v>0</v>
      </c>
      <c r="LJF6" s="88">
        <f t="shared" si="130"/>
        <v>0</v>
      </c>
      <c r="LJG6" s="88">
        <f t="shared" si="130"/>
        <v>0</v>
      </c>
      <c r="LJH6" s="88">
        <f t="shared" si="130"/>
        <v>0</v>
      </c>
      <c r="LJI6" s="88">
        <f t="shared" si="130"/>
        <v>0</v>
      </c>
      <c r="LJJ6" s="88">
        <f t="shared" si="130"/>
        <v>0</v>
      </c>
      <c r="LJK6" s="88">
        <f t="shared" si="130"/>
        <v>0</v>
      </c>
      <c r="LJL6" s="88">
        <f t="shared" si="130"/>
        <v>0</v>
      </c>
      <c r="LJM6" s="88">
        <f t="shared" si="130"/>
        <v>0</v>
      </c>
      <c r="LJN6" s="88">
        <f t="shared" si="130"/>
        <v>0</v>
      </c>
      <c r="LJO6" s="88">
        <f t="shared" si="130"/>
        <v>0</v>
      </c>
      <c r="LJP6" s="88">
        <f t="shared" si="130"/>
        <v>0</v>
      </c>
      <c r="LJQ6" s="88">
        <f t="shared" si="130"/>
        <v>0</v>
      </c>
      <c r="LJR6" s="88">
        <f t="shared" si="130"/>
        <v>0</v>
      </c>
      <c r="LJS6" s="88">
        <f t="shared" si="130"/>
        <v>0</v>
      </c>
      <c r="LJT6" s="88">
        <f t="shared" si="130"/>
        <v>0</v>
      </c>
      <c r="LJU6" s="88">
        <f t="shared" si="130"/>
        <v>0</v>
      </c>
      <c r="LJV6" s="88">
        <f t="shared" si="130"/>
        <v>0</v>
      </c>
      <c r="LJW6" s="88">
        <f t="shared" si="130"/>
        <v>0</v>
      </c>
      <c r="LJX6" s="88">
        <f t="shared" ref="LJX6:LMI6" si="131">SUM(LJY3:LJY5)</f>
        <v>0</v>
      </c>
      <c r="LJY6" s="88">
        <f t="shared" si="131"/>
        <v>0</v>
      </c>
      <c r="LJZ6" s="88">
        <f t="shared" si="131"/>
        <v>0</v>
      </c>
      <c r="LKA6" s="88">
        <f t="shared" si="131"/>
        <v>0</v>
      </c>
      <c r="LKB6" s="88">
        <f t="shared" si="131"/>
        <v>0</v>
      </c>
      <c r="LKC6" s="88">
        <f t="shared" si="131"/>
        <v>0</v>
      </c>
      <c r="LKD6" s="88">
        <f t="shared" si="131"/>
        <v>0</v>
      </c>
      <c r="LKE6" s="88">
        <f t="shared" si="131"/>
        <v>0</v>
      </c>
      <c r="LKF6" s="88">
        <f t="shared" si="131"/>
        <v>0</v>
      </c>
      <c r="LKG6" s="88">
        <f t="shared" si="131"/>
        <v>0</v>
      </c>
      <c r="LKH6" s="88">
        <f t="shared" si="131"/>
        <v>0</v>
      </c>
      <c r="LKI6" s="88">
        <f t="shared" si="131"/>
        <v>0</v>
      </c>
      <c r="LKJ6" s="88">
        <f t="shared" si="131"/>
        <v>0</v>
      </c>
      <c r="LKK6" s="88">
        <f t="shared" si="131"/>
        <v>0</v>
      </c>
      <c r="LKL6" s="88">
        <f t="shared" si="131"/>
        <v>0</v>
      </c>
      <c r="LKM6" s="88">
        <f t="shared" si="131"/>
        <v>0</v>
      </c>
      <c r="LKN6" s="88">
        <f t="shared" si="131"/>
        <v>0</v>
      </c>
      <c r="LKO6" s="88">
        <f t="shared" si="131"/>
        <v>0</v>
      </c>
      <c r="LKP6" s="88">
        <f t="shared" si="131"/>
        <v>0</v>
      </c>
      <c r="LKQ6" s="88">
        <f t="shared" si="131"/>
        <v>0</v>
      </c>
      <c r="LKR6" s="88">
        <f t="shared" si="131"/>
        <v>0</v>
      </c>
      <c r="LKS6" s="88">
        <f t="shared" si="131"/>
        <v>0</v>
      </c>
      <c r="LKT6" s="88">
        <f t="shared" si="131"/>
        <v>0</v>
      </c>
      <c r="LKU6" s="88">
        <f t="shared" si="131"/>
        <v>0</v>
      </c>
      <c r="LKV6" s="88">
        <f t="shared" si="131"/>
        <v>0</v>
      </c>
      <c r="LKW6" s="88">
        <f t="shared" si="131"/>
        <v>0</v>
      </c>
      <c r="LKX6" s="88">
        <f t="shared" si="131"/>
        <v>0</v>
      </c>
      <c r="LKY6" s="88">
        <f t="shared" si="131"/>
        <v>0</v>
      </c>
      <c r="LKZ6" s="88">
        <f t="shared" si="131"/>
        <v>0</v>
      </c>
      <c r="LLA6" s="88">
        <f t="shared" si="131"/>
        <v>0</v>
      </c>
      <c r="LLB6" s="88">
        <f t="shared" si="131"/>
        <v>0</v>
      </c>
      <c r="LLC6" s="88">
        <f t="shared" si="131"/>
        <v>0</v>
      </c>
      <c r="LLD6" s="88">
        <f t="shared" si="131"/>
        <v>0</v>
      </c>
      <c r="LLE6" s="88">
        <f t="shared" si="131"/>
        <v>0</v>
      </c>
      <c r="LLF6" s="88">
        <f t="shared" si="131"/>
        <v>0</v>
      </c>
      <c r="LLG6" s="88">
        <f t="shared" si="131"/>
        <v>0</v>
      </c>
      <c r="LLH6" s="88">
        <f t="shared" si="131"/>
        <v>0</v>
      </c>
      <c r="LLI6" s="88">
        <f t="shared" si="131"/>
        <v>0</v>
      </c>
      <c r="LLJ6" s="88">
        <f t="shared" si="131"/>
        <v>0</v>
      </c>
      <c r="LLK6" s="88">
        <f t="shared" si="131"/>
        <v>0</v>
      </c>
      <c r="LLL6" s="88">
        <f t="shared" si="131"/>
        <v>0</v>
      </c>
      <c r="LLM6" s="88">
        <f t="shared" si="131"/>
        <v>0</v>
      </c>
      <c r="LLN6" s="88">
        <f t="shared" si="131"/>
        <v>0</v>
      </c>
      <c r="LLO6" s="88">
        <f t="shared" si="131"/>
        <v>0</v>
      </c>
      <c r="LLP6" s="88">
        <f t="shared" si="131"/>
        <v>0</v>
      </c>
      <c r="LLQ6" s="88">
        <f t="shared" si="131"/>
        <v>0</v>
      </c>
      <c r="LLR6" s="88">
        <f t="shared" si="131"/>
        <v>0</v>
      </c>
      <c r="LLS6" s="88">
        <f t="shared" si="131"/>
        <v>0</v>
      </c>
      <c r="LLT6" s="88">
        <f t="shared" si="131"/>
        <v>0</v>
      </c>
      <c r="LLU6" s="88">
        <f t="shared" si="131"/>
        <v>0</v>
      </c>
      <c r="LLV6" s="88">
        <f t="shared" si="131"/>
        <v>0</v>
      </c>
      <c r="LLW6" s="88">
        <f t="shared" si="131"/>
        <v>0</v>
      </c>
      <c r="LLX6" s="88">
        <f t="shared" si="131"/>
        <v>0</v>
      </c>
      <c r="LLY6" s="88">
        <f t="shared" si="131"/>
        <v>0</v>
      </c>
      <c r="LLZ6" s="88">
        <f t="shared" si="131"/>
        <v>0</v>
      </c>
      <c r="LMA6" s="88">
        <f t="shared" si="131"/>
        <v>0</v>
      </c>
      <c r="LMB6" s="88">
        <f t="shared" si="131"/>
        <v>0</v>
      </c>
      <c r="LMC6" s="88">
        <f t="shared" si="131"/>
        <v>0</v>
      </c>
      <c r="LMD6" s="88">
        <f t="shared" si="131"/>
        <v>0</v>
      </c>
      <c r="LME6" s="88">
        <f t="shared" si="131"/>
        <v>0</v>
      </c>
      <c r="LMF6" s="88">
        <f t="shared" si="131"/>
        <v>0</v>
      </c>
      <c r="LMG6" s="88">
        <f t="shared" si="131"/>
        <v>0</v>
      </c>
      <c r="LMH6" s="88">
        <f t="shared" si="131"/>
        <v>0</v>
      </c>
      <c r="LMI6" s="88">
        <f t="shared" si="131"/>
        <v>0</v>
      </c>
      <c r="LMJ6" s="88">
        <f t="shared" ref="LMJ6:LOU6" si="132">SUM(LMK3:LMK5)</f>
        <v>0</v>
      </c>
      <c r="LMK6" s="88">
        <f t="shared" si="132"/>
        <v>0</v>
      </c>
      <c r="LML6" s="88">
        <f t="shared" si="132"/>
        <v>0</v>
      </c>
      <c r="LMM6" s="88">
        <f t="shared" si="132"/>
        <v>0</v>
      </c>
      <c r="LMN6" s="88">
        <f t="shared" si="132"/>
        <v>0</v>
      </c>
      <c r="LMO6" s="88">
        <f t="shared" si="132"/>
        <v>0</v>
      </c>
      <c r="LMP6" s="88">
        <f t="shared" si="132"/>
        <v>0</v>
      </c>
      <c r="LMQ6" s="88">
        <f t="shared" si="132"/>
        <v>0</v>
      </c>
      <c r="LMR6" s="88">
        <f t="shared" si="132"/>
        <v>0</v>
      </c>
      <c r="LMS6" s="88">
        <f t="shared" si="132"/>
        <v>0</v>
      </c>
      <c r="LMT6" s="88">
        <f t="shared" si="132"/>
        <v>0</v>
      </c>
      <c r="LMU6" s="88">
        <f t="shared" si="132"/>
        <v>0</v>
      </c>
      <c r="LMV6" s="88">
        <f t="shared" si="132"/>
        <v>0</v>
      </c>
      <c r="LMW6" s="88">
        <f t="shared" si="132"/>
        <v>0</v>
      </c>
      <c r="LMX6" s="88">
        <f t="shared" si="132"/>
        <v>0</v>
      </c>
      <c r="LMY6" s="88">
        <f t="shared" si="132"/>
        <v>0</v>
      </c>
      <c r="LMZ6" s="88">
        <f t="shared" si="132"/>
        <v>0</v>
      </c>
      <c r="LNA6" s="88">
        <f t="shared" si="132"/>
        <v>0</v>
      </c>
      <c r="LNB6" s="88">
        <f t="shared" si="132"/>
        <v>0</v>
      </c>
      <c r="LNC6" s="88">
        <f t="shared" si="132"/>
        <v>0</v>
      </c>
      <c r="LND6" s="88">
        <f t="shared" si="132"/>
        <v>0</v>
      </c>
      <c r="LNE6" s="88">
        <f t="shared" si="132"/>
        <v>0</v>
      </c>
      <c r="LNF6" s="88">
        <f t="shared" si="132"/>
        <v>0</v>
      </c>
      <c r="LNG6" s="88">
        <f t="shared" si="132"/>
        <v>0</v>
      </c>
      <c r="LNH6" s="88">
        <f t="shared" si="132"/>
        <v>0</v>
      </c>
      <c r="LNI6" s="88">
        <f t="shared" si="132"/>
        <v>0</v>
      </c>
      <c r="LNJ6" s="88">
        <f t="shared" si="132"/>
        <v>0</v>
      </c>
      <c r="LNK6" s="88">
        <f t="shared" si="132"/>
        <v>0</v>
      </c>
      <c r="LNL6" s="88">
        <f t="shared" si="132"/>
        <v>0</v>
      </c>
      <c r="LNM6" s="88">
        <f t="shared" si="132"/>
        <v>0</v>
      </c>
      <c r="LNN6" s="88">
        <f t="shared" si="132"/>
        <v>0</v>
      </c>
      <c r="LNO6" s="88">
        <f t="shared" si="132"/>
        <v>0</v>
      </c>
      <c r="LNP6" s="88">
        <f t="shared" si="132"/>
        <v>0</v>
      </c>
      <c r="LNQ6" s="88">
        <f t="shared" si="132"/>
        <v>0</v>
      </c>
      <c r="LNR6" s="88">
        <f t="shared" si="132"/>
        <v>0</v>
      </c>
      <c r="LNS6" s="88">
        <f t="shared" si="132"/>
        <v>0</v>
      </c>
      <c r="LNT6" s="88">
        <f t="shared" si="132"/>
        <v>0</v>
      </c>
      <c r="LNU6" s="88">
        <f t="shared" si="132"/>
        <v>0</v>
      </c>
      <c r="LNV6" s="88">
        <f t="shared" si="132"/>
        <v>0</v>
      </c>
      <c r="LNW6" s="88">
        <f t="shared" si="132"/>
        <v>0</v>
      </c>
      <c r="LNX6" s="88">
        <f t="shared" si="132"/>
        <v>0</v>
      </c>
      <c r="LNY6" s="88">
        <f t="shared" si="132"/>
        <v>0</v>
      </c>
      <c r="LNZ6" s="88">
        <f t="shared" si="132"/>
        <v>0</v>
      </c>
      <c r="LOA6" s="88">
        <f t="shared" si="132"/>
        <v>0</v>
      </c>
      <c r="LOB6" s="88">
        <f t="shared" si="132"/>
        <v>0</v>
      </c>
      <c r="LOC6" s="88">
        <f t="shared" si="132"/>
        <v>0</v>
      </c>
      <c r="LOD6" s="88">
        <f t="shared" si="132"/>
        <v>0</v>
      </c>
      <c r="LOE6" s="88">
        <f t="shared" si="132"/>
        <v>0</v>
      </c>
      <c r="LOF6" s="88">
        <f t="shared" si="132"/>
        <v>0</v>
      </c>
      <c r="LOG6" s="88">
        <f t="shared" si="132"/>
        <v>0</v>
      </c>
      <c r="LOH6" s="88">
        <f t="shared" si="132"/>
        <v>0</v>
      </c>
      <c r="LOI6" s="88">
        <f t="shared" si="132"/>
        <v>0</v>
      </c>
      <c r="LOJ6" s="88">
        <f t="shared" si="132"/>
        <v>0</v>
      </c>
      <c r="LOK6" s="88">
        <f t="shared" si="132"/>
        <v>0</v>
      </c>
      <c r="LOL6" s="88">
        <f t="shared" si="132"/>
        <v>0</v>
      </c>
      <c r="LOM6" s="88">
        <f t="shared" si="132"/>
        <v>0</v>
      </c>
      <c r="LON6" s="88">
        <f t="shared" si="132"/>
        <v>0</v>
      </c>
      <c r="LOO6" s="88">
        <f t="shared" si="132"/>
        <v>0</v>
      </c>
      <c r="LOP6" s="88">
        <f t="shared" si="132"/>
        <v>0</v>
      </c>
      <c r="LOQ6" s="88">
        <f t="shared" si="132"/>
        <v>0</v>
      </c>
      <c r="LOR6" s="88">
        <f t="shared" si="132"/>
        <v>0</v>
      </c>
      <c r="LOS6" s="88">
        <f t="shared" si="132"/>
        <v>0</v>
      </c>
      <c r="LOT6" s="88">
        <f t="shared" si="132"/>
        <v>0</v>
      </c>
      <c r="LOU6" s="88">
        <f t="shared" si="132"/>
        <v>0</v>
      </c>
      <c r="LOV6" s="88">
        <f t="shared" ref="LOV6:LRG6" si="133">SUM(LOW3:LOW5)</f>
        <v>0</v>
      </c>
      <c r="LOW6" s="88">
        <f t="shared" si="133"/>
        <v>0</v>
      </c>
      <c r="LOX6" s="88">
        <f t="shared" si="133"/>
        <v>0</v>
      </c>
      <c r="LOY6" s="88">
        <f t="shared" si="133"/>
        <v>0</v>
      </c>
      <c r="LOZ6" s="88">
        <f t="shared" si="133"/>
        <v>0</v>
      </c>
      <c r="LPA6" s="88">
        <f t="shared" si="133"/>
        <v>0</v>
      </c>
      <c r="LPB6" s="88">
        <f t="shared" si="133"/>
        <v>0</v>
      </c>
      <c r="LPC6" s="88">
        <f t="shared" si="133"/>
        <v>0</v>
      </c>
      <c r="LPD6" s="88">
        <f t="shared" si="133"/>
        <v>0</v>
      </c>
      <c r="LPE6" s="88">
        <f t="shared" si="133"/>
        <v>0</v>
      </c>
      <c r="LPF6" s="88">
        <f t="shared" si="133"/>
        <v>0</v>
      </c>
      <c r="LPG6" s="88">
        <f t="shared" si="133"/>
        <v>0</v>
      </c>
      <c r="LPH6" s="88">
        <f t="shared" si="133"/>
        <v>0</v>
      </c>
      <c r="LPI6" s="88">
        <f t="shared" si="133"/>
        <v>0</v>
      </c>
      <c r="LPJ6" s="88">
        <f t="shared" si="133"/>
        <v>0</v>
      </c>
      <c r="LPK6" s="88">
        <f t="shared" si="133"/>
        <v>0</v>
      </c>
      <c r="LPL6" s="88">
        <f t="shared" si="133"/>
        <v>0</v>
      </c>
      <c r="LPM6" s="88">
        <f t="shared" si="133"/>
        <v>0</v>
      </c>
      <c r="LPN6" s="88">
        <f t="shared" si="133"/>
        <v>0</v>
      </c>
      <c r="LPO6" s="88">
        <f t="shared" si="133"/>
        <v>0</v>
      </c>
      <c r="LPP6" s="88">
        <f t="shared" si="133"/>
        <v>0</v>
      </c>
      <c r="LPQ6" s="88">
        <f t="shared" si="133"/>
        <v>0</v>
      </c>
      <c r="LPR6" s="88">
        <f t="shared" si="133"/>
        <v>0</v>
      </c>
      <c r="LPS6" s="88">
        <f t="shared" si="133"/>
        <v>0</v>
      </c>
      <c r="LPT6" s="88">
        <f t="shared" si="133"/>
        <v>0</v>
      </c>
      <c r="LPU6" s="88">
        <f t="shared" si="133"/>
        <v>0</v>
      </c>
      <c r="LPV6" s="88">
        <f t="shared" si="133"/>
        <v>0</v>
      </c>
      <c r="LPW6" s="88">
        <f t="shared" si="133"/>
        <v>0</v>
      </c>
      <c r="LPX6" s="88">
        <f t="shared" si="133"/>
        <v>0</v>
      </c>
      <c r="LPY6" s="88">
        <f t="shared" si="133"/>
        <v>0</v>
      </c>
      <c r="LPZ6" s="88">
        <f t="shared" si="133"/>
        <v>0</v>
      </c>
      <c r="LQA6" s="88">
        <f t="shared" si="133"/>
        <v>0</v>
      </c>
      <c r="LQB6" s="88">
        <f t="shared" si="133"/>
        <v>0</v>
      </c>
      <c r="LQC6" s="88">
        <f t="shared" si="133"/>
        <v>0</v>
      </c>
      <c r="LQD6" s="88">
        <f t="shared" si="133"/>
        <v>0</v>
      </c>
      <c r="LQE6" s="88">
        <f t="shared" si="133"/>
        <v>0</v>
      </c>
      <c r="LQF6" s="88">
        <f t="shared" si="133"/>
        <v>0</v>
      </c>
      <c r="LQG6" s="88">
        <f t="shared" si="133"/>
        <v>0</v>
      </c>
      <c r="LQH6" s="88">
        <f t="shared" si="133"/>
        <v>0</v>
      </c>
      <c r="LQI6" s="88">
        <f t="shared" si="133"/>
        <v>0</v>
      </c>
      <c r="LQJ6" s="88">
        <f t="shared" si="133"/>
        <v>0</v>
      </c>
      <c r="LQK6" s="88">
        <f t="shared" si="133"/>
        <v>0</v>
      </c>
      <c r="LQL6" s="88">
        <f t="shared" si="133"/>
        <v>0</v>
      </c>
      <c r="LQM6" s="88">
        <f t="shared" si="133"/>
        <v>0</v>
      </c>
      <c r="LQN6" s="88">
        <f t="shared" si="133"/>
        <v>0</v>
      </c>
      <c r="LQO6" s="88">
        <f t="shared" si="133"/>
        <v>0</v>
      </c>
      <c r="LQP6" s="88">
        <f t="shared" si="133"/>
        <v>0</v>
      </c>
      <c r="LQQ6" s="88">
        <f t="shared" si="133"/>
        <v>0</v>
      </c>
      <c r="LQR6" s="88">
        <f t="shared" si="133"/>
        <v>0</v>
      </c>
      <c r="LQS6" s="88">
        <f t="shared" si="133"/>
        <v>0</v>
      </c>
      <c r="LQT6" s="88">
        <f t="shared" si="133"/>
        <v>0</v>
      </c>
      <c r="LQU6" s="88">
        <f t="shared" si="133"/>
        <v>0</v>
      </c>
      <c r="LQV6" s="88">
        <f t="shared" si="133"/>
        <v>0</v>
      </c>
      <c r="LQW6" s="88">
        <f t="shared" si="133"/>
        <v>0</v>
      </c>
      <c r="LQX6" s="88">
        <f t="shared" si="133"/>
        <v>0</v>
      </c>
      <c r="LQY6" s="88">
        <f t="shared" si="133"/>
        <v>0</v>
      </c>
      <c r="LQZ6" s="88">
        <f t="shared" si="133"/>
        <v>0</v>
      </c>
      <c r="LRA6" s="88">
        <f t="shared" si="133"/>
        <v>0</v>
      </c>
      <c r="LRB6" s="88">
        <f t="shared" si="133"/>
        <v>0</v>
      </c>
      <c r="LRC6" s="88">
        <f t="shared" si="133"/>
        <v>0</v>
      </c>
      <c r="LRD6" s="88">
        <f t="shared" si="133"/>
        <v>0</v>
      </c>
      <c r="LRE6" s="88">
        <f t="shared" si="133"/>
        <v>0</v>
      </c>
      <c r="LRF6" s="88">
        <f t="shared" si="133"/>
        <v>0</v>
      </c>
      <c r="LRG6" s="88">
        <f t="shared" si="133"/>
        <v>0</v>
      </c>
      <c r="LRH6" s="88">
        <f t="shared" ref="LRH6:LTS6" si="134">SUM(LRI3:LRI5)</f>
        <v>0</v>
      </c>
      <c r="LRI6" s="88">
        <f t="shared" si="134"/>
        <v>0</v>
      </c>
      <c r="LRJ6" s="88">
        <f t="shared" si="134"/>
        <v>0</v>
      </c>
      <c r="LRK6" s="88">
        <f t="shared" si="134"/>
        <v>0</v>
      </c>
      <c r="LRL6" s="88">
        <f t="shared" si="134"/>
        <v>0</v>
      </c>
      <c r="LRM6" s="88">
        <f t="shared" si="134"/>
        <v>0</v>
      </c>
      <c r="LRN6" s="88">
        <f t="shared" si="134"/>
        <v>0</v>
      </c>
      <c r="LRO6" s="88">
        <f t="shared" si="134"/>
        <v>0</v>
      </c>
      <c r="LRP6" s="88">
        <f t="shared" si="134"/>
        <v>0</v>
      </c>
      <c r="LRQ6" s="88">
        <f t="shared" si="134"/>
        <v>0</v>
      </c>
      <c r="LRR6" s="88">
        <f t="shared" si="134"/>
        <v>0</v>
      </c>
      <c r="LRS6" s="88">
        <f t="shared" si="134"/>
        <v>0</v>
      </c>
      <c r="LRT6" s="88">
        <f t="shared" si="134"/>
        <v>0</v>
      </c>
      <c r="LRU6" s="88">
        <f t="shared" si="134"/>
        <v>0</v>
      </c>
      <c r="LRV6" s="88">
        <f t="shared" si="134"/>
        <v>0</v>
      </c>
      <c r="LRW6" s="88">
        <f t="shared" si="134"/>
        <v>0</v>
      </c>
      <c r="LRX6" s="88">
        <f t="shared" si="134"/>
        <v>0</v>
      </c>
      <c r="LRY6" s="88">
        <f t="shared" si="134"/>
        <v>0</v>
      </c>
      <c r="LRZ6" s="88">
        <f t="shared" si="134"/>
        <v>0</v>
      </c>
      <c r="LSA6" s="88">
        <f t="shared" si="134"/>
        <v>0</v>
      </c>
      <c r="LSB6" s="88">
        <f t="shared" si="134"/>
        <v>0</v>
      </c>
      <c r="LSC6" s="88">
        <f t="shared" si="134"/>
        <v>0</v>
      </c>
      <c r="LSD6" s="88">
        <f t="shared" si="134"/>
        <v>0</v>
      </c>
      <c r="LSE6" s="88">
        <f t="shared" si="134"/>
        <v>0</v>
      </c>
      <c r="LSF6" s="88">
        <f t="shared" si="134"/>
        <v>0</v>
      </c>
      <c r="LSG6" s="88">
        <f t="shared" si="134"/>
        <v>0</v>
      </c>
      <c r="LSH6" s="88">
        <f t="shared" si="134"/>
        <v>0</v>
      </c>
      <c r="LSI6" s="88">
        <f t="shared" si="134"/>
        <v>0</v>
      </c>
      <c r="LSJ6" s="88">
        <f t="shared" si="134"/>
        <v>0</v>
      </c>
      <c r="LSK6" s="88">
        <f t="shared" si="134"/>
        <v>0</v>
      </c>
      <c r="LSL6" s="88">
        <f t="shared" si="134"/>
        <v>0</v>
      </c>
      <c r="LSM6" s="88">
        <f t="shared" si="134"/>
        <v>0</v>
      </c>
      <c r="LSN6" s="88">
        <f t="shared" si="134"/>
        <v>0</v>
      </c>
      <c r="LSO6" s="88">
        <f t="shared" si="134"/>
        <v>0</v>
      </c>
      <c r="LSP6" s="88">
        <f t="shared" si="134"/>
        <v>0</v>
      </c>
      <c r="LSQ6" s="88">
        <f t="shared" si="134"/>
        <v>0</v>
      </c>
      <c r="LSR6" s="88">
        <f t="shared" si="134"/>
        <v>0</v>
      </c>
      <c r="LSS6" s="88">
        <f t="shared" si="134"/>
        <v>0</v>
      </c>
      <c r="LST6" s="88">
        <f t="shared" si="134"/>
        <v>0</v>
      </c>
      <c r="LSU6" s="88">
        <f t="shared" si="134"/>
        <v>0</v>
      </c>
      <c r="LSV6" s="88">
        <f t="shared" si="134"/>
        <v>0</v>
      </c>
      <c r="LSW6" s="88">
        <f t="shared" si="134"/>
        <v>0</v>
      </c>
      <c r="LSX6" s="88">
        <f t="shared" si="134"/>
        <v>0</v>
      </c>
      <c r="LSY6" s="88">
        <f t="shared" si="134"/>
        <v>0</v>
      </c>
      <c r="LSZ6" s="88">
        <f t="shared" si="134"/>
        <v>0</v>
      </c>
      <c r="LTA6" s="88">
        <f t="shared" si="134"/>
        <v>0</v>
      </c>
      <c r="LTB6" s="88">
        <f t="shared" si="134"/>
        <v>0</v>
      </c>
      <c r="LTC6" s="88">
        <f t="shared" si="134"/>
        <v>0</v>
      </c>
      <c r="LTD6" s="88">
        <f t="shared" si="134"/>
        <v>0</v>
      </c>
      <c r="LTE6" s="88">
        <f t="shared" si="134"/>
        <v>0</v>
      </c>
      <c r="LTF6" s="88">
        <f t="shared" si="134"/>
        <v>0</v>
      </c>
      <c r="LTG6" s="88">
        <f t="shared" si="134"/>
        <v>0</v>
      </c>
      <c r="LTH6" s="88">
        <f t="shared" si="134"/>
        <v>0</v>
      </c>
      <c r="LTI6" s="88">
        <f t="shared" si="134"/>
        <v>0</v>
      </c>
      <c r="LTJ6" s="88">
        <f t="shared" si="134"/>
        <v>0</v>
      </c>
      <c r="LTK6" s="88">
        <f t="shared" si="134"/>
        <v>0</v>
      </c>
      <c r="LTL6" s="88">
        <f t="shared" si="134"/>
        <v>0</v>
      </c>
      <c r="LTM6" s="88">
        <f t="shared" si="134"/>
        <v>0</v>
      </c>
      <c r="LTN6" s="88">
        <f t="shared" si="134"/>
        <v>0</v>
      </c>
      <c r="LTO6" s="88">
        <f t="shared" si="134"/>
        <v>0</v>
      </c>
      <c r="LTP6" s="88">
        <f t="shared" si="134"/>
        <v>0</v>
      </c>
      <c r="LTQ6" s="88">
        <f t="shared" si="134"/>
        <v>0</v>
      </c>
      <c r="LTR6" s="88">
        <f t="shared" si="134"/>
        <v>0</v>
      </c>
      <c r="LTS6" s="88">
        <f t="shared" si="134"/>
        <v>0</v>
      </c>
      <c r="LTT6" s="88">
        <f t="shared" ref="LTT6:LWE6" si="135">SUM(LTU3:LTU5)</f>
        <v>0</v>
      </c>
      <c r="LTU6" s="88">
        <f t="shared" si="135"/>
        <v>0</v>
      </c>
      <c r="LTV6" s="88">
        <f t="shared" si="135"/>
        <v>0</v>
      </c>
      <c r="LTW6" s="88">
        <f t="shared" si="135"/>
        <v>0</v>
      </c>
      <c r="LTX6" s="88">
        <f t="shared" si="135"/>
        <v>0</v>
      </c>
      <c r="LTY6" s="88">
        <f t="shared" si="135"/>
        <v>0</v>
      </c>
      <c r="LTZ6" s="88">
        <f t="shared" si="135"/>
        <v>0</v>
      </c>
      <c r="LUA6" s="88">
        <f t="shared" si="135"/>
        <v>0</v>
      </c>
      <c r="LUB6" s="88">
        <f t="shared" si="135"/>
        <v>0</v>
      </c>
      <c r="LUC6" s="88">
        <f t="shared" si="135"/>
        <v>0</v>
      </c>
      <c r="LUD6" s="88">
        <f t="shared" si="135"/>
        <v>0</v>
      </c>
      <c r="LUE6" s="88">
        <f t="shared" si="135"/>
        <v>0</v>
      </c>
      <c r="LUF6" s="88">
        <f t="shared" si="135"/>
        <v>0</v>
      </c>
      <c r="LUG6" s="88">
        <f t="shared" si="135"/>
        <v>0</v>
      </c>
      <c r="LUH6" s="88">
        <f t="shared" si="135"/>
        <v>0</v>
      </c>
      <c r="LUI6" s="88">
        <f t="shared" si="135"/>
        <v>0</v>
      </c>
      <c r="LUJ6" s="88">
        <f t="shared" si="135"/>
        <v>0</v>
      </c>
      <c r="LUK6" s="88">
        <f t="shared" si="135"/>
        <v>0</v>
      </c>
      <c r="LUL6" s="88">
        <f t="shared" si="135"/>
        <v>0</v>
      </c>
      <c r="LUM6" s="88">
        <f t="shared" si="135"/>
        <v>0</v>
      </c>
      <c r="LUN6" s="88">
        <f t="shared" si="135"/>
        <v>0</v>
      </c>
      <c r="LUO6" s="88">
        <f t="shared" si="135"/>
        <v>0</v>
      </c>
      <c r="LUP6" s="88">
        <f t="shared" si="135"/>
        <v>0</v>
      </c>
      <c r="LUQ6" s="88">
        <f t="shared" si="135"/>
        <v>0</v>
      </c>
      <c r="LUR6" s="88">
        <f t="shared" si="135"/>
        <v>0</v>
      </c>
      <c r="LUS6" s="88">
        <f t="shared" si="135"/>
        <v>0</v>
      </c>
      <c r="LUT6" s="88">
        <f t="shared" si="135"/>
        <v>0</v>
      </c>
      <c r="LUU6" s="88">
        <f t="shared" si="135"/>
        <v>0</v>
      </c>
      <c r="LUV6" s="88">
        <f t="shared" si="135"/>
        <v>0</v>
      </c>
      <c r="LUW6" s="88">
        <f t="shared" si="135"/>
        <v>0</v>
      </c>
      <c r="LUX6" s="88">
        <f t="shared" si="135"/>
        <v>0</v>
      </c>
      <c r="LUY6" s="88">
        <f t="shared" si="135"/>
        <v>0</v>
      </c>
      <c r="LUZ6" s="88">
        <f t="shared" si="135"/>
        <v>0</v>
      </c>
      <c r="LVA6" s="88">
        <f t="shared" si="135"/>
        <v>0</v>
      </c>
      <c r="LVB6" s="88">
        <f t="shared" si="135"/>
        <v>0</v>
      </c>
      <c r="LVC6" s="88">
        <f t="shared" si="135"/>
        <v>0</v>
      </c>
      <c r="LVD6" s="88">
        <f t="shared" si="135"/>
        <v>0</v>
      </c>
      <c r="LVE6" s="88">
        <f t="shared" si="135"/>
        <v>0</v>
      </c>
      <c r="LVF6" s="88">
        <f t="shared" si="135"/>
        <v>0</v>
      </c>
      <c r="LVG6" s="88">
        <f t="shared" si="135"/>
        <v>0</v>
      </c>
      <c r="LVH6" s="88">
        <f t="shared" si="135"/>
        <v>0</v>
      </c>
      <c r="LVI6" s="88">
        <f t="shared" si="135"/>
        <v>0</v>
      </c>
      <c r="LVJ6" s="88">
        <f t="shared" si="135"/>
        <v>0</v>
      </c>
      <c r="LVK6" s="88">
        <f t="shared" si="135"/>
        <v>0</v>
      </c>
      <c r="LVL6" s="88">
        <f t="shared" si="135"/>
        <v>0</v>
      </c>
      <c r="LVM6" s="88">
        <f t="shared" si="135"/>
        <v>0</v>
      </c>
      <c r="LVN6" s="88">
        <f t="shared" si="135"/>
        <v>0</v>
      </c>
      <c r="LVO6" s="88">
        <f t="shared" si="135"/>
        <v>0</v>
      </c>
      <c r="LVP6" s="88">
        <f t="shared" si="135"/>
        <v>0</v>
      </c>
      <c r="LVQ6" s="88">
        <f t="shared" si="135"/>
        <v>0</v>
      </c>
      <c r="LVR6" s="88">
        <f t="shared" si="135"/>
        <v>0</v>
      </c>
      <c r="LVS6" s="88">
        <f t="shared" si="135"/>
        <v>0</v>
      </c>
      <c r="LVT6" s="88">
        <f t="shared" si="135"/>
        <v>0</v>
      </c>
      <c r="LVU6" s="88">
        <f t="shared" si="135"/>
        <v>0</v>
      </c>
      <c r="LVV6" s="88">
        <f t="shared" si="135"/>
        <v>0</v>
      </c>
      <c r="LVW6" s="88">
        <f t="shared" si="135"/>
        <v>0</v>
      </c>
      <c r="LVX6" s="88">
        <f t="shared" si="135"/>
        <v>0</v>
      </c>
      <c r="LVY6" s="88">
        <f t="shared" si="135"/>
        <v>0</v>
      </c>
      <c r="LVZ6" s="88">
        <f t="shared" si="135"/>
        <v>0</v>
      </c>
      <c r="LWA6" s="88">
        <f t="shared" si="135"/>
        <v>0</v>
      </c>
      <c r="LWB6" s="88">
        <f t="shared" si="135"/>
        <v>0</v>
      </c>
      <c r="LWC6" s="88">
        <f t="shared" si="135"/>
        <v>0</v>
      </c>
      <c r="LWD6" s="88">
        <f t="shared" si="135"/>
        <v>0</v>
      </c>
      <c r="LWE6" s="88">
        <f t="shared" si="135"/>
        <v>0</v>
      </c>
      <c r="LWF6" s="88">
        <f t="shared" ref="LWF6:LYQ6" si="136">SUM(LWG3:LWG5)</f>
        <v>0</v>
      </c>
      <c r="LWG6" s="88">
        <f t="shared" si="136"/>
        <v>0</v>
      </c>
      <c r="LWH6" s="88">
        <f t="shared" si="136"/>
        <v>0</v>
      </c>
      <c r="LWI6" s="88">
        <f t="shared" si="136"/>
        <v>0</v>
      </c>
      <c r="LWJ6" s="88">
        <f t="shared" si="136"/>
        <v>0</v>
      </c>
      <c r="LWK6" s="88">
        <f t="shared" si="136"/>
        <v>0</v>
      </c>
      <c r="LWL6" s="88">
        <f t="shared" si="136"/>
        <v>0</v>
      </c>
      <c r="LWM6" s="88">
        <f t="shared" si="136"/>
        <v>0</v>
      </c>
      <c r="LWN6" s="88">
        <f t="shared" si="136"/>
        <v>0</v>
      </c>
      <c r="LWO6" s="88">
        <f t="shared" si="136"/>
        <v>0</v>
      </c>
      <c r="LWP6" s="88">
        <f t="shared" si="136"/>
        <v>0</v>
      </c>
      <c r="LWQ6" s="88">
        <f t="shared" si="136"/>
        <v>0</v>
      </c>
      <c r="LWR6" s="88">
        <f t="shared" si="136"/>
        <v>0</v>
      </c>
      <c r="LWS6" s="88">
        <f t="shared" si="136"/>
        <v>0</v>
      </c>
      <c r="LWT6" s="88">
        <f t="shared" si="136"/>
        <v>0</v>
      </c>
      <c r="LWU6" s="88">
        <f t="shared" si="136"/>
        <v>0</v>
      </c>
      <c r="LWV6" s="88">
        <f t="shared" si="136"/>
        <v>0</v>
      </c>
      <c r="LWW6" s="88">
        <f t="shared" si="136"/>
        <v>0</v>
      </c>
      <c r="LWX6" s="88">
        <f t="shared" si="136"/>
        <v>0</v>
      </c>
      <c r="LWY6" s="88">
        <f t="shared" si="136"/>
        <v>0</v>
      </c>
      <c r="LWZ6" s="88">
        <f t="shared" si="136"/>
        <v>0</v>
      </c>
      <c r="LXA6" s="88">
        <f t="shared" si="136"/>
        <v>0</v>
      </c>
      <c r="LXB6" s="88">
        <f t="shared" si="136"/>
        <v>0</v>
      </c>
      <c r="LXC6" s="88">
        <f t="shared" si="136"/>
        <v>0</v>
      </c>
      <c r="LXD6" s="88">
        <f t="shared" si="136"/>
        <v>0</v>
      </c>
      <c r="LXE6" s="88">
        <f t="shared" si="136"/>
        <v>0</v>
      </c>
      <c r="LXF6" s="88">
        <f t="shared" si="136"/>
        <v>0</v>
      </c>
      <c r="LXG6" s="88">
        <f t="shared" si="136"/>
        <v>0</v>
      </c>
      <c r="LXH6" s="88">
        <f t="shared" si="136"/>
        <v>0</v>
      </c>
      <c r="LXI6" s="88">
        <f t="shared" si="136"/>
        <v>0</v>
      </c>
      <c r="LXJ6" s="88">
        <f t="shared" si="136"/>
        <v>0</v>
      </c>
      <c r="LXK6" s="88">
        <f t="shared" si="136"/>
        <v>0</v>
      </c>
      <c r="LXL6" s="88">
        <f t="shared" si="136"/>
        <v>0</v>
      </c>
      <c r="LXM6" s="88">
        <f t="shared" si="136"/>
        <v>0</v>
      </c>
      <c r="LXN6" s="88">
        <f t="shared" si="136"/>
        <v>0</v>
      </c>
      <c r="LXO6" s="88">
        <f t="shared" si="136"/>
        <v>0</v>
      </c>
      <c r="LXP6" s="88">
        <f t="shared" si="136"/>
        <v>0</v>
      </c>
      <c r="LXQ6" s="88">
        <f t="shared" si="136"/>
        <v>0</v>
      </c>
      <c r="LXR6" s="88">
        <f t="shared" si="136"/>
        <v>0</v>
      </c>
      <c r="LXS6" s="88">
        <f t="shared" si="136"/>
        <v>0</v>
      </c>
      <c r="LXT6" s="88">
        <f t="shared" si="136"/>
        <v>0</v>
      </c>
      <c r="LXU6" s="88">
        <f t="shared" si="136"/>
        <v>0</v>
      </c>
      <c r="LXV6" s="88">
        <f t="shared" si="136"/>
        <v>0</v>
      </c>
      <c r="LXW6" s="88">
        <f t="shared" si="136"/>
        <v>0</v>
      </c>
      <c r="LXX6" s="88">
        <f t="shared" si="136"/>
        <v>0</v>
      </c>
      <c r="LXY6" s="88">
        <f t="shared" si="136"/>
        <v>0</v>
      </c>
      <c r="LXZ6" s="88">
        <f t="shared" si="136"/>
        <v>0</v>
      </c>
      <c r="LYA6" s="88">
        <f t="shared" si="136"/>
        <v>0</v>
      </c>
      <c r="LYB6" s="88">
        <f t="shared" si="136"/>
        <v>0</v>
      </c>
      <c r="LYC6" s="88">
        <f t="shared" si="136"/>
        <v>0</v>
      </c>
      <c r="LYD6" s="88">
        <f t="shared" si="136"/>
        <v>0</v>
      </c>
      <c r="LYE6" s="88">
        <f t="shared" si="136"/>
        <v>0</v>
      </c>
      <c r="LYF6" s="88">
        <f t="shared" si="136"/>
        <v>0</v>
      </c>
      <c r="LYG6" s="88">
        <f t="shared" si="136"/>
        <v>0</v>
      </c>
      <c r="LYH6" s="88">
        <f t="shared" si="136"/>
        <v>0</v>
      </c>
      <c r="LYI6" s="88">
        <f t="shared" si="136"/>
        <v>0</v>
      </c>
      <c r="LYJ6" s="88">
        <f t="shared" si="136"/>
        <v>0</v>
      </c>
      <c r="LYK6" s="88">
        <f t="shared" si="136"/>
        <v>0</v>
      </c>
      <c r="LYL6" s="88">
        <f t="shared" si="136"/>
        <v>0</v>
      </c>
      <c r="LYM6" s="88">
        <f t="shared" si="136"/>
        <v>0</v>
      </c>
      <c r="LYN6" s="88">
        <f t="shared" si="136"/>
        <v>0</v>
      </c>
      <c r="LYO6" s="88">
        <f t="shared" si="136"/>
        <v>0</v>
      </c>
      <c r="LYP6" s="88">
        <f t="shared" si="136"/>
        <v>0</v>
      </c>
      <c r="LYQ6" s="88">
        <f t="shared" si="136"/>
        <v>0</v>
      </c>
      <c r="LYR6" s="88">
        <f t="shared" ref="LYR6:MBC6" si="137">SUM(LYS3:LYS5)</f>
        <v>0</v>
      </c>
      <c r="LYS6" s="88">
        <f t="shared" si="137"/>
        <v>0</v>
      </c>
      <c r="LYT6" s="88">
        <f t="shared" si="137"/>
        <v>0</v>
      </c>
      <c r="LYU6" s="88">
        <f t="shared" si="137"/>
        <v>0</v>
      </c>
      <c r="LYV6" s="88">
        <f t="shared" si="137"/>
        <v>0</v>
      </c>
      <c r="LYW6" s="88">
        <f t="shared" si="137"/>
        <v>0</v>
      </c>
      <c r="LYX6" s="88">
        <f t="shared" si="137"/>
        <v>0</v>
      </c>
      <c r="LYY6" s="88">
        <f t="shared" si="137"/>
        <v>0</v>
      </c>
      <c r="LYZ6" s="88">
        <f t="shared" si="137"/>
        <v>0</v>
      </c>
      <c r="LZA6" s="88">
        <f t="shared" si="137"/>
        <v>0</v>
      </c>
      <c r="LZB6" s="88">
        <f t="shared" si="137"/>
        <v>0</v>
      </c>
      <c r="LZC6" s="88">
        <f t="shared" si="137"/>
        <v>0</v>
      </c>
      <c r="LZD6" s="88">
        <f t="shared" si="137"/>
        <v>0</v>
      </c>
      <c r="LZE6" s="88">
        <f t="shared" si="137"/>
        <v>0</v>
      </c>
      <c r="LZF6" s="88">
        <f t="shared" si="137"/>
        <v>0</v>
      </c>
      <c r="LZG6" s="88">
        <f t="shared" si="137"/>
        <v>0</v>
      </c>
      <c r="LZH6" s="88">
        <f t="shared" si="137"/>
        <v>0</v>
      </c>
      <c r="LZI6" s="88">
        <f t="shared" si="137"/>
        <v>0</v>
      </c>
      <c r="LZJ6" s="88">
        <f t="shared" si="137"/>
        <v>0</v>
      </c>
      <c r="LZK6" s="88">
        <f t="shared" si="137"/>
        <v>0</v>
      </c>
      <c r="LZL6" s="88">
        <f t="shared" si="137"/>
        <v>0</v>
      </c>
      <c r="LZM6" s="88">
        <f t="shared" si="137"/>
        <v>0</v>
      </c>
      <c r="LZN6" s="88">
        <f t="shared" si="137"/>
        <v>0</v>
      </c>
      <c r="LZO6" s="88">
        <f t="shared" si="137"/>
        <v>0</v>
      </c>
      <c r="LZP6" s="88">
        <f t="shared" si="137"/>
        <v>0</v>
      </c>
      <c r="LZQ6" s="88">
        <f t="shared" si="137"/>
        <v>0</v>
      </c>
      <c r="LZR6" s="88">
        <f t="shared" si="137"/>
        <v>0</v>
      </c>
      <c r="LZS6" s="88">
        <f t="shared" si="137"/>
        <v>0</v>
      </c>
      <c r="LZT6" s="88">
        <f t="shared" si="137"/>
        <v>0</v>
      </c>
      <c r="LZU6" s="88">
        <f t="shared" si="137"/>
        <v>0</v>
      </c>
      <c r="LZV6" s="88">
        <f t="shared" si="137"/>
        <v>0</v>
      </c>
      <c r="LZW6" s="88">
        <f t="shared" si="137"/>
        <v>0</v>
      </c>
      <c r="LZX6" s="88">
        <f t="shared" si="137"/>
        <v>0</v>
      </c>
      <c r="LZY6" s="88">
        <f t="shared" si="137"/>
        <v>0</v>
      </c>
      <c r="LZZ6" s="88">
        <f t="shared" si="137"/>
        <v>0</v>
      </c>
      <c r="MAA6" s="88">
        <f t="shared" si="137"/>
        <v>0</v>
      </c>
      <c r="MAB6" s="88">
        <f t="shared" si="137"/>
        <v>0</v>
      </c>
      <c r="MAC6" s="88">
        <f t="shared" si="137"/>
        <v>0</v>
      </c>
      <c r="MAD6" s="88">
        <f t="shared" si="137"/>
        <v>0</v>
      </c>
      <c r="MAE6" s="88">
        <f t="shared" si="137"/>
        <v>0</v>
      </c>
      <c r="MAF6" s="88">
        <f t="shared" si="137"/>
        <v>0</v>
      </c>
      <c r="MAG6" s="88">
        <f t="shared" si="137"/>
        <v>0</v>
      </c>
      <c r="MAH6" s="88">
        <f t="shared" si="137"/>
        <v>0</v>
      </c>
      <c r="MAI6" s="88">
        <f t="shared" si="137"/>
        <v>0</v>
      </c>
      <c r="MAJ6" s="88">
        <f t="shared" si="137"/>
        <v>0</v>
      </c>
      <c r="MAK6" s="88">
        <f t="shared" si="137"/>
        <v>0</v>
      </c>
      <c r="MAL6" s="88">
        <f t="shared" si="137"/>
        <v>0</v>
      </c>
      <c r="MAM6" s="88">
        <f t="shared" si="137"/>
        <v>0</v>
      </c>
      <c r="MAN6" s="88">
        <f t="shared" si="137"/>
        <v>0</v>
      </c>
      <c r="MAO6" s="88">
        <f t="shared" si="137"/>
        <v>0</v>
      </c>
      <c r="MAP6" s="88">
        <f t="shared" si="137"/>
        <v>0</v>
      </c>
      <c r="MAQ6" s="88">
        <f t="shared" si="137"/>
        <v>0</v>
      </c>
      <c r="MAR6" s="88">
        <f t="shared" si="137"/>
        <v>0</v>
      </c>
      <c r="MAS6" s="88">
        <f t="shared" si="137"/>
        <v>0</v>
      </c>
      <c r="MAT6" s="88">
        <f t="shared" si="137"/>
        <v>0</v>
      </c>
      <c r="MAU6" s="88">
        <f t="shared" si="137"/>
        <v>0</v>
      </c>
      <c r="MAV6" s="88">
        <f t="shared" si="137"/>
        <v>0</v>
      </c>
      <c r="MAW6" s="88">
        <f t="shared" si="137"/>
        <v>0</v>
      </c>
      <c r="MAX6" s="88">
        <f t="shared" si="137"/>
        <v>0</v>
      </c>
      <c r="MAY6" s="88">
        <f t="shared" si="137"/>
        <v>0</v>
      </c>
      <c r="MAZ6" s="88">
        <f t="shared" si="137"/>
        <v>0</v>
      </c>
      <c r="MBA6" s="88">
        <f t="shared" si="137"/>
        <v>0</v>
      </c>
      <c r="MBB6" s="88">
        <f t="shared" si="137"/>
        <v>0</v>
      </c>
      <c r="MBC6" s="88">
        <f t="shared" si="137"/>
        <v>0</v>
      </c>
      <c r="MBD6" s="88">
        <f t="shared" ref="MBD6:MDO6" si="138">SUM(MBE3:MBE5)</f>
        <v>0</v>
      </c>
      <c r="MBE6" s="88">
        <f t="shared" si="138"/>
        <v>0</v>
      </c>
      <c r="MBF6" s="88">
        <f t="shared" si="138"/>
        <v>0</v>
      </c>
      <c r="MBG6" s="88">
        <f t="shared" si="138"/>
        <v>0</v>
      </c>
      <c r="MBH6" s="88">
        <f t="shared" si="138"/>
        <v>0</v>
      </c>
      <c r="MBI6" s="88">
        <f t="shared" si="138"/>
        <v>0</v>
      </c>
      <c r="MBJ6" s="88">
        <f t="shared" si="138"/>
        <v>0</v>
      </c>
      <c r="MBK6" s="88">
        <f t="shared" si="138"/>
        <v>0</v>
      </c>
      <c r="MBL6" s="88">
        <f t="shared" si="138"/>
        <v>0</v>
      </c>
      <c r="MBM6" s="88">
        <f t="shared" si="138"/>
        <v>0</v>
      </c>
      <c r="MBN6" s="88">
        <f t="shared" si="138"/>
        <v>0</v>
      </c>
      <c r="MBO6" s="88">
        <f t="shared" si="138"/>
        <v>0</v>
      </c>
      <c r="MBP6" s="88">
        <f t="shared" si="138"/>
        <v>0</v>
      </c>
      <c r="MBQ6" s="88">
        <f t="shared" si="138"/>
        <v>0</v>
      </c>
      <c r="MBR6" s="88">
        <f t="shared" si="138"/>
        <v>0</v>
      </c>
      <c r="MBS6" s="88">
        <f t="shared" si="138"/>
        <v>0</v>
      </c>
      <c r="MBT6" s="88">
        <f t="shared" si="138"/>
        <v>0</v>
      </c>
      <c r="MBU6" s="88">
        <f t="shared" si="138"/>
        <v>0</v>
      </c>
      <c r="MBV6" s="88">
        <f t="shared" si="138"/>
        <v>0</v>
      </c>
      <c r="MBW6" s="88">
        <f t="shared" si="138"/>
        <v>0</v>
      </c>
      <c r="MBX6" s="88">
        <f t="shared" si="138"/>
        <v>0</v>
      </c>
      <c r="MBY6" s="88">
        <f t="shared" si="138"/>
        <v>0</v>
      </c>
      <c r="MBZ6" s="88">
        <f t="shared" si="138"/>
        <v>0</v>
      </c>
      <c r="MCA6" s="88">
        <f t="shared" si="138"/>
        <v>0</v>
      </c>
      <c r="MCB6" s="88">
        <f t="shared" si="138"/>
        <v>0</v>
      </c>
      <c r="MCC6" s="88">
        <f t="shared" si="138"/>
        <v>0</v>
      </c>
      <c r="MCD6" s="88">
        <f t="shared" si="138"/>
        <v>0</v>
      </c>
      <c r="MCE6" s="88">
        <f t="shared" si="138"/>
        <v>0</v>
      </c>
      <c r="MCF6" s="88">
        <f t="shared" si="138"/>
        <v>0</v>
      </c>
      <c r="MCG6" s="88">
        <f t="shared" si="138"/>
        <v>0</v>
      </c>
      <c r="MCH6" s="88">
        <f t="shared" si="138"/>
        <v>0</v>
      </c>
      <c r="MCI6" s="88">
        <f t="shared" si="138"/>
        <v>0</v>
      </c>
      <c r="MCJ6" s="88">
        <f t="shared" si="138"/>
        <v>0</v>
      </c>
      <c r="MCK6" s="88">
        <f t="shared" si="138"/>
        <v>0</v>
      </c>
      <c r="MCL6" s="88">
        <f t="shared" si="138"/>
        <v>0</v>
      </c>
      <c r="MCM6" s="88">
        <f t="shared" si="138"/>
        <v>0</v>
      </c>
      <c r="MCN6" s="88">
        <f t="shared" si="138"/>
        <v>0</v>
      </c>
      <c r="MCO6" s="88">
        <f t="shared" si="138"/>
        <v>0</v>
      </c>
      <c r="MCP6" s="88">
        <f t="shared" si="138"/>
        <v>0</v>
      </c>
      <c r="MCQ6" s="88">
        <f t="shared" si="138"/>
        <v>0</v>
      </c>
      <c r="MCR6" s="88">
        <f t="shared" si="138"/>
        <v>0</v>
      </c>
      <c r="MCS6" s="88">
        <f t="shared" si="138"/>
        <v>0</v>
      </c>
      <c r="MCT6" s="88">
        <f t="shared" si="138"/>
        <v>0</v>
      </c>
      <c r="MCU6" s="88">
        <f t="shared" si="138"/>
        <v>0</v>
      </c>
      <c r="MCV6" s="88">
        <f t="shared" si="138"/>
        <v>0</v>
      </c>
      <c r="MCW6" s="88">
        <f t="shared" si="138"/>
        <v>0</v>
      </c>
      <c r="MCX6" s="88">
        <f t="shared" si="138"/>
        <v>0</v>
      </c>
      <c r="MCY6" s="88">
        <f t="shared" si="138"/>
        <v>0</v>
      </c>
      <c r="MCZ6" s="88">
        <f t="shared" si="138"/>
        <v>0</v>
      </c>
      <c r="MDA6" s="88">
        <f t="shared" si="138"/>
        <v>0</v>
      </c>
      <c r="MDB6" s="88">
        <f t="shared" si="138"/>
        <v>0</v>
      </c>
      <c r="MDC6" s="88">
        <f t="shared" si="138"/>
        <v>0</v>
      </c>
      <c r="MDD6" s="88">
        <f t="shared" si="138"/>
        <v>0</v>
      </c>
      <c r="MDE6" s="88">
        <f t="shared" si="138"/>
        <v>0</v>
      </c>
      <c r="MDF6" s="88">
        <f t="shared" si="138"/>
        <v>0</v>
      </c>
      <c r="MDG6" s="88">
        <f t="shared" si="138"/>
        <v>0</v>
      </c>
      <c r="MDH6" s="88">
        <f t="shared" si="138"/>
        <v>0</v>
      </c>
      <c r="MDI6" s="88">
        <f t="shared" si="138"/>
        <v>0</v>
      </c>
      <c r="MDJ6" s="88">
        <f t="shared" si="138"/>
        <v>0</v>
      </c>
      <c r="MDK6" s="88">
        <f t="shared" si="138"/>
        <v>0</v>
      </c>
      <c r="MDL6" s="88">
        <f t="shared" si="138"/>
        <v>0</v>
      </c>
      <c r="MDM6" s="88">
        <f t="shared" si="138"/>
        <v>0</v>
      </c>
      <c r="MDN6" s="88">
        <f t="shared" si="138"/>
        <v>0</v>
      </c>
      <c r="MDO6" s="88">
        <f t="shared" si="138"/>
        <v>0</v>
      </c>
      <c r="MDP6" s="88">
        <f t="shared" ref="MDP6:MGA6" si="139">SUM(MDQ3:MDQ5)</f>
        <v>0</v>
      </c>
      <c r="MDQ6" s="88">
        <f t="shared" si="139"/>
        <v>0</v>
      </c>
      <c r="MDR6" s="88">
        <f t="shared" si="139"/>
        <v>0</v>
      </c>
      <c r="MDS6" s="88">
        <f t="shared" si="139"/>
        <v>0</v>
      </c>
      <c r="MDT6" s="88">
        <f t="shared" si="139"/>
        <v>0</v>
      </c>
      <c r="MDU6" s="88">
        <f t="shared" si="139"/>
        <v>0</v>
      </c>
      <c r="MDV6" s="88">
        <f t="shared" si="139"/>
        <v>0</v>
      </c>
      <c r="MDW6" s="88">
        <f t="shared" si="139"/>
        <v>0</v>
      </c>
      <c r="MDX6" s="88">
        <f t="shared" si="139"/>
        <v>0</v>
      </c>
      <c r="MDY6" s="88">
        <f t="shared" si="139"/>
        <v>0</v>
      </c>
      <c r="MDZ6" s="88">
        <f t="shared" si="139"/>
        <v>0</v>
      </c>
      <c r="MEA6" s="88">
        <f t="shared" si="139"/>
        <v>0</v>
      </c>
      <c r="MEB6" s="88">
        <f t="shared" si="139"/>
        <v>0</v>
      </c>
      <c r="MEC6" s="88">
        <f t="shared" si="139"/>
        <v>0</v>
      </c>
      <c r="MED6" s="88">
        <f t="shared" si="139"/>
        <v>0</v>
      </c>
      <c r="MEE6" s="88">
        <f t="shared" si="139"/>
        <v>0</v>
      </c>
      <c r="MEF6" s="88">
        <f t="shared" si="139"/>
        <v>0</v>
      </c>
      <c r="MEG6" s="88">
        <f t="shared" si="139"/>
        <v>0</v>
      </c>
      <c r="MEH6" s="88">
        <f t="shared" si="139"/>
        <v>0</v>
      </c>
      <c r="MEI6" s="88">
        <f t="shared" si="139"/>
        <v>0</v>
      </c>
      <c r="MEJ6" s="88">
        <f t="shared" si="139"/>
        <v>0</v>
      </c>
      <c r="MEK6" s="88">
        <f t="shared" si="139"/>
        <v>0</v>
      </c>
      <c r="MEL6" s="88">
        <f t="shared" si="139"/>
        <v>0</v>
      </c>
      <c r="MEM6" s="88">
        <f t="shared" si="139"/>
        <v>0</v>
      </c>
      <c r="MEN6" s="88">
        <f t="shared" si="139"/>
        <v>0</v>
      </c>
      <c r="MEO6" s="88">
        <f t="shared" si="139"/>
        <v>0</v>
      </c>
      <c r="MEP6" s="88">
        <f t="shared" si="139"/>
        <v>0</v>
      </c>
      <c r="MEQ6" s="88">
        <f t="shared" si="139"/>
        <v>0</v>
      </c>
      <c r="MER6" s="88">
        <f t="shared" si="139"/>
        <v>0</v>
      </c>
      <c r="MES6" s="88">
        <f t="shared" si="139"/>
        <v>0</v>
      </c>
      <c r="MET6" s="88">
        <f t="shared" si="139"/>
        <v>0</v>
      </c>
      <c r="MEU6" s="88">
        <f t="shared" si="139"/>
        <v>0</v>
      </c>
      <c r="MEV6" s="88">
        <f t="shared" si="139"/>
        <v>0</v>
      </c>
      <c r="MEW6" s="88">
        <f t="shared" si="139"/>
        <v>0</v>
      </c>
      <c r="MEX6" s="88">
        <f t="shared" si="139"/>
        <v>0</v>
      </c>
      <c r="MEY6" s="88">
        <f t="shared" si="139"/>
        <v>0</v>
      </c>
      <c r="MEZ6" s="88">
        <f t="shared" si="139"/>
        <v>0</v>
      </c>
      <c r="MFA6" s="88">
        <f t="shared" si="139"/>
        <v>0</v>
      </c>
      <c r="MFB6" s="88">
        <f t="shared" si="139"/>
        <v>0</v>
      </c>
      <c r="MFC6" s="88">
        <f t="shared" si="139"/>
        <v>0</v>
      </c>
      <c r="MFD6" s="88">
        <f t="shared" si="139"/>
        <v>0</v>
      </c>
      <c r="MFE6" s="88">
        <f t="shared" si="139"/>
        <v>0</v>
      </c>
      <c r="MFF6" s="88">
        <f t="shared" si="139"/>
        <v>0</v>
      </c>
      <c r="MFG6" s="88">
        <f t="shared" si="139"/>
        <v>0</v>
      </c>
      <c r="MFH6" s="88">
        <f t="shared" si="139"/>
        <v>0</v>
      </c>
      <c r="MFI6" s="88">
        <f t="shared" si="139"/>
        <v>0</v>
      </c>
      <c r="MFJ6" s="88">
        <f t="shared" si="139"/>
        <v>0</v>
      </c>
      <c r="MFK6" s="88">
        <f t="shared" si="139"/>
        <v>0</v>
      </c>
      <c r="MFL6" s="88">
        <f t="shared" si="139"/>
        <v>0</v>
      </c>
      <c r="MFM6" s="88">
        <f t="shared" si="139"/>
        <v>0</v>
      </c>
      <c r="MFN6" s="88">
        <f t="shared" si="139"/>
        <v>0</v>
      </c>
      <c r="MFO6" s="88">
        <f t="shared" si="139"/>
        <v>0</v>
      </c>
      <c r="MFP6" s="88">
        <f t="shared" si="139"/>
        <v>0</v>
      </c>
      <c r="MFQ6" s="88">
        <f t="shared" si="139"/>
        <v>0</v>
      </c>
      <c r="MFR6" s="88">
        <f t="shared" si="139"/>
        <v>0</v>
      </c>
      <c r="MFS6" s="88">
        <f t="shared" si="139"/>
        <v>0</v>
      </c>
      <c r="MFT6" s="88">
        <f t="shared" si="139"/>
        <v>0</v>
      </c>
      <c r="MFU6" s="88">
        <f t="shared" si="139"/>
        <v>0</v>
      </c>
      <c r="MFV6" s="88">
        <f t="shared" si="139"/>
        <v>0</v>
      </c>
      <c r="MFW6" s="88">
        <f t="shared" si="139"/>
        <v>0</v>
      </c>
      <c r="MFX6" s="88">
        <f t="shared" si="139"/>
        <v>0</v>
      </c>
      <c r="MFY6" s="88">
        <f t="shared" si="139"/>
        <v>0</v>
      </c>
      <c r="MFZ6" s="88">
        <f t="shared" si="139"/>
        <v>0</v>
      </c>
      <c r="MGA6" s="88">
        <f t="shared" si="139"/>
        <v>0</v>
      </c>
      <c r="MGB6" s="88">
        <f t="shared" ref="MGB6:MIM6" si="140">SUM(MGC3:MGC5)</f>
        <v>0</v>
      </c>
      <c r="MGC6" s="88">
        <f t="shared" si="140"/>
        <v>0</v>
      </c>
      <c r="MGD6" s="88">
        <f t="shared" si="140"/>
        <v>0</v>
      </c>
      <c r="MGE6" s="88">
        <f t="shared" si="140"/>
        <v>0</v>
      </c>
      <c r="MGF6" s="88">
        <f t="shared" si="140"/>
        <v>0</v>
      </c>
      <c r="MGG6" s="88">
        <f t="shared" si="140"/>
        <v>0</v>
      </c>
      <c r="MGH6" s="88">
        <f t="shared" si="140"/>
        <v>0</v>
      </c>
      <c r="MGI6" s="88">
        <f t="shared" si="140"/>
        <v>0</v>
      </c>
      <c r="MGJ6" s="88">
        <f t="shared" si="140"/>
        <v>0</v>
      </c>
      <c r="MGK6" s="88">
        <f t="shared" si="140"/>
        <v>0</v>
      </c>
      <c r="MGL6" s="88">
        <f t="shared" si="140"/>
        <v>0</v>
      </c>
      <c r="MGM6" s="88">
        <f t="shared" si="140"/>
        <v>0</v>
      </c>
      <c r="MGN6" s="88">
        <f t="shared" si="140"/>
        <v>0</v>
      </c>
      <c r="MGO6" s="88">
        <f t="shared" si="140"/>
        <v>0</v>
      </c>
      <c r="MGP6" s="88">
        <f t="shared" si="140"/>
        <v>0</v>
      </c>
      <c r="MGQ6" s="88">
        <f t="shared" si="140"/>
        <v>0</v>
      </c>
      <c r="MGR6" s="88">
        <f t="shared" si="140"/>
        <v>0</v>
      </c>
      <c r="MGS6" s="88">
        <f t="shared" si="140"/>
        <v>0</v>
      </c>
      <c r="MGT6" s="88">
        <f t="shared" si="140"/>
        <v>0</v>
      </c>
      <c r="MGU6" s="88">
        <f t="shared" si="140"/>
        <v>0</v>
      </c>
      <c r="MGV6" s="88">
        <f t="shared" si="140"/>
        <v>0</v>
      </c>
      <c r="MGW6" s="88">
        <f t="shared" si="140"/>
        <v>0</v>
      </c>
      <c r="MGX6" s="88">
        <f t="shared" si="140"/>
        <v>0</v>
      </c>
      <c r="MGY6" s="88">
        <f t="shared" si="140"/>
        <v>0</v>
      </c>
      <c r="MGZ6" s="88">
        <f t="shared" si="140"/>
        <v>0</v>
      </c>
      <c r="MHA6" s="88">
        <f t="shared" si="140"/>
        <v>0</v>
      </c>
      <c r="MHB6" s="88">
        <f t="shared" si="140"/>
        <v>0</v>
      </c>
      <c r="MHC6" s="88">
        <f t="shared" si="140"/>
        <v>0</v>
      </c>
      <c r="MHD6" s="88">
        <f t="shared" si="140"/>
        <v>0</v>
      </c>
      <c r="MHE6" s="88">
        <f t="shared" si="140"/>
        <v>0</v>
      </c>
      <c r="MHF6" s="88">
        <f t="shared" si="140"/>
        <v>0</v>
      </c>
      <c r="MHG6" s="88">
        <f t="shared" si="140"/>
        <v>0</v>
      </c>
      <c r="MHH6" s="88">
        <f t="shared" si="140"/>
        <v>0</v>
      </c>
      <c r="MHI6" s="88">
        <f t="shared" si="140"/>
        <v>0</v>
      </c>
      <c r="MHJ6" s="88">
        <f t="shared" si="140"/>
        <v>0</v>
      </c>
      <c r="MHK6" s="88">
        <f t="shared" si="140"/>
        <v>0</v>
      </c>
      <c r="MHL6" s="88">
        <f t="shared" si="140"/>
        <v>0</v>
      </c>
      <c r="MHM6" s="88">
        <f t="shared" si="140"/>
        <v>0</v>
      </c>
      <c r="MHN6" s="88">
        <f t="shared" si="140"/>
        <v>0</v>
      </c>
      <c r="MHO6" s="88">
        <f t="shared" si="140"/>
        <v>0</v>
      </c>
      <c r="MHP6" s="88">
        <f t="shared" si="140"/>
        <v>0</v>
      </c>
      <c r="MHQ6" s="88">
        <f t="shared" si="140"/>
        <v>0</v>
      </c>
      <c r="MHR6" s="88">
        <f t="shared" si="140"/>
        <v>0</v>
      </c>
      <c r="MHS6" s="88">
        <f t="shared" si="140"/>
        <v>0</v>
      </c>
      <c r="MHT6" s="88">
        <f t="shared" si="140"/>
        <v>0</v>
      </c>
      <c r="MHU6" s="88">
        <f t="shared" si="140"/>
        <v>0</v>
      </c>
      <c r="MHV6" s="88">
        <f t="shared" si="140"/>
        <v>0</v>
      </c>
      <c r="MHW6" s="88">
        <f t="shared" si="140"/>
        <v>0</v>
      </c>
      <c r="MHX6" s="88">
        <f t="shared" si="140"/>
        <v>0</v>
      </c>
      <c r="MHY6" s="88">
        <f t="shared" si="140"/>
        <v>0</v>
      </c>
      <c r="MHZ6" s="88">
        <f t="shared" si="140"/>
        <v>0</v>
      </c>
      <c r="MIA6" s="88">
        <f t="shared" si="140"/>
        <v>0</v>
      </c>
      <c r="MIB6" s="88">
        <f t="shared" si="140"/>
        <v>0</v>
      </c>
      <c r="MIC6" s="88">
        <f t="shared" si="140"/>
        <v>0</v>
      </c>
      <c r="MID6" s="88">
        <f t="shared" si="140"/>
        <v>0</v>
      </c>
      <c r="MIE6" s="88">
        <f t="shared" si="140"/>
        <v>0</v>
      </c>
      <c r="MIF6" s="88">
        <f t="shared" si="140"/>
        <v>0</v>
      </c>
      <c r="MIG6" s="88">
        <f t="shared" si="140"/>
        <v>0</v>
      </c>
      <c r="MIH6" s="88">
        <f t="shared" si="140"/>
        <v>0</v>
      </c>
      <c r="MII6" s="88">
        <f t="shared" si="140"/>
        <v>0</v>
      </c>
      <c r="MIJ6" s="88">
        <f t="shared" si="140"/>
        <v>0</v>
      </c>
      <c r="MIK6" s="88">
        <f t="shared" si="140"/>
        <v>0</v>
      </c>
      <c r="MIL6" s="88">
        <f t="shared" si="140"/>
        <v>0</v>
      </c>
      <c r="MIM6" s="88">
        <f t="shared" si="140"/>
        <v>0</v>
      </c>
      <c r="MIN6" s="88">
        <f t="shared" ref="MIN6:MKY6" si="141">SUM(MIO3:MIO5)</f>
        <v>0</v>
      </c>
      <c r="MIO6" s="88">
        <f t="shared" si="141"/>
        <v>0</v>
      </c>
      <c r="MIP6" s="88">
        <f t="shared" si="141"/>
        <v>0</v>
      </c>
      <c r="MIQ6" s="88">
        <f t="shared" si="141"/>
        <v>0</v>
      </c>
      <c r="MIR6" s="88">
        <f t="shared" si="141"/>
        <v>0</v>
      </c>
      <c r="MIS6" s="88">
        <f t="shared" si="141"/>
        <v>0</v>
      </c>
      <c r="MIT6" s="88">
        <f t="shared" si="141"/>
        <v>0</v>
      </c>
      <c r="MIU6" s="88">
        <f t="shared" si="141"/>
        <v>0</v>
      </c>
      <c r="MIV6" s="88">
        <f t="shared" si="141"/>
        <v>0</v>
      </c>
      <c r="MIW6" s="88">
        <f t="shared" si="141"/>
        <v>0</v>
      </c>
      <c r="MIX6" s="88">
        <f t="shared" si="141"/>
        <v>0</v>
      </c>
      <c r="MIY6" s="88">
        <f t="shared" si="141"/>
        <v>0</v>
      </c>
      <c r="MIZ6" s="88">
        <f t="shared" si="141"/>
        <v>0</v>
      </c>
      <c r="MJA6" s="88">
        <f t="shared" si="141"/>
        <v>0</v>
      </c>
      <c r="MJB6" s="88">
        <f t="shared" si="141"/>
        <v>0</v>
      </c>
      <c r="MJC6" s="88">
        <f t="shared" si="141"/>
        <v>0</v>
      </c>
      <c r="MJD6" s="88">
        <f t="shared" si="141"/>
        <v>0</v>
      </c>
      <c r="MJE6" s="88">
        <f t="shared" si="141"/>
        <v>0</v>
      </c>
      <c r="MJF6" s="88">
        <f t="shared" si="141"/>
        <v>0</v>
      </c>
      <c r="MJG6" s="88">
        <f t="shared" si="141"/>
        <v>0</v>
      </c>
      <c r="MJH6" s="88">
        <f t="shared" si="141"/>
        <v>0</v>
      </c>
      <c r="MJI6" s="88">
        <f t="shared" si="141"/>
        <v>0</v>
      </c>
      <c r="MJJ6" s="88">
        <f t="shared" si="141"/>
        <v>0</v>
      </c>
      <c r="MJK6" s="88">
        <f t="shared" si="141"/>
        <v>0</v>
      </c>
      <c r="MJL6" s="88">
        <f t="shared" si="141"/>
        <v>0</v>
      </c>
      <c r="MJM6" s="88">
        <f t="shared" si="141"/>
        <v>0</v>
      </c>
      <c r="MJN6" s="88">
        <f t="shared" si="141"/>
        <v>0</v>
      </c>
      <c r="MJO6" s="88">
        <f t="shared" si="141"/>
        <v>0</v>
      </c>
      <c r="MJP6" s="88">
        <f t="shared" si="141"/>
        <v>0</v>
      </c>
      <c r="MJQ6" s="88">
        <f t="shared" si="141"/>
        <v>0</v>
      </c>
      <c r="MJR6" s="88">
        <f t="shared" si="141"/>
        <v>0</v>
      </c>
      <c r="MJS6" s="88">
        <f t="shared" si="141"/>
        <v>0</v>
      </c>
      <c r="MJT6" s="88">
        <f t="shared" si="141"/>
        <v>0</v>
      </c>
      <c r="MJU6" s="88">
        <f t="shared" si="141"/>
        <v>0</v>
      </c>
      <c r="MJV6" s="88">
        <f t="shared" si="141"/>
        <v>0</v>
      </c>
      <c r="MJW6" s="88">
        <f t="shared" si="141"/>
        <v>0</v>
      </c>
      <c r="MJX6" s="88">
        <f t="shared" si="141"/>
        <v>0</v>
      </c>
      <c r="MJY6" s="88">
        <f t="shared" si="141"/>
        <v>0</v>
      </c>
      <c r="MJZ6" s="88">
        <f t="shared" si="141"/>
        <v>0</v>
      </c>
      <c r="MKA6" s="88">
        <f t="shared" si="141"/>
        <v>0</v>
      </c>
      <c r="MKB6" s="88">
        <f t="shared" si="141"/>
        <v>0</v>
      </c>
      <c r="MKC6" s="88">
        <f t="shared" si="141"/>
        <v>0</v>
      </c>
      <c r="MKD6" s="88">
        <f t="shared" si="141"/>
        <v>0</v>
      </c>
      <c r="MKE6" s="88">
        <f t="shared" si="141"/>
        <v>0</v>
      </c>
      <c r="MKF6" s="88">
        <f t="shared" si="141"/>
        <v>0</v>
      </c>
      <c r="MKG6" s="88">
        <f t="shared" si="141"/>
        <v>0</v>
      </c>
      <c r="MKH6" s="88">
        <f t="shared" si="141"/>
        <v>0</v>
      </c>
      <c r="MKI6" s="88">
        <f t="shared" si="141"/>
        <v>0</v>
      </c>
      <c r="MKJ6" s="88">
        <f t="shared" si="141"/>
        <v>0</v>
      </c>
      <c r="MKK6" s="88">
        <f t="shared" si="141"/>
        <v>0</v>
      </c>
      <c r="MKL6" s="88">
        <f t="shared" si="141"/>
        <v>0</v>
      </c>
      <c r="MKM6" s="88">
        <f t="shared" si="141"/>
        <v>0</v>
      </c>
      <c r="MKN6" s="88">
        <f t="shared" si="141"/>
        <v>0</v>
      </c>
      <c r="MKO6" s="88">
        <f t="shared" si="141"/>
        <v>0</v>
      </c>
      <c r="MKP6" s="88">
        <f t="shared" si="141"/>
        <v>0</v>
      </c>
      <c r="MKQ6" s="88">
        <f t="shared" si="141"/>
        <v>0</v>
      </c>
      <c r="MKR6" s="88">
        <f t="shared" si="141"/>
        <v>0</v>
      </c>
      <c r="MKS6" s="88">
        <f t="shared" si="141"/>
        <v>0</v>
      </c>
      <c r="MKT6" s="88">
        <f t="shared" si="141"/>
        <v>0</v>
      </c>
      <c r="MKU6" s="88">
        <f t="shared" si="141"/>
        <v>0</v>
      </c>
      <c r="MKV6" s="88">
        <f t="shared" si="141"/>
        <v>0</v>
      </c>
      <c r="MKW6" s="88">
        <f t="shared" si="141"/>
        <v>0</v>
      </c>
      <c r="MKX6" s="88">
        <f t="shared" si="141"/>
        <v>0</v>
      </c>
      <c r="MKY6" s="88">
        <f t="shared" si="141"/>
        <v>0</v>
      </c>
      <c r="MKZ6" s="88">
        <f t="shared" ref="MKZ6:MNK6" si="142">SUM(MLA3:MLA5)</f>
        <v>0</v>
      </c>
      <c r="MLA6" s="88">
        <f t="shared" si="142"/>
        <v>0</v>
      </c>
      <c r="MLB6" s="88">
        <f t="shared" si="142"/>
        <v>0</v>
      </c>
      <c r="MLC6" s="88">
        <f t="shared" si="142"/>
        <v>0</v>
      </c>
      <c r="MLD6" s="88">
        <f t="shared" si="142"/>
        <v>0</v>
      </c>
      <c r="MLE6" s="88">
        <f t="shared" si="142"/>
        <v>0</v>
      </c>
      <c r="MLF6" s="88">
        <f t="shared" si="142"/>
        <v>0</v>
      </c>
      <c r="MLG6" s="88">
        <f t="shared" si="142"/>
        <v>0</v>
      </c>
      <c r="MLH6" s="88">
        <f t="shared" si="142"/>
        <v>0</v>
      </c>
      <c r="MLI6" s="88">
        <f t="shared" si="142"/>
        <v>0</v>
      </c>
      <c r="MLJ6" s="88">
        <f t="shared" si="142"/>
        <v>0</v>
      </c>
      <c r="MLK6" s="88">
        <f t="shared" si="142"/>
        <v>0</v>
      </c>
      <c r="MLL6" s="88">
        <f t="shared" si="142"/>
        <v>0</v>
      </c>
      <c r="MLM6" s="88">
        <f t="shared" si="142"/>
        <v>0</v>
      </c>
      <c r="MLN6" s="88">
        <f t="shared" si="142"/>
        <v>0</v>
      </c>
      <c r="MLO6" s="88">
        <f t="shared" si="142"/>
        <v>0</v>
      </c>
      <c r="MLP6" s="88">
        <f t="shared" si="142"/>
        <v>0</v>
      </c>
      <c r="MLQ6" s="88">
        <f t="shared" si="142"/>
        <v>0</v>
      </c>
      <c r="MLR6" s="88">
        <f t="shared" si="142"/>
        <v>0</v>
      </c>
      <c r="MLS6" s="88">
        <f t="shared" si="142"/>
        <v>0</v>
      </c>
      <c r="MLT6" s="88">
        <f t="shared" si="142"/>
        <v>0</v>
      </c>
      <c r="MLU6" s="88">
        <f t="shared" si="142"/>
        <v>0</v>
      </c>
      <c r="MLV6" s="88">
        <f t="shared" si="142"/>
        <v>0</v>
      </c>
      <c r="MLW6" s="88">
        <f t="shared" si="142"/>
        <v>0</v>
      </c>
      <c r="MLX6" s="88">
        <f t="shared" si="142"/>
        <v>0</v>
      </c>
      <c r="MLY6" s="88">
        <f t="shared" si="142"/>
        <v>0</v>
      </c>
      <c r="MLZ6" s="88">
        <f t="shared" si="142"/>
        <v>0</v>
      </c>
      <c r="MMA6" s="88">
        <f t="shared" si="142"/>
        <v>0</v>
      </c>
      <c r="MMB6" s="88">
        <f t="shared" si="142"/>
        <v>0</v>
      </c>
      <c r="MMC6" s="88">
        <f t="shared" si="142"/>
        <v>0</v>
      </c>
      <c r="MMD6" s="88">
        <f t="shared" si="142"/>
        <v>0</v>
      </c>
      <c r="MME6" s="88">
        <f t="shared" si="142"/>
        <v>0</v>
      </c>
      <c r="MMF6" s="88">
        <f t="shared" si="142"/>
        <v>0</v>
      </c>
      <c r="MMG6" s="88">
        <f t="shared" si="142"/>
        <v>0</v>
      </c>
      <c r="MMH6" s="88">
        <f t="shared" si="142"/>
        <v>0</v>
      </c>
      <c r="MMI6" s="88">
        <f t="shared" si="142"/>
        <v>0</v>
      </c>
      <c r="MMJ6" s="88">
        <f t="shared" si="142"/>
        <v>0</v>
      </c>
      <c r="MMK6" s="88">
        <f t="shared" si="142"/>
        <v>0</v>
      </c>
      <c r="MML6" s="88">
        <f t="shared" si="142"/>
        <v>0</v>
      </c>
      <c r="MMM6" s="88">
        <f t="shared" si="142"/>
        <v>0</v>
      </c>
      <c r="MMN6" s="88">
        <f t="shared" si="142"/>
        <v>0</v>
      </c>
      <c r="MMO6" s="88">
        <f t="shared" si="142"/>
        <v>0</v>
      </c>
      <c r="MMP6" s="88">
        <f t="shared" si="142"/>
        <v>0</v>
      </c>
      <c r="MMQ6" s="88">
        <f t="shared" si="142"/>
        <v>0</v>
      </c>
      <c r="MMR6" s="88">
        <f t="shared" si="142"/>
        <v>0</v>
      </c>
      <c r="MMS6" s="88">
        <f t="shared" si="142"/>
        <v>0</v>
      </c>
      <c r="MMT6" s="88">
        <f t="shared" si="142"/>
        <v>0</v>
      </c>
      <c r="MMU6" s="88">
        <f t="shared" si="142"/>
        <v>0</v>
      </c>
      <c r="MMV6" s="88">
        <f t="shared" si="142"/>
        <v>0</v>
      </c>
      <c r="MMW6" s="88">
        <f t="shared" si="142"/>
        <v>0</v>
      </c>
      <c r="MMX6" s="88">
        <f t="shared" si="142"/>
        <v>0</v>
      </c>
      <c r="MMY6" s="88">
        <f t="shared" si="142"/>
        <v>0</v>
      </c>
      <c r="MMZ6" s="88">
        <f t="shared" si="142"/>
        <v>0</v>
      </c>
      <c r="MNA6" s="88">
        <f t="shared" si="142"/>
        <v>0</v>
      </c>
      <c r="MNB6" s="88">
        <f t="shared" si="142"/>
        <v>0</v>
      </c>
      <c r="MNC6" s="88">
        <f t="shared" si="142"/>
        <v>0</v>
      </c>
      <c r="MND6" s="88">
        <f t="shared" si="142"/>
        <v>0</v>
      </c>
      <c r="MNE6" s="88">
        <f t="shared" si="142"/>
        <v>0</v>
      </c>
      <c r="MNF6" s="88">
        <f t="shared" si="142"/>
        <v>0</v>
      </c>
      <c r="MNG6" s="88">
        <f t="shared" si="142"/>
        <v>0</v>
      </c>
      <c r="MNH6" s="88">
        <f t="shared" si="142"/>
        <v>0</v>
      </c>
      <c r="MNI6" s="88">
        <f t="shared" si="142"/>
        <v>0</v>
      </c>
      <c r="MNJ6" s="88">
        <f t="shared" si="142"/>
        <v>0</v>
      </c>
      <c r="MNK6" s="88">
        <f t="shared" si="142"/>
        <v>0</v>
      </c>
      <c r="MNL6" s="88">
        <f t="shared" ref="MNL6:MPW6" si="143">SUM(MNM3:MNM5)</f>
        <v>0</v>
      </c>
      <c r="MNM6" s="88">
        <f t="shared" si="143"/>
        <v>0</v>
      </c>
      <c r="MNN6" s="88">
        <f t="shared" si="143"/>
        <v>0</v>
      </c>
      <c r="MNO6" s="88">
        <f t="shared" si="143"/>
        <v>0</v>
      </c>
      <c r="MNP6" s="88">
        <f t="shared" si="143"/>
        <v>0</v>
      </c>
      <c r="MNQ6" s="88">
        <f t="shared" si="143"/>
        <v>0</v>
      </c>
      <c r="MNR6" s="88">
        <f t="shared" si="143"/>
        <v>0</v>
      </c>
      <c r="MNS6" s="88">
        <f t="shared" si="143"/>
        <v>0</v>
      </c>
      <c r="MNT6" s="88">
        <f t="shared" si="143"/>
        <v>0</v>
      </c>
      <c r="MNU6" s="88">
        <f t="shared" si="143"/>
        <v>0</v>
      </c>
      <c r="MNV6" s="88">
        <f t="shared" si="143"/>
        <v>0</v>
      </c>
      <c r="MNW6" s="88">
        <f t="shared" si="143"/>
        <v>0</v>
      </c>
      <c r="MNX6" s="88">
        <f t="shared" si="143"/>
        <v>0</v>
      </c>
      <c r="MNY6" s="88">
        <f t="shared" si="143"/>
        <v>0</v>
      </c>
      <c r="MNZ6" s="88">
        <f t="shared" si="143"/>
        <v>0</v>
      </c>
      <c r="MOA6" s="88">
        <f t="shared" si="143"/>
        <v>0</v>
      </c>
      <c r="MOB6" s="88">
        <f t="shared" si="143"/>
        <v>0</v>
      </c>
      <c r="MOC6" s="88">
        <f t="shared" si="143"/>
        <v>0</v>
      </c>
      <c r="MOD6" s="88">
        <f t="shared" si="143"/>
        <v>0</v>
      </c>
      <c r="MOE6" s="88">
        <f t="shared" si="143"/>
        <v>0</v>
      </c>
      <c r="MOF6" s="88">
        <f t="shared" si="143"/>
        <v>0</v>
      </c>
      <c r="MOG6" s="88">
        <f t="shared" si="143"/>
        <v>0</v>
      </c>
      <c r="MOH6" s="88">
        <f t="shared" si="143"/>
        <v>0</v>
      </c>
      <c r="MOI6" s="88">
        <f t="shared" si="143"/>
        <v>0</v>
      </c>
      <c r="MOJ6" s="88">
        <f t="shared" si="143"/>
        <v>0</v>
      </c>
      <c r="MOK6" s="88">
        <f t="shared" si="143"/>
        <v>0</v>
      </c>
      <c r="MOL6" s="88">
        <f t="shared" si="143"/>
        <v>0</v>
      </c>
      <c r="MOM6" s="88">
        <f t="shared" si="143"/>
        <v>0</v>
      </c>
      <c r="MON6" s="88">
        <f t="shared" si="143"/>
        <v>0</v>
      </c>
      <c r="MOO6" s="88">
        <f t="shared" si="143"/>
        <v>0</v>
      </c>
      <c r="MOP6" s="88">
        <f t="shared" si="143"/>
        <v>0</v>
      </c>
      <c r="MOQ6" s="88">
        <f t="shared" si="143"/>
        <v>0</v>
      </c>
      <c r="MOR6" s="88">
        <f t="shared" si="143"/>
        <v>0</v>
      </c>
      <c r="MOS6" s="88">
        <f t="shared" si="143"/>
        <v>0</v>
      </c>
      <c r="MOT6" s="88">
        <f t="shared" si="143"/>
        <v>0</v>
      </c>
      <c r="MOU6" s="88">
        <f t="shared" si="143"/>
        <v>0</v>
      </c>
      <c r="MOV6" s="88">
        <f t="shared" si="143"/>
        <v>0</v>
      </c>
      <c r="MOW6" s="88">
        <f t="shared" si="143"/>
        <v>0</v>
      </c>
      <c r="MOX6" s="88">
        <f t="shared" si="143"/>
        <v>0</v>
      </c>
      <c r="MOY6" s="88">
        <f t="shared" si="143"/>
        <v>0</v>
      </c>
      <c r="MOZ6" s="88">
        <f t="shared" si="143"/>
        <v>0</v>
      </c>
      <c r="MPA6" s="88">
        <f t="shared" si="143"/>
        <v>0</v>
      </c>
      <c r="MPB6" s="88">
        <f t="shared" si="143"/>
        <v>0</v>
      </c>
      <c r="MPC6" s="88">
        <f t="shared" si="143"/>
        <v>0</v>
      </c>
      <c r="MPD6" s="88">
        <f t="shared" si="143"/>
        <v>0</v>
      </c>
      <c r="MPE6" s="88">
        <f t="shared" si="143"/>
        <v>0</v>
      </c>
      <c r="MPF6" s="88">
        <f t="shared" si="143"/>
        <v>0</v>
      </c>
      <c r="MPG6" s="88">
        <f t="shared" si="143"/>
        <v>0</v>
      </c>
      <c r="MPH6" s="88">
        <f t="shared" si="143"/>
        <v>0</v>
      </c>
      <c r="MPI6" s="88">
        <f t="shared" si="143"/>
        <v>0</v>
      </c>
      <c r="MPJ6" s="88">
        <f t="shared" si="143"/>
        <v>0</v>
      </c>
      <c r="MPK6" s="88">
        <f t="shared" si="143"/>
        <v>0</v>
      </c>
      <c r="MPL6" s="88">
        <f t="shared" si="143"/>
        <v>0</v>
      </c>
      <c r="MPM6" s="88">
        <f t="shared" si="143"/>
        <v>0</v>
      </c>
      <c r="MPN6" s="88">
        <f t="shared" si="143"/>
        <v>0</v>
      </c>
      <c r="MPO6" s="88">
        <f t="shared" si="143"/>
        <v>0</v>
      </c>
      <c r="MPP6" s="88">
        <f t="shared" si="143"/>
        <v>0</v>
      </c>
      <c r="MPQ6" s="88">
        <f t="shared" si="143"/>
        <v>0</v>
      </c>
      <c r="MPR6" s="88">
        <f t="shared" si="143"/>
        <v>0</v>
      </c>
      <c r="MPS6" s="88">
        <f t="shared" si="143"/>
        <v>0</v>
      </c>
      <c r="MPT6" s="88">
        <f t="shared" si="143"/>
        <v>0</v>
      </c>
      <c r="MPU6" s="88">
        <f t="shared" si="143"/>
        <v>0</v>
      </c>
      <c r="MPV6" s="88">
        <f t="shared" si="143"/>
        <v>0</v>
      </c>
      <c r="MPW6" s="88">
        <f t="shared" si="143"/>
        <v>0</v>
      </c>
      <c r="MPX6" s="88">
        <f t="shared" ref="MPX6:MSI6" si="144">SUM(MPY3:MPY5)</f>
        <v>0</v>
      </c>
      <c r="MPY6" s="88">
        <f t="shared" si="144"/>
        <v>0</v>
      </c>
      <c r="MPZ6" s="88">
        <f t="shared" si="144"/>
        <v>0</v>
      </c>
      <c r="MQA6" s="88">
        <f t="shared" si="144"/>
        <v>0</v>
      </c>
      <c r="MQB6" s="88">
        <f t="shared" si="144"/>
        <v>0</v>
      </c>
      <c r="MQC6" s="88">
        <f t="shared" si="144"/>
        <v>0</v>
      </c>
      <c r="MQD6" s="88">
        <f t="shared" si="144"/>
        <v>0</v>
      </c>
      <c r="MQE6" s="88">
        <f t="shared" si="144"/>
        <v>0</v>
      </c>
      <c r="MQF6" s="88">
        <f t="shared" si="144"/>
        <v>0</v>
      </c>
      <c r="MQG6" s="88">
        <f t="shared" si="144"/>
        <v>0</v>
      </c>
      <c r="MQH6" s="88">
        <f t="shared" si="144"/>
        <v>0</v>
      </c>
      <c r="MQI6" s="88">
        <f t="shared" si="144"/>
        <v>0</v>
      </c>
      <c r="MQJ6" s="88">
        <f t="shared" si="144"/>
        <v>0</v>
      </c>
      <c r="MQK6" s="88">
        <f t="shared" si="144"/>
        <v>0</v>
      </c>
      <c r="MQL6" s="88">
        <f t="shared" si="144"/>
        <v>0</v>
      </c>
      <c r="MQM6" s="88">
        <f t="shared" si="144"/>
        <v>0</v>
      </c>
      <c r="MQN6" s="88">
        <f t="shared" si="144"/>
        <v>0</v>
      </c>
      <c r="MQO6" s="88">
        <f t="shared" si="144"/>
        <v>0</v>
      </c>
      <c r="MQP6" s="88">
        <f t="shared" si="144"/>
        <v>0</v>
      </c>
      <c r="MQQ6" s="88">
        <f t="shared" si="144"/>
        <v>0</v>
      </c>
      <c r="MQR6" s="88">
        <f t="shared" si="144"/>
        <v>0</v>
      </c>
      <c r="MQS6" s="88">
        <f t="shared" si="144"/>
        <v>0</v>
      </c>
      <c r="MQT6" s="88">
        <f t="shared" si="144"/>
        <v>0</v>
      </c>
      <c r="MQU6" s="88">
        <f t="shared" si="144"/>
        <v>0</v>
      </c>
      <c r="MQV6" s="88">
        <f t="shared" si="144"/>
        <v>0</v>
      </c>
      <c r="MQW6" s="88">
        <f t="shared" si="144"/>
        <v>0</v>
      </c>
      <c r="MQX6" s="88">
        <f t="shared" si="144"/>
        <v>0</v>
      </c>
      <c r="MQY6" s="88">
        <f t="shared" si="144"/>
        <v>0</v>
      </c>
      <c r="MQZ6" s="88">
        <f t="shared" si="144"/>
        <v>0</v>
      </c>
      <c r="MRA6" s="88">
        <f t="shared" si="144"/>
        <v>0</v>
      </c>
      <c r="MRB6" s="88">
        <f t="shared" si="144"/>
        <v>0</v>
      </c>
      <c r="MRC6" s="88">
        <f t="shared" si="144"/>
        <v>0</v>
      </c>
      <c r="MRD6" s="88">
        <f t="shared" si="144"/>
        <v>0</v>
      </c>
      <c r="MRE6" s="88">
        <f t="shared" si="144"/>
        <v>0</v>
      </c>
      <c r="MRF6" s="88">
        <f t="shared" si="144"/>
        <v>0</v>
      </c>
      <c r="MRG6" s="88">
        <f t="shared" si="144"/>
        <v>0</v>
      </c>
      <c r="MRH6" s="88">
        <f t="shared" si="144"/>
        <v>0</v>
      </c>
      <c r="MRI6" s="88">
        <f t="shared" si="144"/>
        <v>0</v>
      </c>
      <c r="MRJ6" s="88">
        <f t="shared" si="144"/>
        <v>0</v>
      </c>
      <c r="MRK6" s="88">
        <f t="shared" si="144"/>
        <v>0</v>
      </c>
      <c r="MRL6" s="88">
        <f t="shared" si="144"/>
        <v>0</v>
      </c>
      <c r="MRM6" s="88">
        <f t="shared" si="144"/>
        <v>0</v>
      </c>
      <c r="MRN6" s="88">
        <f t="shared" si="144"/>
        <v>0</v>
      </c>
      <c r="MRO6" s="88">
        <f t="shared" si="144"/>
        <v>0</v>
      </c>
      <c r="MRP6" s="88">
        <f t="shared" si="144"/>
        <v>0</v>
      </c>
      <c r="MRQ6" s="88">
        <f t="shared" si="144"/>
        <v>0</v>
      </c>
      <c r="MRR6" s="88">
        <f t="shared" si="144"/>
        <v>0</v>
      </c>
      <c r="MRS6" s="88">
        <f t="shared" si="144"/>
        <v>0</v>
      </c>
      <c r="MRT6" s="88">
        <f t="shared" si="144"/>
        <v>0</v>
      </c>
      <c r="MRU6" s="88">
        <f t="shared" si="144"/>
        <v>0</v>
      </c>
      <c r="MRV6" s="88">
        <f t="shared" si="144"/>
        <v>0</v>
      </c>
      <c r="MRW6" s="88">
        <f t="shared" si="144"/>
        <v>0</v>
      </c>
      <c r="MRX6" s="88">
        <f t="shared" si="144"/>
        <v>0</v>
      </c>
      <c r="MRY6" s="88">
        <f t="shared" si="144"/>
        <v>0</v>
      </c>
      <c r="MRZ6" s="88">
        <f t="shared" si="144"/>
        <v>0</v>
      </c>
      <c r="MSA6" s="88">
        <f t="shared" si="144"/>
        <v>0</v>
      </c>
      <c r="MSB6" s="88">
        <f t="shared" si="144"/>
        <v>0</v>
      </c>
      <c r="MSC6" s="88">
        <f t="shared" si="144"/>
        <v>0</v>
      </c>
      <c r="MSD6" s="88">
        <f t="shared" si="144"/>
        <v>0</v>
      </c>
      <c r="MSE6" s="88">
        <f t="shared" si="144"/>
        <v>0</v>
      </c>
      <c r="MSF6" s="88">
        <f t="shared" si="144"/>
        <v>0</v>
      </c>
      <c r="MSG6" s="88">
        <f t="shared" si="144"/>
        <v>0</v>
      </c>
      <c r="MSH6" s="88">
        <f t="shared" si="144"/>
        <v>0</v>
      </c>
      <c r="MSI6" s="88">
        <f t="shared" si="144"/>
        <v>0</v>
      </c>
      <c r="MSJ6" s="88">
        <f t="shared" ref="MSJ6:MUU6" si="145">SUM(MSK3:MSK5)</f>
        <v>0</v>
      </c>
      <c r="MSK6" s="88">
        <f t="shared" si="145"/>
        <v>0</v>
      </c>
      <c r="MSL6" s="88">
        <f t="shared" si="145"/>
        <v>0</v>
      </c>
      <c r="MSM6" s="88">
        <f t="shared" si="145"/>
        <v>0</v>
      </c>
      <c r="MSN6" s="88">
        <f t="shared" si="145"/>
        <v>0</v>
      </c>
      <c r="MSO6" s="88">
        <f t="shared" si="145"/>
        <v>0</v>
      </c>
      <c r="MSP6" s="88">
        <f t="shared" si="145"/>
        <v>0</v>
      </c>
      <c r="MSQ6" s="88">
        <f t="shared" si="145"/>
        <v>0</v>
      </c>
      <c r="MSR6" s="88">
        <f t="shared" si="145"/>
        <v>0</v>
      </c>
      <c r="MSS6" s="88">
        <f t="shared" si="145"/>
        <v>0</v>
      </c>
      <c r="MST6" s="88">
        <f t="shared" si="145"/>
        <v>0</v>
      </c>
      <c r="MSU6" s="88">
        <f t="shared" si="145"/>
        <v>0</v>
      </c>
      <c r="MSV6" s="88">
        <f t="shared" si="145"/>
        <v>0</v>
      </c>
      <c r="MSW6" s="88">
        <f t="shared" si="145"/>
        <v>0</v>
      </c>
      <c r="MSX6" s="88">
        <f t="shared" si="145"/>
        <v>0</v>
      </c>
      <c r="MSY6" s="88">
        <f t="shared" si="145"/>
        <v>0</v>
      </c>
      <c r="MSZ6" s="88">
        <f t="shared" si="145"/>
        <v>0</v>
      </c>
      <c r="MTA6" s="88">
        <f t="shared" si="145"/>
        <v>0</v>
      </c>
      <c r="MTB6" s="88">
        <f t="shared" si="145"/>
        <v>0</v>
      </c>
      <c r="MTC6" s="88">
        <f t="shared" si="145"/>
        <v>0</v>
      </c>
      <c r="MTD6" s="88">
        <f t="shared" si="145"/>
        <v>0</v>
      </c>
      <c r="MTE6" s="88">
        <f t="shared" si="145"/>
        <v>0</v>
      </c>
      <c r="MTF6" s="88">
        <f t="shared" si="145"/>
        <v>0</v>
      </c>
      <c r="MTG6" s="88">
        <f t="shared" si="145"/>
        <v>0</v>
      </c>
      <c r="MTH6" s="88">
        <f t="shared" si="145"/>
        <v>0</v>
      </c>
      <c r="MTI6" s="88">
        <f t="shared" si="145"/>
        <v>0</v>
      </c>
      <c r="MTJ6" s="88">
        <f t="shared" si="145"/>
        <v>0</v>
      </c>
      <c r="MTK6" s="88">
        <f t="shared" si="145"/>
        <v>0</v>
      </c>
      <c r="MTL6" s="88">
        <f t="shared" si="145"/>
        <v>0</v>
      </c>
      <c r="MTM6" s="88">
        <f t="shared" si="145"/>
        <v>0</v>
      </c>
      <c r="MTN6" s="88">
        <f t="shared" si="145"/>
        <v>0</v>
      </c>
      <c r="MTO6" s="88">
        <f t="shared" si="145"/>
        <v>0</v>
      </c>
      <c r="MTP6" s="88">
        <f t="shared" si="145"/>
        <v>0</v>
      </c>
      <c r="MTQ6" s="88">
        <f t="shared" si="145"/>
        <v>0</v>
      </c>
      <c r="MTR6" s="88">
        <f t="shared" si="145"/>
        <v>0</v>
      </c>
      <c r="MTS6" s="88">
        <f t="shared" si="145"/>
        <v>0</v>
      </c>
      <c r="MTT6" s="88">
        <f t="shared" si="145"/>
        <v>0</v>
      </c>
      <c r="MTU6" s="88">
        <f t="shared" si="145"/>
        <v>0</v>
      </c>
      <c r="MTV6" s="88">
        <f t="shared" si="145"/>
        <v>0</v>
      </c>
      <c r="MTW6" s="88">
        <f t="shared" si="145"/>
        <v>0</v>
      </c>
      <c r="MTX6" s="88">
        <f t="shared" si="145"/>
        <v>0</v>
      </c>
      <c r="MTY6" s="88">
        <f t="shared" si="145"/>
        <v>0</v>
      </c>
      <c r="MTZ6" s="88">
        <f t="shared" si="145"/>
        <v>0</v>
      </c>
      <c r="MUA6" s="88">
        <f t="shared" si="145"/>
        <v>0</v>
      </c>
      <c r="MUB6" s="88">
        <f t="shared" si="145"/>
        <v>0</v>
      </c>
      <c r="MUC6" s="88">
        <f t="shared" si="145"/>
        <v>0</v>
      </c>
      <c r="MUD6" s="88">
        <f t="shared" si="145"/>
        <v>0</v>
      </c>
      <c r="MUE6" s="88">
        <f t="shared" si="145"/>
        <v>0</v>
      </c>
      <c r="MUF6" s="88">
        <f t="shared" si="145"/>
        <v>0</v>
      </c>
      <c r="MUG6" s="88">
        <f t="shared" si="145"/>
        <v>0</v>
      </c>
      <c r="MUH6" s="88">
        <f t="shared" si="145"/>
        <v>0</v>
      </c>
      <c r="MUI6" s="88">
        <f t="shared" si="145"/>
        <v>0</v>
      </c>
      <c r="MUJ6" s="88">
        <f t="shared" si="145"/>
        <v>0</v>
      </c>
      <c r="MUK6" s="88">
        <f t="shared" si="145"/>
        <v>0</v>
      </c>
      <c r="MUL6" s="88">
        <f t="shared" si="145"/>
        <v>0</v>
      </c>
      <c r="MUM6" s="88">
        <f t="shared" si="145"/>
        <v>0</v>
      </c>
      <c r="MUN6" s="88">
        <f t="shared" si="145"/>
        <v>0</v>
      </c>
      <c r="MUO6" s="88">
        <f t="shared" si="145"/>
        <v>0</v>
      </c>
      <c r="MUP6" s="88">
        <f t="shared" si="145"/>
        <v>0</v>
      </c>
      <c r="MUQ6" s="88">
        <f t="shared" si="145"/>
        <v>0</v>
      </c>
      <c r="MUR6" s="88">
        <f t="shared" si="145"/>
        <v>0</v>
      </c>
      <c r="MUS6" s="88">
        <f t="shared" si="145"/>
        <v>0</v>
      </c>
      <c r="MUT6" s="88">
        <f t="shared" si="145"/>
        <v>0</v>
      </c>
      <c r="MUU6" s="88">
        <f t="shared" si="145"/>
        <v>0</v>
      </c>
      <c r="MUV6" s="88">
        <f t="shared" ref="MUV6:MXG6" si="146">SUM(MUW3:MUW5)</f>
        <v>0</v>
      </c>
      <c r="MUW6" s="88">
        <f t="shared" si="146"/>
        <v>0</v>
      </c>
      <c r="MUX6" s="88">
        <f t="shared" si="146"/>
        <v>0</v>
      </c>
      <c r="MUY6" s="88">
        <f t="shared" si="146"/>
        <v>0</v>
      </c>
      <c r="MUZ6" s="88">
        <f t="shared" si="146"/>
        <v>0</v>
      </c>
      <c r="MVA6" s="88">
        <f t="shared" si="146"/>
        <v>0</v>
      </c>
      <c r="MVB6" s="88">
        <f t="shared" si="146"/>
        <v>0</v>
      </c>
      <c r="MVC6" s="88">
        <f t="shared" si="146"/>
        <v>0</v>
      </c>
      <c r="MVD6" s="88">
        <f t="shared" si="146"/>
        <v>0</v>
      </c>
      <c r="MVE6" s="88">
        <f t="shared" si="146"/>
        <v>0</v>
      </c>
      <c r="MVF6" s="88">
        <f t="shared" si="146"/>
        <v>0</v>
      </c>
      <c r="MVG6" s="88">
        <f t="shared" si="146"/>
        <v>0</v>
      </c>
      <c r="MVH6" s="88">
        <f t="shared" si="146"/>
        <v>0</v>
      </c>
      <c r="MVI6" s="88">
        <f t="shared" si="146"/>
        <v>0</v>
      </c>
      <c r="MVJ6" s="88">
        <f t="shared" si="146"/>
        <v>0</v>
      </c>
      <c r="MVK6" s="88">
        <f t="shared" si="146"/>
        <v>0</v>
      </c>
      <c r="MVL6" s="88">
        <f t="shared" si="146"/>
        <v>0</v>
      </c>
      <c r="MVM6" s="88">
        <f t="shared" si="146"/>
        <v>0</v>
      </c>
      <c r="MVN6" s="88">
        <f t="shared" si="146"/>
        <v>0</v>
      </c>
      <c r="MVO6" s="88">
        <f t="shared" si="146"/>
        <v>0</v>
      </c>
      <c r="MVP6" s="88">
        <f t="shared" si="146"/>
        <v>0</v>
      </c>
      <c r="MVQ6" s="88">
        <f t="shared" si="146"/>
        <v>0</v>
      </c>
      <c r="MVR6" s="88">
        <f t="shared" si="146"/>
        <v>0</v>
      </c>
      <c r="MVS6" s="88">
        <f t="shared" si="146"/>
        <v>0</v>
      </c>
      <c r="MVT6" s="88">
        <f t="shared" si="146"/>
        <v>0</v>
      </c>
      <c r="MVU6" s="88">
        <f t="shared" si="146"/>
        <v>0</v>
      </c>
      <c r="MVV6" s="88">
        <f t="shared" si="146"/>
        <v>0</v>
      </c>
      <c r="MVW6" s="88">
        <f t="shared" si="146"/>
        <v>0</v>
      </c>
      <c r="MVX6" s="88">
        <f t="shared" si="146"/>
        <v>0</v>
      </c>
      <c r="MVY6" s="88">
        <f t="shared" si="146"/>
        <v>0</v>
      </c>
      <c r="MVZ6" s="88">
        <f t="shared" si="146"/>
        <v>0</v>
      </c>
      <c r="MWA6" s="88">
        <f t="shared" si="146"/>
        <v>0</v>
      </c>
      <c r="MWB6" s="88">
        <f t="shared" si="146"/>
        <v>0</v>
      </c>
      <c r="MWC6" s="88">
        <f t="shared" si="146"/>
        <v>0</v>
      </c>
      <c r="MWD6" s="88">
        <f t="shared" si="146"/>
        <v>0</v>
      </c>
      <c r="MWE6" s="88">
        <f t="shared" si="146"/>
        <v>0</v>
      </c>
      <c r="MWF6" s="88">
        <f t="shared" si="146"/>
        <v>0</v>
      </c>
      <c r="MWG6" s="88">
        <f t="shared" si="146"/>
        <v>0</v>
      </c>
      <c r="MWH6" s="88">
        <f t="shared" si="146"/>
        <v>0</v>
      </c>
      <c r="MWI6" s="88">
        <f t="shared" si="146"/>
        <v>0</v>
      </c>
      <c r="MWJ6" s="88">
        <f t="shared" si="146"/>
        <v>0</v>
      </c>
      <c r="MWK6" s="88">
        <f t="shared" si="146"/>
        <v>0</v>
      </c>
      <c r="MWL6" s="88">
        <f t="shared" si="146"/>
        <v>0</v>
      </c>
      <c r="MWM6" s="88">
        <f t="shared" si="146"/>
        <v>0</v>
      </c>
      <c r="MWN6" s="88">
        <f t="shared" si="146"/>
        <v>0</v>
      </c>
      <c r="MWO6" s="88">
        <f t="shared" si="146"/>
        <v>0</v>
      </c>
      <c r="MWP6" s="88">
        <f t="shared" si="146"/>
        <v>0</v>
      </c>
      <c r="MWQ6" s="88">
        <f t="shared" si="146"/>
        <v>0</v>
      </c>
      <c r="MWR6" s="88">
        <f t="shared" si="146"/>
        <v>0</v>
      </c>
      <c r="MWS6" s="88">
        <f t="shared" si="146"/>
        <v>0</v>
      </c>
      <c r="MWT6" s="88">
        <f t="shared" si="146"/>
        <v>0</v>
      </c>
      <c r="MWU6" s="88">
        <f t="shared" si="146"/>
        <v>0</v>
      </c>
      <c r="MWV6" s="88">
        <f t="shared" si="146"/>
        <v>0</v>
      </c>
      <c r="MWW6" s="88">
        <f t="shared" si="146"/>
        <v>0</v>
      </c>
      <c r="MWX6" s="88">
        <f t="shared" si="146"/>
        <v>0</v>
      </c>
      <c r="MWY6" s="88">
        <f t="shared" si="146"/>
        <v>0</v>
      </c>
      <c r="MWZ6" s="88">
        <f t="shared" si="146"/>
        <v>0</v>
      </c>
      <c r="MXA6" s="88">
        <f t="shared" si="146"/>
        <v>0</v>
      </c>
      <c r="MXB6" s="88">
        <f t="shared" si="146"/>
        <v>0</v>
      </c>
      <c r="MXC6" s="88">
        <f t="shared" si="146"/>
        <v>0</v>
      </c>
      <c r="MXD6" s="88">
        <f t="shared" si="146"/>
        <v>0</v>
      </c>
      <c r="MXE6" s="88">
        <f t="shared" si="146"/>
        <v>0</v>
      </c>
      <c r="MXF6" s="88">
        <f t="shared" si="146"/>
        <v>0</v>
      </c>
      <c r="MXG6" s="88">
        <f t="shared" si="146"/>
        <v>0</v>
      </c>
      <c r="MXH6" s="88">
        <f t="shared" ref="MXH6:MZS6" si="147">SUM(MXI3:MXI5)</f>
        <v>0</v>
      </c>
      <c r="MXI6" s="88">
        <f t="shared" si="147"/>
        <v>0</v>
      </c>
      <c r="MXJ6" s="88">
        <f t="shared" si="147"/>
        <v>0</v>
      </c>
      <c r="MXK6" s="88">
        <f t="shared" si="147"/>
        <v>0</v>
      </c>
      <c r="MXL6" s="88">
        <f t="shared" si="147"/>
        <v>0</v>
      </c>
      <c r="MXM6" s="88">
        <f t="shared" si="147"/>
        <v>0</v>
      </c>
      <c r="MXN6" s="88">
        <f t="shared" si="147"/>
        <v>0</v>
      </c>
      <c r="MXO6" s="88">
        <f t="shared" si="147"/>
        <v>0</v>
      </c>
      <c r="MXP6" s="88">
        <f t="shared" si="147"/>
        <v>0</v>
      </c>
      <c r="MXQ6" s="88">
        <f t="shared" si="147"/>
        <v>0</v>
      </c>
      <c r="MXR6" s="88">
        <f t="shared" si="147"/>
        <v>0</v>
      </c>
      <c r="MXS6" s="88">
        <f t="shared" si="147"/>
        <v>0</v>
      </c>
      <c r="MXT6" s="88">
        <f t="shared" si="147"/>
        <v>0</v>
      </c>
      <c r="MXU6" s="88">
        <f t="shared" si="147"/>
        <v>0</v>
      </c>
      <c r="MXV6" s="88">
        <f t="shared" si="147"/>
        <v>0</v>
      </c>
      <c r="MXW6" s="88">
        <f t="shared" si="147"/>
        <v>0</v>
      </c>
      <c r="MXX6" s="88">
        <f t="shared" si="147"/>
        <v>0</v>
      </c>
      <c r="MXY6" s="88">
        <f t="shared" si="147"/>
        <v>0</v>
      </c>
      <c r="MXZ6" s="88">
        <f t="shared" si="147"/>
        <v>0</v>
      </c>
      <c r="MYA6" s="88">
        <f t="shared" si="147"/>
        <v>0</v>
      </c>
      <c r="MYB6" s="88">
        <f t="shared" si="147"/>
        <v>0</v>
      </c>
      <c r="MYC6" s="88">
        <f t="shared" si="147"/>
        <v>0</v>
      </c>
      <c r="MYD6" s="88">
        <f t="shared" si="147"/>
        <v>0</v>
      </c>
      <c r="MYE6" s="88">
        <f t="shared" si="147"/>
        <v>0</v>
      </c>
      <c r="MYF6" s="88">
        <f t="shared" si="147"/>
        <v>0</v>
      </c>
      <c r="MYG6" s="88">
        <f t="shared" si="147"/>
        <v>0</v>
      </c>
      <c r="MYH6" s="88">
        <f t="shared" si="147"/>
        <v>0</v>
      </c>
      <c r="MYI6" s="88">
        <f t="shared" si="147"/>
        <v>0</v>
      </c>
      <c r="MYJ6" s="88">
        <f t="shared" si="147"/>
        <v>0</v>
      </c>
      <c r="MYK6" s="88">
        <f t="shared" si="147"/>
        <v>0</v>
      </c>
      <c r="MYL6" s="88">
        <f t="shared" si="147"/>
        <v>0</v>
      </c>
      <c r="MYM6" s="88">
        <f t="shared" si="147"/>
        <v>0</v>
      </c>
      <c r="MYN6" s="88">
        <f t="shared" si="147"/>
        <v>0</v>
      </c>
      <c r="MYO6" s="88">
        <f t="shared" si="147"/>
        <v>0</v>
      </c>
      <c r="MYP6" s="88">
        <f t="shared" si="147"/>
        <v>0</v>
      </c>
      <c r="MYQ6" s="88">
        <f t="shared" si="147"/>
        <v>0</v>
      </c>
      <c r="MYR6" s="88">
        <f t="shared" si="147"/>
        <v>0</v>
      </c>
      <c r="MYS6" s="88">
        <f t="shared" si="147"/>
        <v>0</v>
      </c>
      <c r="MYT6" s="88">
        <f t="shared" si="147"/>
        <v>0</v>
      </c>
      <c r="MYU6" s="88">
        <f t="shared" si="147"/>
        <v>0</v>
      </c>
      <c r="MYV6" s="88">
        <f t="shared" si="147"/>
        <v>0</v>
      </c>
      <c r="MYW6" s="88">
        <f t="shared" si="147"/>
        <v>0</v>
      </c>
      <c r="MYX6" s="88">
        <f t="shared" si="147"/>
        <v>0</v>
      </c>
      <c r="MYY6" s="88">
        <f t="shared" si="147"/>
        <v>0</v>
      </c>
      <c r="MYZ6" s="88">
        <f t="shared" si="147"/>
        <v>0</v>
      </c>
      <c r="MZA6" s="88">
        <f t="shared" si="147"/>
        <v>0</v>
      </c>
      <c r="MZB6" s="88">
        <f t="shared" si="147"/>
        <v>0</v>
      </c>
      <c r="MZC6" s="88">
        <f t="shared" si="147"/>
        <v>0</v>
      </c>
      <c r="MZD6" s="88">
        <f t="shared" si="147"/>
        <v>0</v>
      </c>
      <c r="MZE6" s="88">
        <f t="shared" si="147"/>
        <v>0</v>
      </c>
      <c r="MZF6" s="88">
        <f t="shared" si="147"/>
        <v>0</v>
      </c>
      <c r="MZG6" s="88">
        <f t="shared" si="147"/>
        <v>0</v>
      </c>
      <c r="MZH6" s="88">
        <f t="shared" si="147"/>
        <v>0</v>
      </c>
      <c r="MZI6" s="88">
        <f t="shared" si="147"/>
        <v>0</v>
      </c>
      <c r="MZJ6" s="88">
        <f t="shared" si="147"/>
        <v>0</v>
      </c>
      <c r="MZK6" s="88">
        <f t="shared" si="147"/>
        <v>0</v>
      </c>
      <c r="MZL6" s="88">
        <f t="shared" si="147"/>
        <v>0</v>
      </c>
      <c r="MZM6" s="88">
        <f t="shared" si="147"/>
        <v>0</v>
      </c>
      <c r="MZN6" s="88">
        <f t="shared" si="147"/>
        <v>0</v>
      </c>
      <c r="MZO6" s="88">
        <f t="shared" si="147"/>
        <v>0</v>
      </c>
      <c r="MZP6" s="88">
        <f t="shared" si="147"/>
        <v>0</v>
      </c>
      <c r="MZQ6" s="88">
        <f t="shared" si="147"/>
        <v>0</v>
      </c>
      <c r="MZR6" s="88">
        <f t="shared" si="147"/>
        <v>0</v>
      </c>
      <c r="MZS6" s="88">
        <f t="shared" si="147"/>
        <v>0</v>
      </c>
      <c r="MZT6" s="88">
        <f t="shared" ref="MZT6:NCE6" si="148">SUM(MZU3:MZU5)</f>
        <v>0</v>
      </c>
      <c r="MZU6" s="88">
        <f t="shared" si="148"/>
        <v>0</v>
      </c>
      <c r="MZV6" s="88">
        <f t="shared" si="148"/>
        <v>0</v>
      </c>
      <c r="MZW6" s="88">
        <f t="shared" si="148"/>
        <v>0</v>
      </c>
      <c r="MZX6" s="88">
        <f t="shared" si="148"/>
        <v>0</v>
      </c>
      <c r="MZY6" s="88">
        <f t="shared" si="148"/>
        <v>0</v>
      </c>
      <c r="MZZ6" s="88">
        <f t="shared" si="148"/>
        <v>0</v>
      </c>
      <c r="NAA6" s="88">
        <f t="shared" si="148"/>
        <v>0</v>
      </c>
      <c r="NAB6" s="88">
        <f t="shared" si="148"/>
        <v>0</v>
      </c>
      <c r="NAC6" s="88">
        <f t="shared" si="148"/>
        <v>0</v>
      </c>
      <c r="NAD6" s="88">
        <f t="shared" si="148"/>
        <v>0</v>
      </c>
      <c r="NAE6" s="88">
        <f t="shared" si="148"/>
        <v>0</v>
      </c>
      <c r="NAF6" s="88">
        <f t="shared" si="148"/>
        <v>0</v>
      </c>
      <c r="NAG6" s="88">
        <f t="shared" si="148"/>
        <v>0</v>
      </c>
      <c r="NAH6" s="88">
        <f t="shared" si="148"/>
        <v>0</v>
      </c>
      <c r="NAI6" s="88">
        <f t="shared" si="148"/>
        <v>0</v>
      </c>
      <c r="NAJ6" s="88">
        <f t="shared" si="148"/>
        <v>0</v>
      </c>
      <c r="NAK6" s="88">
        <f t="shared" si="148"/>
        <v>0</v>
      </c>
      <c r="NAL6" s="88">
        <f t="shared" si="148"/>
        <v>0</v>
      </c>
      <c r="NAM6" s="88">
        <f t="shared" si="148"/>
        <v>0</v>
      </c>
      <c r="NAN6" s="88">
        <f t="shared" si="148"/>
        <v>0</v>
      </c>
      <c r="NAO6" s="88">
        <f t="shared" si="148"/>
        <v>0</v>
      </c>
      <c r="NAP6" s="88">
        <f t="shared" si="148"/>
        <v>0</v>
      </c>
      <c r="NAQ6" s="88">
        <f t="shared" si="148"/>
        <v>0</v>
      </c>
      <c r="NAR6" s="88">
        <f t="shared" si="148"/>
        <v>0</v>
      </c>
      <c r="NAS6" s="88">
        <f t="shared" si="148"/>
        <v>0</v>
      </c>
      <c r="NAT6" s="88">
        <f t="shared" si="148"/>
        <v>0</v>
      </c>
      <c r="NAU6" s="88">
        <f t="shared" si="148"/>
        <v>0</v>
      </c>
      <c r="NAV6" s="88">
        <f t="shared" si="148"/>
        <v>0</v>
      </c>
      <c r="NAW6" s="88">
        <f t="shared" si="148"/>
        <v>0</v>
      </c>
      <c r="NAX6" s="88">
        <f t="shared" si="148"/>
        <v>0</v>
      </c>
      <c r="NAY6" s="88">
        <f t="shared" si="148"/>
        <v>0</v>
      </c>
      <c r="NAZ6" s="88">
        <f t="shared" si="148"/>
        <v>0</v>
      </c>
      <c r="NBA6" s="88">
        <f t="shared" si="148"/>
        <v>0</v>
      </c>
      <c r="NBB6" s="88">
        <f t="shared" si="148"/>
        <v>0</v>
      </c>
      <c r="NBC6" s="88">
        <f t="shared" si="148"/>
        <v>0</v>
      </c>
      <c r="NBD6" s="88">
        <f t="shared" si="148"/>
        <v>0</v>
      </c>
      <c r="NBE6" s="88">
        <f t="shared" si="148"/>
        <v>0</v>
      </c>
      <c r="NBF6" s="88">
        <f t="shared" si="148"/>
        <v>0</v>
      </c>
      <c r="NBG6" s="88">
        <f t="shared" si="148"/>
        <v>0</v>
      </c>
      <c r="NBH6" s="88">
        <f t="shared" si="148"/>
        <v>0</v>
      </c>
      <c r="NBI6" s="88">
        <f t="shared" si="148"/>
        <v>0</v>
      </c>
      <c r="NBJ6" s="88">
        <f t="shared" si="148"/>
        <v>0</v>
      </c>
      <c r="NBK6" s="88">
        <f t="shared" si="148"/>
        <v>0</v>
      </c>
      <c r="NBL6" s="88">
        <f t="shared" si="148"/>
        <v>0</v>
      </c>
      <c r="NBM6" s="88">
        <f t="shared" si="148"/>
        <v>0</v>
      </c>
      <c r="NBN6" s="88">
        <f t="shared" si="148"/>
        <v>0</v>
      </c>
      <c r="NBO6" s="88">
        <f t="shared" si="148"/>
        <v>0</v>
      </c>
      <c r="NBP6" s="88">
        <f t="shared" si="148"/>
        <v>0</v>
      </c>
      <c r="NBQ6" s="88">
        <f t="shared" si="148"/>
        <v>0</v>
      </c>
      <c r="NBR6" s="88">
        <f t="shared" si="148"/>
        <v>0</v>
      </c>
      <c r="NBS6" s="88">
        <f t="shared" si="148"/>
        <v>0</v>
      </c>
      <c r="NBT6" s="88">
        <f t="shared" si="148"/>
        <v>0</v>
      </c>
      <c r="NBU6" s="88">
        <f t="shared" si="148"/>
        <v>0</v>
      </c>
      <c r="NBV6" s="88">
        <f t="shared" si="148"/>
        <v>0</v>
      </c>
      <c r="NBW6" s="88">
        <f t="shared" si="148"/>
        <v>0</v>
      </c>
      <c r="NBX6" s="88">
        <f t="shared" si="148"/>
        <v>0</v>
      </c>
      <c r="NBY6" s="88">
        <f t="shared" si="148"/>
        <v>0</v>
      </c>
      <c r="NBZ6" s="88">
        <f t="shared" si="148"/>
        <v>0</v>
      </c>
      <c r="NCA6" s="88">
        <f t="shared" si="148"/>
        <v>0</v>
      </c>
      <c r="NCB6" s="88">
        <f t="shared" si="148"/>
        <v>0</v>
      </c>
      <c r="NCC6" s="88">
        <f t="shared" si="148"/>
        <v>0</v>
      </c>
      <c r="NCD6" s="88">
        <f t="shared" si="148"/>
        <v>0</v>
      </c>
      <c r="NCE6" s="88">
        <f t="shared" si="148"/>
        <v>0</v>
      </c>
      <c r="NCF6" s="88">
        <f t="shared" ref="NCF6:NEQ6" si="149">SUM(NCG3:NCG5)</f>
        <v>0</v>
      </c>
      <c r="NCG6" s="88">
        <f t="shared" si="149"/>
        <v>0</v>
      </c>
      <c r="NCH6" s="88">
        <f t="shared" si="149"/>
        <v>0</v>
      </c>
      <c r="NCI6" s="88">
        <f t="shared" si="149"/>
        <v>0</v>
      </c>
      <c r="NCJ6" s="88">
        <f t="shared" si="149"/>
        <v>0</v>
      </c>
      <c r="NCK6" s="88">
        <f t="shared" si="149"/>
        <v>0</v>
      </c>
      <c r="NCL6" s="88">
        <f t="shared" si="149"/>
        <v>0</v>
      </c>
      <c r="NCM6" s="88">
        <f t="shared" si="149"/>
        <v>0</v>
      </c>
      <c r="NCN6" s="88">
        <f t="shared" si="149"/>
        <v>0</v>
      </c>
      <c r="NCO6" s="88">
        <f t="shared" si="149"/>
        <v>0</v>
      </c>
      <c r="NCP6" s="88">
        <f t="shared" si="149"/>
        <v>0</v>
      </c>
      <c r="NCQ6" s="88">
        <f t="shared" si="149"/>
        <v>0</v>
      </c>
      <c r="NCR6" s="88">
        <f t="shared" si="149"/>
        <v>0</v>
      </c>
      <c r="NCS6" s="88">
        <f t="shared" si="149"/>
        <v>0</v>
      </c>
      <c r="NCT6" s="88">
        <f t="shared" si="149"/>
        <v>0</v>
      </c>
      <c r="NCU6" s="88">
        <f t="shared" si="149"/>
        <v>0</v>
      </c>
      <c r="NCV6" s="88">
        <f t="shared" si="149"/>
        <v>0</v>
      </c>
      <c r="NCW6" s="88">
        <f t="shared" si="149"/>
        <v>0</v>
      </c>
      <c r="NCX6" s="88">
        <f t="shared" si="149"/>
        <v>0</v>
      </c>
      <c r="NCY6" s="88">
        <f t="shared" si="149"/>
        <v>0</v>
      </c>
      <c r="NCZ6" s="88">
        <f t="shared" si="149"/>
        <v>0</v>
      </c>
      <c r="NDA6" s="88">
        <f t="shared" si="149"/>
        <v>0</v>
      </c>
      <c r="NDB6" s="88">
        <f t="shared" si="149"/>
        <v>0</v>
      </c>
      <c r="NDC6" s="88">
        <f t="shared" si="149"/>
        <v>0</v>
      </c>
      <c r="NDD6" s="88">
        <f t="shared" si="149"/>
        <v>0</v>
      </c>
      <c r="NDE6" s="88">
        <f t="shared" si="149"/>
        <v>0</v>
      </c>
      <c r="NDF6" s="88">
        <f t="shared" si="149"/>
        <v>0</v>
      </c>
      <c r="NDG6" s="88">
        <f t="shared" si="149"/>
        <v>0</v>
      </c>
      <c r="NDH6" s="88">
        <f t="shared" si="149"/>
        <v>0</v>
      </c>
      <c r="NDI6" s="88">
        <f t="shared" si="149"/>
        <v>0</v>
      </c>
      <c r="NDJ6" s="88">
        <f t="shared" si="149"/>
        <v>0</v>
      </c>
      <c r="NDK6" s="88">
        <f t="shared" si="149"/>
        <v>0</v>
      </c>
      <c r="NDL6" s="88">
        <f t="shared" si="149"/>
        <v>0</v>
      </c>
      <c r="NDM6" s="88">
        <f t="shared" si="149"/>
        <v>0</v>
      </c>
      <c r="NDN6" s="88">
        <f t="shared" si="149"/>
        <v>0</v>
      </c>
      <c r="NDO6" s="88">
        <f t="shared" si="149"/>
        <v>0</v>
      </c>
      <c r="NDP6" s="88">
        <f t="shared" si="149"/>
        <v>0</v>
      </c>
      <c r="NDQ6" s="88">
        <f t="shared" si="149"/>
        <v>0</v>
      </c>
      <c r="NDR6" s="88">
        <f t="shared" si="149"/>
        <v>0</v>
      </c>
      <c r="NDS6" s="88">
        <f t="shared" si="149"/>
        <v>0</v>
      </c>
      <c r="NDT6" s="88">
        <f t="shared" si="149"/>
        <v>0</v>
      </c>
      <c r="NDU6" s="88">
        <f t="shared" si="149"/>
        <v>0</v>
      </c>
      <c r="NDV6" s="88">
        <f t="shared" si="149"/>
        <v>0</v>
      </c>
      <c r="NDW6" s="88">
        <f t="shared" si="149"/>
        <v>0</v>
      </c>
      <c r="NDX6" s="88">
        <f t="shared" si="149"/>
        <v>0</v>
      </c>
      <c r="NDY6" s="88">
        <f t="shared" si="149"/>
        <v>0</v>
      </c>
      <c r="NDZ6" s="88">
        <f t="shared" si="149"/>
        <v>0</v>
      </c>
      <c r="NEA6" s="88">
        <f t="shared" si="149"/>
        <v>0</v>
      </c>
      <c r="NEB6" s="88">
        <f t="shared" si="149"/>
        <v>0</v>
      </c>
      <c r="NEC6" s="88">
        <f t="shared" si="149"/>
        <v>0</v>
      </c>
      <c r="NED6" s="88">
        <f t="shared" si="149"/>
        <v>0</v>
      </c>
      <c r="NEE6" s="88">
        <f t="shared" si="149"/>
        <v>0</v>
      </c>
      <c r="NEF6" s="88">
        <f t="shared" si="149"/>
        <v>0</v>
      </c>
      <c r="NEG6" s="88">
        <f t="shared" si="149"/>
        <v>0</v>
      </c>
      <c r="NEH6" s="88">
        <f t="shared" si="149"/>
        <v>0</v>
      </c>
      <c r="NEI6" s="88">
        <f t="shared" si="149"/>
        <v>0</v>
      </c>
      <c r="NEJ6" s="88">
        <f t="shared" si="149"/>
        <v>0</v>
      </c>
      <c r="NEK6" s="88">
        <f t="shared" si="149"/>
        <v>0</v>
      </c>
      <c r="NEL6" s="88">
        <f t="shared" si="149"/>
        <v>0</v>
      </c>
      <c r="NEM6" s="88">
        <f t="shared" si="149"/>
        <v>0</v>
      </c>
      <c r="NEN6" s="88">
        <f t="shared" si="149"/>
        <v>0</v>
      </c>
      <c r="NEO6" s="88">
        <f t="shared" si="149"/>
        <v>0</v>
      </c>
      <c r="NEP6" s="88">
        <f t="shared" si="149"/>
        <v>0</v>
      </c>
      <c r="NEQ6" s="88">
        <f t="shared" si="149"/>
        <v>0</v>
      </c>
      <c r="NER6" s="88">
        <f t="shared" ref="NER6:NHC6" si="150">SUM(NES3:NES5)</f>
        <v>0</v>
      </c>
      <c r="NES6" s="88">
        <f t="shared" si="150"/>
        <v>0</v>
      </c>
      <c r="NET6" s="88">
        <f t="shared" si="150"/>
        <v>0</v>
      </c>
      <c r="NEU6" s="88">
        <f t="shared" si="150"/>
        <v>0</v>
      </c>
      <c r="NEV6" s="88">
        <f t="shared" si="150"/>
        <v>0</v>
      </c>
      <c r="NEW6" s="88">
        <f t="shared" si="150"/>
        <v>0</v>
      </c>
      <c r="NEX6" s="88">
        <f t="shared" si="150"/>
        <v>0</v>
      </c>
      <c r="NEY6" s="88">
        <f t="shared" si="150"/>
        <v>0</v>
      </c>
      <c r="NEZ6" s="88">
        <f t="shared" si="150"/>
        <v>0</v>
      </c>
      <c r="NFA6" s="88">
        <f t="shared" si="150"/>
        <v>0</v>
      </c>
      <c r="NFB6" s="88">
        <f t="shared" si="150"/>
        <v>0</v>
      </c>
      <c r="NFC6" s="88">
        <f t="shared" si="150"/>
        <v>0</v>
      </c>
      <c r="NFD6" s="88">
        <f t="shared" si="150"/>
        <v>0</v>
      </c>
      <c r="NFE6" s="88">
        <f t="shared" si="150"/>
        <v>0</v>
      </c>
      <c r="NFF6" s="88">
        <f t="shared" si="150"/>
        <v>0</v>
      </c>
      <c r="NFG6" s="88">
        <f t="shared" si="150"/>
        <v>0</v>
      </c>
      <c r="NFH6" s="88">
        <f t="shared" si="150"/>
        <v>0</v>
      </c>
      <c r="NFI6" s="88">
        <f t="shared" si="150"/>
        <v>0</v>
      </c>
      <c r="NFJ6" s="88">
        <f t="shared" si="150"/>
        <v>0</v>
      </c>
      <c r="NFK6" s="88">
        <f t="shared" si="150"/>
        <v>0</v>
      </c>
      <c r="NFL6" s="88">
        <f t="shared" si="150"/>
        <v>0</v>
      </c>
      <c r="NFM6" s="88">
        <f t="shared" si="150"/>
        <v>0</v>
      </c>
      <c r="NFN6" s="88">
        <f t="shared" si="150"/>
        <v>0</v>
      </c>
      <c r="NFO6" s="88">
        <f t="shared" si="150"/>
        <v>0</v>
      </c>
      <c r="NFP6" s="88">
        <f t="shared" si="150"/>
        <v>0</v>
      </c>
      <c r="NFQ6" s="88">
        <f t="shared" si="150"/>
        <v>0</v>
      </c>
      <c r="NFR6" s="88">
        <f t="shared" si="150"/>
        <v>0</v>
      </c>
      <c r="NFS6" s="88">
        <f t="shared" si="150"/>
        <v>0</v>
      </c>
      <c r="NFT6" s="88">
        <f t="shared" si="150"/>
        <v>0</v>
      </c>
      <c r="NFU6" s="88">
        <f t="shared" si="150"/>
        <v>0</v>
      </c>
      <c r="NFV6" s="88">
        <f t="shared" si="150"/>
        <v>0</v>
      </c>
      <c r="NFW6" s="88">
        <f t="shared" si="150"/>
        <v>0</v>
      </c>
      <c r="NFX6" s="88">
        <f t="shared" si="150"/>
        <v>0</v>
      </c>
      <c r="NFY6" s="88">
        <f t="shared" si="150"/>
        <v>0</v>
      </c>
      <c r="NFZ6" s="88">
        <f t="shared" si="150"/>
        <v>0</v>
      </c>
      <c r="NGA6" s="88">
        <f t="shared" si="150"/>
        <v>0</v>
      </c>
      <c r="NGB6" s="88">
        <f t="shared" si="150"/>
        <v>0</v>
      </c>
      <c r="NGC6" s="88">
        <f t="shared" si="150"/>
        <v>0</v>
      </c>
      <c r="NGD6" s="88">
        <f t="shared" si="150"/>
        <v>0</v>
      </c>
      <c r="NGE6" s="88">
        <f t="shared" si="150"/>
        <v>0</v>
      </c>
      <c r="NGF6" s="88">
        <f t="shared" si="150"/>
        <v>0</v>
      </c>
      <c r="NGG6" s="88">
        <f t="shared" si="150"/>
        <v>0</v>
      </c>
      <c r="NGH6" s="88">
        <f t="shared" si="150"/>
        <v>0</v>
      </c>
      <c r="NGI6" s="88">
        <f t="shared" si="150"/>
        <v>0</v>
      </c>
      <c r="NGJ6" s="88">
        <f t="shared" si="150"/>
        <v>0</v>
      </c>
      <c r="NGK6" s="88">
        <f t="shared" si="150"/>
        <v>0</v>
      </c>
      <c r="NGL6" s="88">
        <f t="shared" si="150"/>
        <v>0</v>
      </c>
      <c r="NGM6" s="88">
        <f t="shared" si="150"/>
        <v>0</v>
      </c>
      <c r="NGN6" s="88">
        <f t="shared" si="150"/>
        <v>0</v>
      </c>
      <c r="NGO6" s="88">
        <f t="shared" si="150"/>
        <v>0</v>
      </c>
      <c r="NGP6" s="88">
        <f t="shared" si="150"/>
        <v>0</v>
      </c>
      <c r="NGQ6" s="88">
        <f t="shared" si="150"/>
        <v>0</v>
      </c>
      <c r="NGR6" s="88">
        <f t="shared" si="150"/>
        <v>0</v>
      </c>
      <c r="NGS6" s="88">
        <f t="shared" si="150"/>
        <v>0</v>
      </c>
      <c r="NGT6" s="88">
        <f t="shared" si="150"/>
        <v>0</v>
      </c>
      <c r="NGU6" s="88">
        <f t="shared" si="150"/>
        <v>0</v>
      </c>
      <c r="NGV6" s="88">
        <f t="shared" si="150"/>
        <v>0</v>
      </c>
      <c r="NGW6" s="88">
        <f t="shared" si="150"/>
        <v>0</v>
      </c>
      <c r="NGX6" s="88">
        <f t="shared" si="150"/>
        <v>0</v>
      </c>
      <c r="NGY6" s="88">
        <f t="shared" si="150"/>
        <v>0</v>
      </c>
      <c r="NGZ6" s="88">
        <f t="shared" si="150"/>
        <v>0</v>
      </c>
      <c r="NHA6" s="88">
        <f t="shared" si="150"/>
        <v>0</v>
      </c>
      <c r="NHB6" s="88">
        <f t="shared" si="150"/>
        <v>0</v>
      </c>
      <c r="NHC6" s="88">
        <f t="shared" si="150"/>
        <v>0</v>
      </c>
      <c r="NHD6" s="88">
        <f t="shared" ref="NHD6:NJO6" si="151">SUM(NHE3:NHE5)</f>
        <v>0</v>
      </c>
      <c r="NHE6" s="88">
        <f t="shared" si="151"/>
        <v>0</v>
      </c>
      <c r="NHF6" s="88">
        <f t="shared" si="151"/>
        <v>0</v>
      </c>
      <c r="NHG6" s="88">
        <f t="shared" si="151"/>
        <v>0</v>
      </c>
      <c r="NHH6" s="88">
        <f t="shared" si="151"/>
        <v>0</v>
      </c>
      <c r="NHI6" s="88">
        <f t="shared" si="151"/>
        <v>0</v>
      </c>
      <c r="NHJ6" s="88">
        <f t="shared" si="151"/>
        <v>0</v>
      </c>
      <c r="NHK6" s="88">
        <f t="shared" si="151"/>
        <v>0</v>
      </c>
      <c r="NHL6" s="88">
        <f t="shared" si="151"/>
        <v>0</v>
      </c>
      <c r="NHM6" s="88">
        <f t="shared" si="151"/>
        <v>0</v>
      </c>
      <c r="NHN6" s="88">
        <f t="shared" si="151"/>
        <v>0</v>
      </c>
      <c r="NHO6" s="88">
        <f t="shared" si="151"/>
        <v>0</v>
      </c>
      <c r="NHP6" s="88">
        <f t="shared" si="151"/>
        <v>0</v>
      </c>
      <c r="NHQ6" s="88">
        <f t="shared" si="151"/>
        <v>0</v>
      </c>
      <c r="NHR6" s="88">
        <f t="shared" si="151"/>
        <v>0</v>
      </c>
      <c r="NHS6" s="88">
        <f t="shared" si="151"/>
        <v>0</v>
      </c>
      <c r="NHT6" s="88">
        <f t="shared" si="151"/>
        <v>0</v>
      </c>
      <c r="NHU6" s="88">
        <f t="shared" si="151"/>
        <v>0</v>
      </c>
      <c r="NHV6" s="88">
        <f t="shared" si="151"/>
        <v>0</v>
      </c>
      <c r="NHW6" s="88">
        <f t="shared" si="151"/>
        <v>0</v>
      </c>
      <c r="NHX6" s="88">
        <f t="shared" si="151"/>
        <v>0</v>
      </c>
      <c r="NHY6" s="88">
        <f t="shared" si="151"/>
        <v>0</v>
      </c>
      <c r="NHZ6" s="88">
        <f t="shared" si="151"/>
        <v>0</v>
      </c>
      <c r="NIA6" s="88">
        <f t="shared" si="151"/>
        <v>0</v>
      </c>
      <c r="NIB6" s="88">
        <f t="shared" si="151"/>
        <v>0</v>
      </c>
      <c r="NIC6" s="88">
        <f t="shared" si="151"/>
        <v>0</v>
      </c>
      <c r="NID6" s="88">
        <f t="shared" si="151"/>
        <v>0</v>
      </c>
      <c r="NIE6" s="88">
        <f t="shared" si="151"/>
        <v>0</v>
      </c>
      <c r="NIF6" s="88">
        <f t="shared" si="151"/>
        <v>0</v>
      </c>
      <c r="NIG6" s="88">
        <f t="shared" si="151"/>
        <v>0</v>
      </c>
      <c r="NIH6" s="88">
        <f t="shared" si="151"/>
        <v>0</v>
      </c>
      <c r="NII6" s="88">
        <f t="shared" si="151"/>
        <v>0</v>
      </c>
      <c r="NIJ6" s="88">
        <f t="shared" si="151"/>
        <v>0</v>
      </c>
      <c r="NIK6" s="88">
        <f t="shared" si="151"/>
        <v>0</v>
      </c>
      <c r="NIL6" s="88">
        <f t="shared" si="151"/>
        <v>0</v>
      </c>
      <c r="NIM6" s="88">
        <f t="shared" si="151"/>
        <v>0</v>
      </c>
      <c r="NIN6" s="88">
        <f t="shared" si="151"/>
        <v>0</v>
      </c>
      <c r="NIO6" s="88">
        <f t="shared" si="151"/>
        <v>0</v>
      </c>
      <c r="NIP6" s="88">
        <f t="shared" si="151"/>
        <v>0</v>
      </c>
      <c r="NIQ6" s="88">
        <f t="shared" si="151"/>
        <v>0</v>
      </c>
      <c r="NIR6" s="88">
        <f t="shared" si="151"/>
        <v>0</v>
      </c>
      <c r="NIS6" s="88">
        <f t="shared" si="151"/>
        <v>0</v>
      </c>
      <c r="NIT6" s="88">
        <f t="shared" si="151"/>
        <v>0</v>
      </c>
      <c r="NIU6" s="88">
        <f t="shared" si="151"/>
        <v>0</v>
      </c>
      <c r="NIV6" s="88">
        <f t="shared" si="151"/>
        <v>0</v>
      </c>
      <c r="NIW6" s="88">
        <f t="shared" si="151"/>
        <v>0</v>
      </c>
      <c r="NIX6" s="88">
        <f t="shared" si="151"/>
        <v>0</v>
      </c>
      <c r="NIY6" s="88">
        <f t="shared" si="151"/>
        <v>0</v>
      </c>
      <c r="NIZ6" s="88">
        <f t="shared" si="151"/>
        <v>0</v>
      </c>
      <c r="NJA6" s="88">
        <f t="shared" si="151"/>
        <v>0</v>
      </c>
      <c r="NJB6" s="88">
        <f t="shared" si="151"/>
        <v>0</v>
      </c>
      <c r="NJC6" s="88">
        <f t="shared" si="151"/>
        <v>0</v>
      </c>
      <c r="NJD6" s="88">
        <f t="shared" si="151"/>
        <v>0</v>
      </c>
      <c r="NJE6" s="88">
        <f t="shared" si="151"/>
        <v>0</v>
      </c>
      <c r="NJF6" s="88">
        <f t="shared" si="151"/>
        <v>0</v>
      </c>
      <c r="NJG6" s="88">
        <f t="shared" si="151"/>
        <v>0</v>
      </c>
      <c r="NJH6" s="88">
        <f t="shared" si="151"/>
        <v>0</v>
      </c>
      <c r="NJI6" s="88">
        <f t="shared" si="151"/>
        <v>0</v>
      </c>
      <c r="NJJ6" s="88">
        <f t="shared" si="151"/>
        <v>0</v>
      </c>
      <c r="NJK6" s="88">
        <f t="shared" si="151"/>
        <v>0</v>
      </c>
      <c r="NJL6" s="88">
        <f t="shared" si="151"/>
        <v>0</v>
      </c>
      <c r="NJM6" s="88">
        <f t="shared" si="151"/>
        <v>0</v>
      </c>
      <c r="NJN6" s="88">
        <f t="shared" si="151"/>
        <v>0</v>
      </c>
      <c r="NJO6" s="88">
        <f t="shared" si="151"/>
        <v>0</v>
      </c>
      <c r="NJP6" s="88">
        <f t="shared" ref="NJP6:NMA6" si="152">SUM(NJQ3:NJQ5)</f>
        <v>0</v>
      </c>
      <c r="NJQ6" s="88">
        <f t="shared" si="152"/>
        <v>0</v>
      </c>
      <c r="NJR6" s="88">
        <f t="shared" si="152"/>
        <v>0</v>
      </c>
      <c r="NJS6" s="88">
        <f t="shared" si="152"/>
        <v>0</v>
      </c>
      <c r="NJT6" s="88">
        <f t="shared" si="152"/>
        <v>0</v>
      </c>
      <c r="NJU6" s="88">
        <f t="shared" si="152"/>
        <v>0</v>
      </c>
      <c r="NJV6" s="88">
        <f t="shared" si="152"/>
        <v>0</v>
      </c>
      <c r="NJW6" s="88">
        <f t="shared" si="152"/>
        <v>0</v>
      </c>
      <c r="NJX6" s="88">
        <f t="shared" si="152"/>
        <v>0</v>
      </c>
      <c r="NJY6" s="88">
        <f t="shared" si="152"/>
        <v>0</v>
      </c>
      <c r="NJZ6" s="88">
        <f t="shared" si="152"/>
        <v>0</v>
      </c>
      <c r="NKA6" s="88">
        <f t="shared" si="152"/>
        <v>0</v>
      </c>
      <c r="NKB6" s="88">
        <f t="shared" si="152"/>
        <v>0</v>
      </c>
      <c r="NKC6" s="88">
        <f t="shared" si="152"/>
        <v>0</v>
      </c>
      <c r="NKD6" s="88">
        <f t="shared" si="152"/>
        <v>0</v>
      </c>
      <c r="NKE6" s="88">
        <f t="shared" si="152"/>
        <v>0</v>
      </c>
      <c r="NKF6" s="88">
        <f t="shared" si="152"/>
        <v>0</v>
      </c>
      <c r="NKG6" s="88">
        <f t="shared" si="152"/>
        <v>0</v>
      </c>
      <c r="NKH6" s="88">
        <f t="shared" si="152"/>
        <v>0</v>
      </c>
      <c r="NKI6" s="88">
        <f t="shared" si="152"/>
        <v>0</v>
      </c>
      <c r="NKJ6" s="88">
        <f t="shared" si="152"/>
        <v>0</v>
      </c>
      <c r="NKK6" s="88">
        <f t="shared" si="152"/>
        <v>0</v>
      </c>
      <c r="NKL6" s="88">
        <f t="shared" si="152"/>
        <v>0</v>
      </c>
      <c r="NKM6" s="88">
        <f t="shared" si="152"/>
        <v>0</v>
      </c>
      <c r="NKN6" s="88">
        <f t="shared" si="152"/>
        <v>0</v>
      </c>
      <c r="NKO6" s="88">
        <f t="shared" si="152"/>
        <v>0</v>
      </c>
      <c r="NKP6" s="88">
        <f t="shared" si="152"/>
        <v>0</v>
      </c>
      <c r="NKQ6" s="88">
        <f t="shared" si="152"/>
        <v>0</v>
      </c>
      <c r="NKR6" s="88">
        <f t="shared" si="152"/>
        <v>0</v>
      </c>
      <c r="NKS6" s="88">
        <f t="shared" si="152"/>
        <v>0</v>
      </c>
      <c r="NKT6" s="88">
        <f t="shared" si="152"/>
        <v>0</v>
      </c>
      <c r="NKU6" s="88">
        <f t="shared" si="152"/>
        <v>0</v>
      </c>
      <c r="NKV6" s="88">
        <f t="shared" si="152"/>
        <v>0</v>
      </c>
      <c r="NKW6" s="88">
        <f t="shared" si="152"/>
        <v>0</v>
      </c>
      <c r="NKX6" s="88">
        <f t="shared" si="152"/>
        <v>0</v>
      </c>
      <c r="NKY6" s="88">
        <f t="shared" si="152"/>
        <v>0</v>
      </c>
      <c r="NKZ6" s="88">
        <f t="shared" si="152"/>
        <v>0</v>
      </c>
      <c r="NLA6" s="88">
        <f t="shared" si="152"/>
        <v>0</v>
      </c>
      <c r="NLB6" s="88">
        <f t="shared" si="152"/>
        <v>0</v>
      </c>
      <c r="NLC6" s="88">
        <f t="shared" si="152"/>
        <v>0</v>
      </c>
      <c r="NLD6" s="88">
        <f t="shared" si="152"/>
        <v>0</v>
      </c>
      <c r="NLE6" s="88">
        <f t="shared" si="152"/>
        <v>0</v>
      </c>
      <c r="NLF6" s="88">
        <f t="shared" si="152"/>
        <v>0</v>
      </c>
      <c r="NLG6" s="88">
        <f t="shared" si="152"/>
        <v>0</v>
      </c>
      <c r="NLH6" s="88">
        <f t="shared" si="152"/>
        <v>0</v>
      </c>
      <c r="NLI6" s="88">
        <f t="shared" si="152"/>
        <v>0</v>
      </c>
      <c r="NLJ6" s="88">
        <f t="shared" si="152"/>
        <v>0</v>
      </c>
      <c r="NLK6" s="88">
        <f t="shared" si="152"/>
        <v>0</v>
      </c>
      <c r="NLL6" s="88">
        <f t="shared" si="152"/>
        <v>0</v>
      </c>
      <c r="NLM6" s="88">
        <f t="shared" si="152"/>
        <v>0</v>
      </c>
      <c r="NLN6" s="88">
        <f t="shared" si="152"/>
        <v>0</v>
      </c>
      <c r="NLO6" s="88">
        <f t="shared" si="152"/>
        <v>0</v>
      </c>
      <c r="NLP6" s="88">
        <f t="shared" si="152"/>
        <v>0</v>
      </c>
      <c r="NLQ6" s="88">
        <f t="shared" si="152"/>
        <v>0</v>
      </c>
      <c r="NLR6" s="88">
        <f t="shared" si="152"/>
        <v>0</v>
      </c>
      <c r="NLS6" s="88">
        <f t="shared" si="152"/>
        <v>0</v>
      </c>
      <c r="NLT6" s="88">
        <f t="shared" si="152"/>
        <v>0</v>
      </c>
      <c r="NLU6" s="88">
        <f t="shared" si="152"/>
        <v>0</v>
      </c>
      <c r="NLV6" s="88">
        <f t="shared" si="152"/>
        <v>0</v>
      </c>
      <c r="NLW6" s="88">
        <f t="shared" si="152"/>
        <v>0</v>
      </c>
      <c r="NLX6" s="88">
        <f t="shared" si="152"/>
        <v>0</v>
      </c>
      <c r="NLY6" s="88">
        <f t="shared" si="152"/>
        <v>0</v>
      </c>
      <c r="NLZ6" s="88">
        <f t="shared" si="152"/>
        <v>0</v>
      </c>
      <c r="NMA6" s="88">
        <f t="shared" si="152"/>
        <v>0</v>
      </c>
      <c r="NMB6" s="88">
        <f t="shared" ref="NMB6:NOM6" si="153">SUM(NMC3:NMC5)</f>
        <v>0</v>
      </c>
      <c r="NMC6" s="88">
        <f t="shared" si="153"/>
        <v>0</v>
      </c>
      <c r="NMD6" s="88">
        <f t="shared" si="153"/>
        <v>0</v>
      </c>
      <c r="NME6" s="88">
        <f t="shared" si="153"/>
        <v>0</v>
      </c>
      <c r="NMF6" s="88">
        <f t="shared" si="153"/>
        <v>0</v>
      </c>
      <c r="NMG6" s="88">
        <f t="shared" si="153"/>
        <v>0</v>
      </c>
      <c r="NMH6" s="88">
        <f t="shared" si="153"/>
        <v>0</v>
      </c>
      <c r="NMI6" s="88">
        <f t="shared" si="153"/>
        <v>0</v>
      </c>
      <c r="NMJ6" s="88">
        <f t="shared" si="153"/>
        <v>0</v>
      </c>
      <c r="NMK6" s="88">
        <f t="shared" si="153"/>
        <v>0</v>
      </c>
      <c r="NML6" s="88">
        <f t="shared" si="153"/>
        <v>0</v>
      </c>
      <c r="NMM6" s="88">
        <f t="shared" si="153"/>
        <v>0</v>
      </c>
      <c r="NMN6" s="88">
        <f t="shared" si="153"/>
        <v>0</v>
      </c>
      <c r="NMO6" s="88">
        <f t="shared" si="153"/>
        <v>0</v>
      </c>
      <c r="NMP6" s="88">
        <f t="shared" si="153"/>
        <v>0</v>
      </c>
      <c r="NMQ6" s="88">
        <f t="shared" si="153"/>
        <v>0</v>
      </c>
      <c r="NMR6" s="88">
        <f t="shared" si="153"/>
        <v>0</v>
      </c>
      <c r="NMS6" s="88">
        <f t="shared" si="153"/>
        <v>0</v>
      </c>
      <c r="NMT6" s="88">
        <f t="shared" si="153"/>
        <v>0</v>
      </c>
      <c r="NMU6" s="88">
        <f t="shared" si="153"/>
        <v>0</v>
      </c>
      <c r="NMV6" s="88">
        <f t="shared" si="153"/>
        <v>0</v>
      </c>
      <c r="NMW6" s="88">
        <f t="shared" si="153"/>
        <v>0</v>
      </c>
      <c r="NMX6" s="88">
        <f t="shared" si="153"/>
        <v>0</v>
      </c>
      <c r="NMY6" s="88">
        <f t="shared" si="153"/>
        <v>0</v>
      </c>
      <c r="NMZ6" s="88">
        <f t="shared" si="153"/>
        <v>0</v>
      </c>
      <c r="NNA6" s="88">
        <f t="shared" si="153"/>
        <v>0</v>
      </c>
      <c r="NNB6" s="88">
        <f t="shared" si="153"/>
        <v>0</v>
      </c>
      <c r="NNC6" s="88">
        <f t="shared" si="153"/>
        <v>0</v>
      </c>
      <c r="NND6" s="88">
        <f t="shared" si="153"/>
        <v>0</v>
      </c>
      <c r="NNE6" s="88">
        <f t="shared" si="153"/>
        <v>0</v>
      </c>
      <c r="NNF6" s="88">
        <f t="shared" si="153"/>
        <v>0</v>
      </c>
      <c r="NNG6" s="88">
        <f t="shared" si="153"/>
        <v>0</v>
      </c>
      <c r="NNH6" s="88">
        <f t="shared" si="153"/>
        <v>0</v>
      </c>
      <c r="NNI6" s="88">
        <f t="shared" si="153"/>
        <v>0</v>
      </c>
      <c r="NNJ6" s="88">
        <f t="shared" si="153"/>
        <v>0</v>
      </c>
      <c r="NNK6" s="88">
        <f t="shared" si="153"/>
        <v>0</v>
      </c>
      <c r="NNL6" s="88">
        <f t="shared" si="153"/>
        <v>0</v>
      </c>
      <c r="NNM6" s="88">
        <f t="shared" si="153"/>
        <v>0</v>
      </c>
      <c r="NNN6" s="88">
        <f t="shared" si="153"/>
        <v>0</v>
      </c>
      <c r="NNO6" s="88">
        <f t="shared" si="153"/>
        <v>0</v>
      </c>
      <c r="NNP6" s="88">
        <f t="shared" si="153"/>
        <v>0</v>
      </c>
      <c r="NNQ6" s="88">
        <f t="shared" si="153"/>
        <v>0</v>
      </c>
      <c r="NNR6" s="88">
        <f t="shared" si="153"/>
        <v>0</v>
      </c>
      <c r="NNS6" s="88">
        <f t="shared" si="153"/>
        <v>0</v>
      </c>
      <c r="NNT6" s="88">
        <f t="shared" si="153"/>
        <v>0</v>
      </c>
      <c r="NNU6" s="88">
        <f t="shared" si="153"/>
        <v>0</v>
      </c>
      <c r="NNV6" s="88">
        <f t="shared" si="153"/>
        <v>0</v>
      </c>
      <c r="NNW6" s="88">
        <f t="shared" si="153"/>
        <v>0</v>
      </c>
      <c r="NNX6" s="88">
        <f t="shared" si="153"/>
        <v>0</v>
      </c>
      <c r="NNY6" s="88">
        <f t="shared" si="153"/>
        <v>0</v>
      </c>
      <c r="NNZ6" s="88">
        <f t="shared" si="153"/>
        <v>0</v>
      </c>
      <c r="NOA6" s="88">
        <f t="shared" si="153"/>
        <v>0</v>
      </c>
      <c r="NOB6" s="88">
        <f t="shared" si="153"/>
        <v>0</v>
      </c>
      <c r="NOC6" s="88">
        <f t="shared" si="153"/>
        <v>0</v>
      </c>
      <c r="NOD6" s="88">
        <f t="shared" si="153"/>
        <v>0</v>
      </c>
      <c r="NOE6" s="88">
        <f t="shared" si="153"/>
        <v>0</v>
      </c>
      <c r="NOF6" s="88">
        <f t="shared" si="153"/>
        <v>0</v>
      </c>
      <c r="NOG6" s="88">
        <f t="shared" si="153"/>
        <v>0</v>
      </c>
      <c r="NOH6" s="88">
        <f t="shared" si="153"/>
        <v>0</v>
      </c>
      <c r="NOI6" s="88">
        <f t="shared" si="153"/>
        <v>0</v>
      </c>
      <c r="NOJ6" s="88">
        <f t="shared" si="153"/>
        <v>0</v>
      </c>
      <c r="NOK6" s="88">
        <f t="shared" si="153"/>
        <v>0</v>
      </c>
      <c r="NOL6" s="88">
        <f t="shared" si="153"/>
        <v>0</v>
      </c>
      <c r="NOM6" s="88">
        <f t="shared" si="153"/>
        <v>0</v>
      </c>
      <c r="NON6" s="88">
        <f t="shared" ref="NON6:NQY6" si="154">SUM(NOO3:NOO5)</f>
        <v>0</v>
      </c>
      <c r="NOO6" s="88">
        <f t="shared" si="154"/>
        <v>0</v>
      </c>
      <c r="NOP6" s="88">
        <f t="shared" si="154"/>
        <v>0</v>
      </c>
      <c r="NOQ6" s="88">
        <f t="shared" si="154"/>
        <v>0</v>
      </c>
      <c r="NOR6" s="88">
        <f t="shared" si="154"/>
        <v>0</v>
      </c>
      <c r="NOS6" s="88">
        <f t="shared" si="154"/>
        <v>0</v>
      </c>
      <c r="NOT6" s="88">
        <f t="shared" si="154"/>
        <v>0</v>
      </c>
      <c r="NOU6" s="88">
        <f t="shared" si="154"/>
        <v>0</v>
      </c>
      <c r="NOV6" s="88">
        <f t="shared" si="154"/>
        <v>0</v>
      </c>
      <c r="NOW6" s="88">
        <f t="shared" si="154"/>
        <v>0</v>
      </c>
      <c r="NOX6" s="88">
        <f t="shared" si="154"/>
        <v>0</v>
      </c>
      <c r="NOY6" s="88">
        <f t="shared" si="154"/>
        <v>0</v>
      </c>
      <c r="NOZ6" s="88">
        <f t="shared" si="154"/>
        <v>0</v>
      </c>
      <c r="NPA6" s="88">
        <f t="shared" si="154"/>
        <v>0</v>
      </c>
      <c r="NPB6" s="88">
        <f t="shared" si="154"/>
        <v>0</v>
      </c>
      <c r="NPC6" s="88">
        <f t="shared" si="154"/>
        <v>0</v>
      </c>
      <c r="NPD6" s="88">
        <f t="shared" si="154"/>
        <v>0</v>
      </c>
      <c r="NPE6" s="88">
        <f t="shared" si="154"/>
        <v>0</v>
      </c>
      <c r="NPF6" s="88">
        <f t="shared" si="154"/>
        <v>0</v>
      </c>
      <c r="NPG6" s="88">
        <f t="shared" si="154"/>
        <v>0</v>
      </c>
      <c r="NPH6" s="88">
        <f t="shared" si="154"/>
        <v>0</v>
      </c>
      <c r="NPI6" s="88">
        <f t="shared" si="154"/>
        <v>0</v>
      </c>
      <c r="NPJ6" s="88">
        <f t="shared" si="154"/>
        <v>0</v>
      </c>
      <c r="NPK6" s="88">
        <f t="shared" si="154"/>
        <v>0</v>
      </c>
      <c r="NPL6" s="88">
        <f t="shared" si="154"/>
        <v>0</v>
      </c>
      <c r="NPM6" s="88">
        <f t="shared" si="154"/>
        <v>0</v>
      </c>
      <c r="NPN6" s="88">
        <f t="shared" si="154"/>
        <v>0</v>
      </c>
      <c r="NPO6" s="88">
        <f t="shared" si="154"/>
        <v>0</v>
      </c>
      <c r="NPP6" s="88">
        <f t="shared" si="154"/>
        <v>0</v>
      </c>
      <c r="NPQ6" s="88">
        <f t="shared" si="154"/>
        <v>0</v>
      </c>
      <c r="NPR6" s="88">
        <f t="shared" si="154"/>
        <v>0</v>
      </c>
      <c r="NPS6" s="88">
        <f t="shared" si="154"/>
        <v>0</v>
      </c>
      <c r="NPT6" s="88">
        <f t="shared" si="154"/>
        <v>0</v>
      </c>
      <c r="NPU6" s="88">
        <f t="shared" si="154"/>
        <v>0</v>
      </c>
      <c r="NPV6" s="88">
        <f t="shared" si="154"/>
        <v>0</v>
      </c>
      <c r="NPW6" s="88">
        <f t="shared" si="154"/>
        <v>0</v>
      </c>
      <c r="NPX6" s="88">
        <f t="shared" si="154"/>
        <v>0</v>
      </c>
      <c r="NPY6" s="88">
        <f t="shared" si="154"/>
        <v>0</v>
      </c>
      <c r="NPZ6" s="88">
        <f t="shared" si="154"/>
        <v>0</v>
      </c>
      <c r="NQA6" s="88">
        <f t="shared" si="154"/>
        <v>0</v>
      </c>
      <c r="NQB6" s="88">
        <f t="shared" si="154"/>
        <v>0</v>
      </c>
      <c r="NQC6" s="88">
        <f t="shared" si="154"/>
        <v>0</v>
      </c>
      <c r="NQD6" s="88">
        <f t="shared" si="154"/>
        <v>0</v>
      </c>
      <c r="NQE6" s="88">
        <f t="shared" si="154"/>
        <v>0</v>
      </c>
      <c r="NQF6" s="88">
        <f t="shared" si="154"/>
        <v>0</v>
      </c>
      <c r="NQG6" s="88">
        <f t="shared" si="154"/>
        <v>0</v>
      </c>
      <c r="NQH6" s="88">
        <f t="shared" si="154"/>
        <v>0</v>
      </c>
      <c r="NQI6" s="88">
        <f t="shared" si="154"/>
        <v>0</v>
      </c>
      <c r="NQJ6" s="88">
        <f t="shared" si="154"/>
        <v>0</v>
      </c>
      <c r="NQK6" s="88">
        <f t="shared" si="154"/>
        <v>0</v>
      </c>
      <c r="NQL6" s="88">
        <f t="shared" si="154"/>
        <v>0</v>
      </c>
      <c r="NQM6" s="88">
        <f t="shared" si="154"/>
        <v>0</v>
      </c>
      <c r="NQN6" s="88">
        <f t="shared" si="154"/>
        <v>0</v>
      </c>
      <c r="NQO6" s="88">
        <f t="shared" si="154"/>
        <v>0</v>
      </c>
      <c r="NQP6" s="88">
        <f t="shared" si="154"/>
        <v>0</v>
      </c>
      <c r="NQQ6" s="88">
        <f t="shared" si="154"/>
        <v>0</v>
      </c>
      <c r="NQR6" s="88">
        <f t="shared" si="154"/>
        <v>0</v>
      </c>
      <c r="NQS6" s="88">
        <f t="shared" si="154"/>
        <v>0</v>
      </c>
      <c r="NQT6" s="88">
        <f t="shared" si="154"/>
        <v>0</v>
      </c>
      <c r="NQU6" s="88">
        <f t="shared" si="154"/>
        <v>0</v>
      </c>
      <c r="NQV6" s="88">
        <f t="shared" si="154"/>
        <v>0</v>
      </c>
      <c r="NQW6" s="88">
        <f t="shared" si="154"/>
        <v>0</v>
      </c>
      <c r="NQX6" s="88">
        <f t="shared" si="154"/>
        <v>0</v>
      </c>
      <c r="NQY6" s="88">
        <f t="shared" si="154"/>
        <v>0</v>
      </c>
      <c r="NQZ6" s="88">
        <f t="shared" ref="NQZ6:NTK6" si="155">SUM(NRA3:NRA5)</f>
        <v>0</v>
      </c>
      <c r="NRA6" s="88">
        <f t="shared" si="155"/>
        <v>0</v>
      </c>
      <c r="NRB6" s="88">
        <f t="shared" si="155"/>
        <v>0</v>
      </c>
      <c r="NRC6" s="88">
        <f t="shared" si="155"/>
        <v>0</v>
      </c>
      <c r="NRD6" s="88">
        <f t="shared" si="155"/>
        <v>0</v>
      </c>
      <c r="NRE6" s="88">
        <f t="shared" si="155"/>
        <v>0</v>
      </c>
      <c r="NRF6" s="88">
        <f t="shared" si="155"/>
        <v>0</v>
      </c>
      <c r="NRG6" s="88">
        <f t="shared" si="155"/>
        <v>0</v>
      </c>
      <c r="NRH6" s="88">
        <f t="shared" si="155"/>
        <v>0</v>
      </c>
      <c r="NRI6" s="88">
        <f t="shared" si="155"/>
        <v>0</v>
      </c>
      <c r="NRJ6" s="88">
        <f t="shared" si="155"/>
        <v>0</v>
      </c>
      <c r="NRK6" s="88">
        <f t="shared" si="155"/>
        <v>0</v>
      </c>
      <c r="NRL6" s="88">
        <f t="shared" si="155"/>
        <v>0</v>
      </c>
      <c r="NRM6" s="88">
        <f t="shared" si="155"/>
        <v>0</v>
      </c>
      <c r="NRN6" s="88">
        <f t="shared" si="155"/>
        <v>0</v>
      </c>
      <c r="NRO6" s="88">
        <f t="shared" si="155"/>
        <v>0</v>
      </c>
      <c r="NRP6" s="88">
        <f t="shared" si="155"/>
        <v>0</v>
      </c>
      <c r="NRQ6" s="88">
        <f t="shared" si="155"/>
        <v>0</v>
      </c>
      <c r="NRR6" s="88">
        <f t="shared" si="155"/>
        <v>0</v>
      </c>
      <c r="NRS6" s="88">
        <f t="shared" si="155"/>
        <v>0</v>
      </c>
      <c r="NRT6" s="88">
        <f t="shared" si="155"/>
        <v>0</v>
      </c>
      <c r="NRU6" s="88">
        <f t="shared" si="155"/>
        <v>0</v>
      </c>
      <c r="NRV6" s="88">
        <f t="shared" si="155"/>
        <v>0</v>
      </c>
      <c r="NRW6" s="88">
        <f t="shared" si="155"/>
        <v>0</v>
      </c>
      <c r="NRX6" s="88">
        <f t="shared" si="155"/>
        <v>0</v>
      </c>
      <c r="NRY6" s="88">
        <f t="shared" si="155"/>
        <v>0</v>
      </c>
      <c r="NRZ6" s="88">
        <f t="shared" si="155"/>
        <v>0</v>
      </c>
      <c r="NSA6" s="88">
        <f t="shared" si="155"/>
        <v>0</v>
      </c>
      <c r="NSB6" s="88">
        <f t="shared" si="155"/>
        <v>0</v>
      </c>
      <c r="NSC6" s="88">
        <f t="shared" si="155"/>
        <v>0</v>
      </c>
      <c r="NSD6" s="88">
        <f t="shared" si="155"/>
        <v>0</v>
      </c>
      <c r="NSE6" s="88">
        <f t="shared" si="155"/>
        <v>0</v>
      </c>
      <c r="NSF6" s="88">
        <f t="shared" si="155"/>
        <v>0</v>
      </c>
      <c r="NSG6" s="88">
        <f t="shared" si="155"/>
        <v>0</v>
      </c>
      <c r="NSH6" s="88">
        <f t="shared" si="155"/>
        <v>0</v>
      </c>
      <c r="NSI6" s="88">
        <f t="shared" si="155"/>
        <v>0</v>
      </c>
      <c r="NSJ6" s="88">
        <f t="shared" si="155"/>
        <v>0</v>
      </c>
      <c r="NSK6" s="88">
        <f t="shared" si="155"/>
        <v>0</v>
      </c>
      <c r="NSL6" s="88">
        <f t="shared" si="155"/>
        <v>0</v>
      </c>
      <c r="NSM6" s="88">
        <f t="shared" si="155"/>
        <v>0</v>
      </c>
      <c r="NSN6" s="88">
        <f t="shared" si="155"/>
        <v>0</v>
      </c>
      <c r="NSO6" s="88">
        <f t="shared" si="155"/>
        <v>0</v>
      </c>
      <c r="NSP6" s="88">
        <f t="shared" si="155"/>
        <v>0</v>
      </c>
      <c r="NSQ6" s="88">
        <f t="shared" si="155"/>
        <v>0</v>
      </c>
      <c r="NSR6" s="88">
        <f t="shared" si="155"/>
        <v>0</v>
      </c>
      <c r="NSS6" s="88">
        <f t="shared" si="155"/>
        <v>0</v>
      </c>
      <c r="NST6" s="88">
        <f t="shared" si="155"/>
        <v>0</v>
      </c>
      <c r="NSU6" s="88">
        <f t="shared" si="155"/>
        <v>0</v>
      </c>
      <c r="NSV6" s="88">
        <f t="shared" si="155"/>
        <v>0</v>
      </c>
      <c r="NSW6" s="88">
        <f t="shared" si="155"/>
        <v>0</v>
      </c>
      <c r="NSX6" s="88">
        <f t="shared" si="155"/>
        <v>0</v>
      </c>
      <c r="NSY6" s="88">
        <f t="shared" si="155"/>
        <v>0</v>
      </c>
      <c r="NSZ6" s="88">
        <f t="shared" si="155"/>
        <v>0</v>
      </c>
      <c r="NTA6" s="88">
        <f t="shared" si="155"/>
        <v>0</v>
      </c>
      <c r="NTB6" s="88">
        <f t="shared" si="155"/>
        <v>0</v>
      </c>
      <c r="NTC6" s="88">
        <f t="shared" si="155"/>
        <v>0</v>
      </c>
      <c r="NTD6" s="88">
        <f t="shared" si="155"/>
        <v>0</v>
      </c>
      <c r="NTE6" s="88">
        <f t="shared" si="155"/>
        <v>0</v>
      </c>
      <c r="NTF6" s="88">
        <f t="shared" si="155"/>
        <v>0</v>
      </c>
      <c r="NTG6" s="88">
        <f t="shared" si="155"/>
        <v>0</v>
      </c>
      <c r="NTH6" s="88">
        <f t="shared" si="155"/>
        <v>0</v>
      </c>
      <c r="NTI6" s="88">
        <f t="shared" si="155"/>
        <v>0</v>
      </c>
      <c r="NTJ6" s="88">
        <f t="shared" si="155"/>
        <v>0</v>
      </c>
      <c r="NTK6" s="88">
        <f t="shared" si="155"/>
        <v>0</v>
      </c>
      <c r="NTL6" s="88">
        <f t="shared" ref="NTL6:NVW6" si="156">SUM(NTM3:NTM5)</f>
        <v>0</v>
      </c>
      <c r="NTM6" s="88">
        <f t="shared" si="156"/>
        <v>0</v>
      </c>
      <c r="NTN6" s="88">
        <f t="shared" si="156"/>
        <v>0</v>
      </c>
      <c r="NTO6" s="88">
        <f t="shared" si="156"/>
        <v>0</v>
      </c>
      <c r="NTP6" s="88">
        <f t="shared" si="156"/>
        <v>0</v>
      </c>
      <c r="NTQ6" s="88">
        <f t="shared" si="156"/>
        <v>0</v>
      </c>
      <c r="NTR6" s="88">
        <f t="shared" si="156"/>
        <v>0</v>
      </c>
      <c r="NTS6" s="88">
        <f t="shared" si="156"/>
        <v>0</v>
      </c>
      <c r="NTT6" s="88">
        <f t="shared" si="156"/>
        <v>0</v>
      </c>
      <c r="NTU6" s="88">
        <f t="shared" si="156"/>
        <v>0</v>
      </c>
      <c r="NTV6" s="88">
        <f t="shared" si="156"/>
        <v>0</v>
      </c>
      <c r="NTW6" s="88">
        <f t="shared" si="156"/>
        <v>0</v>
      </c>
      <c r="NTX6" s="88">
        <f t="shared" si="156"/>
        <v>0</v>
      </c>
      <c r="NTY6" s="88">
        <f t="shared" si="156"/>
        <v>0</v>
      </c>
      <c r="NTZ6" s="88">
        <f t="shared" si="156"/>
        <v>0</v>
      </c>
      <c r="NUA6" s="88">
        <f t="shared" si="156"/>
        <v>0</v>
      </c>
      <c r="NUB6" s="88">
        <f t="shared" si="156"/>
        <v>0</v>
      </c>
      <c r="NUC6" s="88">
        <f t="shared" si="156"/>
        <v>0</v>
      </c>
      <c r="NUD6" s="88">
        <f t="shared" si="156"/>
        <v>0</v>
      </c>
      <c r="NUE6" s="88">
        <f t="shared" si="156"/>
        <v>0</v>
      </c>
      <c r="NUF6" s="88">
        <f t="shared" si="156"/>
        <v>0</v>
      </c>
      <c r="NUG6" s="88">
        <f t="shared" si="156"/>
        <v>0</v>
      </c>
      <c r="NUH6" s="88">
        <f t="shared" si="156"/>
        <v>0</v>
      </c>
      <c r="NUI6" s="88">
        <f t="shared" si="156"/>
        <v>0</v>
      </c>
      <c r="NUJ6" s="88">
        <f t="shared" si="156"/>
        <v>0</v>
      </c>
      <c r="NUK6" s="88">
        <f t="shared" si="156"/>
        <v>0</v>
      </c>
      <c r="NUL6" s="88">
        <f t="shared" si="156"/>
        <v>0</v>
      </c>
      <c r="NUM6" s="88">
        <f t="shared" si="156"/>
        <v>0</v>
      </c>
      <c r="NUN6" s="88">
        <f t="shared" si="156"/>
        <v>0</v>
      </c>
      <c r="NUO6" s="88">
        <f t="shared" si="156"/>
        <v>0</v>
      </c>
      <c r="NUP6" s="88">
        <f t="shared" si="156"/>
        <v>0</v>
      </c>
      <c r="NUQ6" s="88">
        <f t="shared" si="156"/>
        <v>0</v>
      </c>
      <c r="NUR6" s="88">
        <f t="shared" si="156"/>
        <v>0</v>
      </c>
      <c r="NUS6" s="88">
        <f t="shared" si="156"/>
        <v>0</v>
      </c>
      <c r="NUT6" s="88">
        <f t="shared" si="156"/>
        <v>0</v>
      </c>
      <c r="NUU6" s="88">
        <f t="shared" si="156"/>
        <v>0</v>
      </c>
      <c r="NUV6" s="88">
        <f t="shared" si="156"/>
        <v>0</v>
      </c>
      <c r="NUW6" s="88">
        <f t="shared" si="156"/>
        <v>0</v>
      </c>
      <c r="NUX6" s="88">
        <f t="shared" si="156"/>
        <v>0</v>
      </c>
      <c r="NUY6" s="88">
        <f t="shared" si="156"/>
        <v>0</v>
      </c>
      <c r="NUZ6" s="88">
        <f t="shared" si="156"/>
        <v>0</v>
      </c>
      <c r="NVA6" s="88">
        <f t="shared" si="156"/>
        <v>0</v>
      </c>
      <c r="NVB6" s="88">
        <f t="shared" si="156"/>
        <v>0</v>
      </c>
      <c r="NVC6" s="88">
        <f t="shared" si="156"/>
        <v>0</v>
      </c>
      <c r="NVD6" s="88">
        <f t="shared" si="156"/>
        <v>0</v>
      </c>
      <c r="NVE6" s="88">
        <f t="shared" si="156"/>
        <v>0</v>
      </c>
      <c r="NVF6" s="88">
        <f t="shared" si="156"/>
        <v>0</v>
      </c>
      <c r="NVG6" s="88">
        <f t="shared" si="156"/>
        <v>0</v>
      </c>
      <c r="NVH6" s="88">
        <f t="shared" si="156"/>
        <v>0</v>
      </c>
      <c r="NVI6" s="88">
        <f t="shared" si="156"/>
        <v>0</v>
      </c>
      <c r="NVJ6" s="88">
        <f t="shared" si="156"/>
        <v>0</v>
      </c>
      <c r="NVK6" s="88">
        <f t="shared" si="156"/>
        <v>0</v>
      </c>
      <c r="NVL6" s="88">
        <f t="shared" si="156"/>
        <v>0</v>
      </c>
      <c r="NVM6" s="88">
        <f t="shared" si="156"/>
        <v>0</v>
      </c>
      <c r="NVN6" s="88">
        <f t="shared" si="156"/>
        <v>0</v>
      </c>
      <c r="NVO6" s="88">
        <f t="shared" si="156"/>
        <v>0</v>
      </c>
      <c r="NVP6" s="88">
        <f t="shared" si="156"/>
        <v>0</v>
      </c>
      <c r="NVQ6" s="88">
        <f t="shared" si="156"/>
        <v>0</v>
      </c>
      <c r="NVR6" s="88">
        <f t="shared" si="156"/>
        <v>0</v>
      </c>
      <c r="NVS6" s="88">
        <f t="shared" si="156"/>
        <v>0</v>
      </c>
      <c r="NVT6" s="88">
        <f t="shared" si="156"/>
        <v>0</v>
      </c>
      <c r="NVU6" s="88">
        <f t="shared" si="156"/>
        <v>0</v>
      </c>
      <c r="NVV6" s="88">
        <f t="shared" si="156"/>
        <v>0</v>
      </c>
      <c r="NVW6" s="88">
        <f t="shared" si="156"/>
        <v>0</v>
      </c>
      <c r="NVX6" s="88">
        <f t="shared" ref="NVX6:NYI6" si="157">SUM(NVY3:NVY5)</f>
        <v>0</v>
      </c>
      <c r="NVY6" s="88">
        <f t="shared" si="157"/>
        <v>0</v>
      </c>
      <c r="NVZ6" s="88">
        <f t="shared" si="157"/>
        <v>0</v>
      </c>
      <c r="NWA6" s="88">
        <f t="shared" si="157"/>
        <v>0</v>
      </c>
      <c r="NWB6" s="88">
        <f t="shared" si="157"/>
        <v>0</v>
      </c>
      <c r="NWC6" s="88">
        <f t="shared" si="157"/>
        <v>0</v>
      </c>
      <c r="NWD6" s="88">
        <f t="shared" si="157"/>
        <v>0</v>
      </c>
      <c r="NWE6" s="88">
        <f t="shared" si="157"/>
        <v>0</v>
      </c>
      <c r="NWF6" s="88">
        <f t="shared" si="157"/>
        <v>0</v>
      </c>
      <c r="NWG6" s="88">
        <f t="shared" si="157"/>
        <v>0</v>
      </c>
      <c r="NWH6" s="88">
        <f t="shared" si="157"/>
        <v>0</v>
      </c>
      <c r="NWI6" s="88">
        <f t="shared" si="157"/>
        <v>0</v>
      </c>
      <c r="NWJ6" s="88">
        <f t="shared" si="157"/>
        <v>0</v>
      </c>
      <c r="NWK6" s="88">
        <f t="shared" si="157"/>
        <v>0</v>
      </c>
      <c r="NWL6" s="88">
        <f t="shared" si="157"/>
        <v>0</v>
      </c>
      <c r="NWM6" s="88">
        <f t="shared" si="157"/>
        <v>0</v>
      </c>
      <c r="NWN6" s="88">
        <f t="shared" si="157"/>
        <v>0</v>
      </c>
      <c r="NWO6" s="88">
        <f t="shared" si="157"/>
        <v>0</v>
      </c>
      <c r="NWP6" s="88">
        <f t="shared" si="157"/>
        <v>0</v>
      </c>
      <c r="NWQ6" s="88">
        <f t="shared" si="157"/>
        <v>0</v>
      </c>
      <c r="NWR6" s="88">
        <f t="shared" si="157"/>
        <v>0</v>
      </c>
      <c r="NWS6" s="88">
        <f t="shared" si="157"/>
        <v>0</v>
      </c>
      <c r="NWT6" s="88">
        <f t="shared" si="157"/>
        <v>0</v>
      </c>
      <c r="NWU6" s="88">
        <f t="shared" si="157"/>
        <v>0</v>
      </c>
      <c r="NWV6" s="88">
        <f t="shared" si="157"/>
        <v>0</v>
      </c>
      <c r="NWW6" s="88">
        <f t="shared" si="157"/>
        <v>0</v>
      </c>
      <c r="NWX6" s="88">
        <f t="shared" si="157"/>
        <v>0</v>
      </c>
      <c r="NWY6" s="88">
        <f t="shared" si="157"/>
        <v>0</v>
      </c>
      <c r="NWZ6" s="88">
        <f t="shared" si="157"/>
        <v>0</v>
      </c>
      <c r="NXA6" s="88">
        <f t="shared" si="157"/>
        <v>0</v>
      </c>
      <c r="NXB6" s="88">
        <f t="shared" si="157"/>
        <v>0</v>
      </c>
      <c r="NXC6" s="88">
        <f t="shared" si="157"/>
        <v>0</v>
      </c>
      <c r="NXD6" s="88">
        <f t="shared" si="157"/>
        <v>0</v>
      </c>
      <c r="NXE6" s="88">
        <f t="shared" si="157"/>
        <v>0</v>
      </c>
      <c r="NXF6" s="88">
        <f t="shared" si="157"/>
        <v>0</v>
      </c>
      <c r="NXG6" s="88">
        <f t="shared" si="157"/>
        <v>0</v>
      </c>
      <c r="NXH6" s="88">
        <f t="shared" si="157"/>
        <v>0</v>
      </c>
      <c r="NXI6" s="88">
        <f t="shared" si="157"/>
        <v>0</v>
      </c>
      <c r="NXJ6" s="88">
        <f t="shared" si="157"/>
        <v>0</v>
      </c>
      <c r="NXK6" s="88">
        <f t="shared" si="157"/>
        <v>0</v>
      </c>
      <c r="NXL6" s="88">
        <f t="shared" si="157"/>
        <v>0</v>
      </c>
      <c r="NXM6" s="88">
        <f t="shared" si="157"/>
        <v>0</v>
      </c>
      <c r="NXN6" s="88">
        <f t="shared" si="157"/>
        <v>0</v>
      </c>
      <c r="NXO6" s="88">
        <f t="shared" si="157"/>
        <v>0</v>
      </c>
      <c r="NXP6" s="88">
        <f t="shared" si="157"/>
        <v>0</v>
      </c>
      <c r="NXQ6" s="88">
        <f t="shared" si="157"/>
        <v>0</v>
      </c>
      <c r="NXR6" s="88">
        <f t="shared" si="157"/>
        <v>0</v>
      </c>
      <c r="NXS6" s="88">
        <f t="shared" si="157"/>
        <v>0</v>
      </c>
      <c r="NXT6" s="88">
        <f t="shared" si="157"/>
        <v>0</v>
      </c>
      <c r="NXU6" s="88">
        <f t="shared" si="157"/>
        <v>0</v>
      </c>
      <c r="NXV6" s="88">
        <f t="shared" si="157"/>
        <v>0</v>
      </c>
      <c r="NXW6" s="88">
        <f t="shared" si="157"/>
        <v>0</v>
      </c>
      <c r="NXX6" s="88">
        <f t="shared" si="157"/>
        <v>0</v>
      </c>
      <c r="NXY6" s="88">
        <f t="shared" si="157"/>
        <v>0</v>
      </c>
      <c r="NXZ6" s="88">
        <f t="shared" si="157"/>
        <v>0</v>
      </c>
      <c r="NYA6" s="88">
        <f t="shared" si="157"/>
        <v>0</v>
      </c>
      <c r="NYB6" s="88">
        <f t="shared" si="157"/>
        <v>0</v>
      </c>
      <c r="NYC6" s="88">
        <f t="shared" si="157"/>
        <v>0</v>
      </c>
      <c r="NYD6" s="88">
        <f t="shared" si="157"/>
        <v>0</v>
      </c>
      <c r="NYE6" s="88">
        <f t="shared" si="157"/>
        <v>0</v>
      </c>
      <c r="NYF6" s="88">
        <f t="shared" si="157"/>
        <v>0</v>
      </c>
      <c r="NYG6" s="88">
        <f t="shared" si="157"/>
        <v>0</v>
      </c>
      <c r="NYH6" s="88">
        <f t="shared" si="157"/>
        <v>0</v>
      </c>
      <c r="NYI6" s="88">
        <f t="shared" si="157"/>
        <v>0</v>
      </c>
      <c r="NYJ6" s="88">
        <f t="shared" ref="NYJ6:OAU6" si="158">SUM(NYK3:NYK5)</f>
        <v>0</v>
      </c>
      <c r="NYK6" s="88">
        <f t="shared" si="158"/>
        <v>0</v>
      </c>
      <c r="NYL6" s="88">
        <f t="shared" si="158"/>
        <v>0</v>
      </c>
      <c r="NYM6" s="88">
        <f t="shared" si="158"/>
        <v>0</v>
      </c>
      <c r="NYN6" s="88">
        <f t="shared" si="158"/>
        <v>0</v>
      </c>
      <c r="NYO6" s="88">
        <f t="shared" si="158"/>
        <v>0</v>
      </c>
      <c r="NYP6" s="88">
        <f t="shared" si="158"/>
        <v>0</v>
      </c>
      <c r="NYQ6" s="88">
        <f t="shared" si="158"/>
        <v>0</v>
      </c>
      <c r="NYR6" s="88">
        <f t="shared" si="158"/>
        <v>0</v>
      </c>
      <c r="NYS6" s="88">
        <f t="shared" si="158"/>
        <v>0</v>
      </c>
      <c r="NYT6" s="88">
        <f t="shared" si="158"/>
        <v>0</v>
      </c>
      <c r="NYU6" s="88">
        <f t="shared" si="158"/>
        <v>0</v>
      </c>
      <c r="NYV6" s="88">
        <f t="shared" si="158"/>
        <v>0</v>
      </c>
      <c r="NYW6" s="88">
        <f t="shared" si="158"/>
        <v>0</v>
      </c>
      <c r="NYX6" s="88">
        <f t="shared" si="158"/>
        <v>0</v>
      </c>
      <c r="NYY6" s="88">
        <f t="shared" si="158"/>
        <v>0</v>
      </c>
      <c r="NYZ6" s="88">
        <f t="shared" si="158"/>
        <v>0</v>
      </c>
      <c r="NZA6" s="88">
        <f t="shared" si="158"/>
        <v>0</v>
      </c>
      <c r="NZB6" s="88">
        <f t="shared" si="158"/>
        <v>0</v>
      </c>
      <c r="NZC6" s="88">
        <f t="shared" si="158"/>
        <v>0</v>
      </c>
      <c r="NZD6" s="88">
        <f t="shared" si="158"/>
        <v>0</v>
      </c>
      <c r="NZE6" s="88">
        <f t="shared" si="158"/>
        <v>0</v>
      </c>
      <c r="NZF6" s="88">
        <f t="shared" si="158"/>
        <v>0</v>
      </c>
      <c r="NZG6" s="88">
        <f t="shared" si="158"/>
        <v>0</v>
      </c>
      <c r="NZH6" s="88">
        <f t="shared" si="158"/>
        <v>0</v>
      </c>
      <c r="NZI6" s="88">
        <f t="shared" si="158"/>
        <v>0</v>
      </c>
      <c r="NZJ6" s="88">
        <f t="shared" si="158"/>
        <v>0</v>
      </c>
      <c r="NZK6" s="88">
        <f t="shared" si="158"/>
        <v>0</v>
      </c>
      <c r="NZL6" s="88">
        <f t="shared" si="158"/>
        <v>0</v>
      </c>
      <c r="NZM6" s="88">
        <f t="shared" si="158"/>
        <v>0</v>
      </c>
      <c r="NZN6" s="88">
        <f t="shared" si="158"/>
        <v>0</v>
      </c>
      <c r="NZO6" s="88">
        <f t="shared" si="158"/>
        <v>0</v>
      </c>
      <c r="NZP6" s="88">
        <f t="shared" si="158"/>
        <v>0</v>
      </c>
      <c r="NZQ6" s="88">
        <f t="shared" si="158"/>
        <v>0</v>
      </c>
      <c r="NZR6" s="88">
        <f t="shared" si="158"/>
        <v>0</v>
      </c>
      <c r="NZS6" s="88">
        <f t="shared" si="158"/>
        <v>0</v>
      </c>
      <c r="NZT6" s="88">
        <f t="shared" si="158"/>
        <v>0</v>
      </c>
      <c r="NZU6" s="88">
        <f t="shared" si="158"/>
        <v>0</v>
      </c>
      <c r="NZV6" s="88">
        <f t="shared" si="158"/>
        <v>0</v>
      </c>
      <c r="NZW6" s="88">
        <f t="shared" si="158"/>
        <v>0</v>
      </c>
      <c r="NZX6" s="88">
        <f t="shared" si="158"/>
        <v>0</v>
      </c>
      <c r="NZY6" s="88">
        <f t="shared" si="158"/>
        <v>0</v>
      </c>
      <c r="NZZ6" s="88">
        <f t="shared" si="158"/>
        <v>0</v>
      </c>
      <c r="OAA6" s="88">
        <f t="shared" si="158"/>
        <v>0</v>
      </c>
      <c r="OAB6" s="88">
        <f t="shared" si="158"/>
        <v>0</v>
      </c>
      <c r="OAC6" s="88">
        <f t="shared" si="158"/>
        <v>0</v>
      </c>
      <c r="OAD6" s="88">
        <f t="shared" si="158"/>
        <v>0</v>
      </c>
      <c r="OAE6" s="88">
        <f t="shared" si="158"/>
        <v>0</v>
      </c>
      <c r="OAF6" s="88">
        <f t="shared" si="158"/>
        <v>0</v>
      </c>
      <c r="OAG6" s="88">
        <f t="shared" si="158"/>
        <v>0</v>
      </c>
      <c r="OAH6" s="88">
        <f t="shared" si="158"/>
        <v>0</v>
      </c>
      <c r="OAI6" s="88">
        <f t="shared" si="158"/>
        <v>0</v>
      </c>
      <c r="OAJ6" s="88">
        <f t="shared" si="158"/>
        <v>0</v>
      </c>
      <c r="OAK6" s="88">
        <f t="shared" si="158"/>
        <v>0</v>
      </c>
      <c r="OAL6" s="88">
        <f t="shared" si="158"/>
        <v>0</v>
      </c>
      <c r="OAM6" s="88">
        <f t="shared" si="158"/>
        <v>0</v>
      </c>
      <c r="OAN6" s="88">
        <f t="shared" si="158"/>
        <v>0</v>
      </c>
      <c r="OAO6" s="88">
        <f t="shared" si="158"/>
        <v>0</v>
      </c>
      <c r="OAP6" s="88">
        <f t="shared" si="158"/>
        <v>0</v>
      </c>
      <c r="OAQ6" s="88">
        <f t="shared" si="158"/>
        <v>0</v>
      </c>
      <c r="OAR6" s="88">
        <f t="shared" si="158"/>
        <v>0</v>
      </c>
      <c r="OAS6" s="88">
        <f t="shared" si="158"/>
        <v>0</v>
      </c>
      <c r="OAT6" s="88">
        <f t="shared" si="158"/>
        <v>0</v>
      </c>
      <c r="OAU6" s="88">
        <f t="shared" si="158"/>
        <v>0</v>
      </c>
      <c r="OAV6" s="88">
        <f t="shared" ref="OAV6:ODG6" si="159">SUM(OAW3:OAW5)</f>
        <v>0</v>
      </c>
      <c r="OAW6" s="88">
        <f t="shared" si="159"/>
        <v>0</v>
      </c>
      <c r="OAX6" s="88">
        <f t="shared" si="159"/>
        <v>0</v>
      </c>
      <c r="OAY6" s="88">
        <f t="shared" si="159"/>
        <v>0</v>
      </c>
      <c r="OAZ6" s="88">
        <f t="shared" si="159"/>
        <v>0</v>
      </c>
      <c r="OBA6" s="88">
        <f t="shared" si="159"/>
        <v>0</v>
      </c>
      <c r="OBB6" s="88">
        <f t="shared" si="159"/>
        <v>0</v>
      </c>
      <c r="OBC6" s="88">
        <f t="shared" si="159"/>
        <v>0</v>
      </c>
      <c r="OBD6" s="88">
        <f t="shared" si="159"/>
        <v>0</v>
      </c>
      <c r="OBE6" s="88">
        <f t="shared" si="159"/>
        <v>0</v>
      </c>
      <c r="OBF6" s="88">
        <f t="shared" si="159"/>
        <v>0</v>
      </c>
      <c r="OBG6" s="88">
        <f t="shared" si="159"/>
        <v>0</v>
      </c>
      <c r="OBH6" s="88">
        <f t="shared" si="159"/>
        <v>0</v>
      </c>
      <c r="OBI6" s="88">
        <f t="shared" si="159"/>
        <v>0</v>
      </c>
      <c r="OBJ6" s="88">
        <f t="shared" si="159"/>
        <v>0</v>
      </c>
      <c r="OBK6" s="88">
        <f t="shared" si="159"/>
        <v>0</v>
      </c>
      <c r="OBL6" s="88">
        <f t="shared" si="159"/>
        <v>0</v>
      </c>
      <c r="OBM6" s="88">
        <f t="shared" si="159"/>
        <v>0</v>
      </c>
      <c r="OBN6" s="88">
        <f t="shared" si="159"/>
        <v>0</v>
      </c>
      <c r="OBO6" s="88">
        <f t="shared" si="159"/>
        <v>0</v>
      </c>
      <c r="OBP6" s="88">
        <f t="shared" si="159"/>
        <v>0</v>
      </c>
      <c r="OBQ6" s="88">
        <f t="shared" si="159"/>
        <v>0</v>
      </c>
      <c r="OBR6" s="88">
        <f t="shared" si="159"/>
        <v>0</v>
      </c>
      <c r="OBS6" s="88">
        <f t="shared" si="159"/>
        <v>0</v>
      </c>
      <c r="OBT6" s="88">
        <f t="shared" si="159"/>
        <v>0</v>
      </c>
      <c r="OBU6" s="88">
        <f t="shared" si="159"/>
        <v>0</v>
      </c>
      <c r="OBV6" s="88">
        <f t="shared" si="159"/>
        <v>0</v>
      </c>
      <c r="OBW6" s="88">
        <f t="shared" si="159"/>
        <v>0</v>
      </c>
      <c r="OBX6" s="88">
        <f t="shared" si="159"/>
        <v>0</v>
      </c>
      <c r="OBY6" s="88">
        <f t="shared" si="159"/>
        <v>0</v>
      </c>
      <c r="OBZ6" s="88">
        <f t="shared" si="159"/>
        <v>0</v>
      </c>
      <c r="OCA6" s="88">
        <f t="shared" si="159"/>
        <v>0</v>
      </c>
      <c r="OCB6" s="88">
        <f t="shared" si="159"/>
        <v>0</v>
      </c>
      <c r="OCC6" s="88">
        <f t="shared" si="159"/>
        <v>0</v>
      </c>
      <c r="OCD6" s="88">
        <f t="shared" si="159"/>
        <v>0</v>
      </c>
      <c r="OCE6" s="88">
        <f t="shared" si="159"/>
        <v>0</v>
      </c>
      <c r="OCF6" s="88">
        <f t="shared" si="159"/>
        <v>0</v>
      </c>
      <c r="OCG6" s="88">
        <f t="shared" si="159"/>
        <v>0</v>
      </c>
      <c r="OCH6" s="88">
        <f t="shared" si="159"/>
        <v>0</v>
      </c>
      <c r="OCI6" s="88">
        <f t="shared" si="159"/>
        <v>0</v>
      </c>
      <c r="OCJ6" s="88">
        <f t="shared" si="159"/>
        <v>0</v>
      </c>
      <c r="OCK6" s="88">
        <f t="shared" si="159"/>
        <v>0</v>
      </c>
      <c r="OCL6" s="88">
        <f t="shared" si="159"/>
        <v>0</v>
      </c>
      <c r="OCM6" s="88">
        <f t="shared" si="159"/>
        <v>0</v>
      </c>
      <c r="OCN6" s="88">
        <f t="shared" si="159"/>
        <v>0</v>
      </c>
      <c r="OCO6" s="88">
        <f t="shared" si="159"/>
        <v>0</v>
      </c>
      <c r="OCP6" s="88">
        <f t="shared" si="159"/>
        <v>0</v>
      </c>
      <c r="OCQ6" s="88">
        <f t="shared" si="159"/>
        <v>0</v>
      </c>
      <c r="OCR6" s="88">
        <f t="shared" si="159"/>
        <v>0</v>
      </c>
      <c r="OCS6" s="88">
        <f t="shared" si="159"/>
        <v>0</v>
      </c>
      <c r="OCT6" s="88">
        <f t="shared" si="159"/>
        <v>0</v>
      </c>
      <c r="OCU6" s="88">
        <f t="shared" si="159"/>
        <v>0</v>
      </c>
      <c r="OCV6" s="88">
        <f t="shared" si="159"/>
        <v>0</v>
      </c>
      <c r="OCW6" s="88">
        <f t="shared" si="159"/>
        <v>0</v>
      </c>
      <c r="OCX6" s="88">
        <f t="shared" si="159"/>
        <v>0</v>
      </c>
      <c r="OCY6" s="88">
        <f t="shared" si="159"/>
        <v>0</v>
      </c>
      <c r="OCZ6" s="88">
        <f t="shared" si="159"/>
        <v>0</v>
      </c>
      <c r="ODA6" s="88">
        <f t="shared" si="159"/>
        <v>0</v>
      </c>
      <c r="ODB6" s="88">
        <f t="shared" si="159"/>
        <v>0</v>
      </c>
      <c r="ODC6" s="88">
        <f t="shared" si="159"/>
        <v>0</v>
      </c>
      <c r="ODD6" s="88">
        <f t="shared" si="159"/>
        <v>0</v>
      </c>
      <c r="ODE6" s="88">
        <f t="shared" si="159"/>
        <v>0</v>
      </c>
      <c r="ODF6" s="88">
        <f t="shared" si="159"/>
        <v>0</v>
      </c>
      <c r="ODG6" s="88">
        <f t="shared" si="159"/>
        <v>0</v>
      </c>
      <c r="ODH6" s="88">
        <f t="shared" ref="ODH6:OFS6" si="160">SUM(ODI3:ODI5)</f>
        <v>0</v>
      </c>
      <c r="ODI6" s="88">
        <f t="shared" si="160"/>
        <v>0</v>
      </c>
      <c r="ODJ6" s="88">
        <f t="shared" si="160"/>
        <v>0</v>
      </c>
      <c r="ODK6" s="88">
        <f t="shared" si="160"/>
        <v>0</v>
      </c>
      <c r="ODL6" s="88">
        <f t="shared" si="160"/>
        <v>0</v>
      </c>
      <c r="ODM6" s="88">
        <f t="shared" si="160"/>
        <v>0</v>
      </c>
      <c r="ODN6" s="88">
        <f t="shared" si="160"/>
        <v>0</v>
      </c>
      <c r="ODO6" s="88">
        <f t="shared" si="160"/>
        <v>0</v>
      </c>
      <c r="ODP6" s="88">
        <f t="shared" si="160"/>
        <v>0</v>
      </c>
      <c r="ODQ6" s="88">
        <f t="shared" si="160"/>
        <v>0</v>
      </c>
      <c r="ODR6" s="88">
        <f t="shared" si="160"/>
        <v>0</v>
      </c>
      <c r="ODS6" s="88">
        <f t="shared" si="160"/>
        <v>0</v>
      </c>
      <c r="ODT6" s="88">
        <f t="shared" si="160"/>
        <v>0</v>
      </c>
      <c r="ODU6" s="88">
        <f t="shared" si="160"/>
        <v>0</v>
      </c>
      <c r="ODV6" s="88">
        <f t="shared" si="160"/>
        <v>0</v>
      </c>
      <c r="ODW6" s="88">
        <f t="shared" si="160"/>
        <v>0</v>
      </c>
      <c r="ODX6" s="88">
        <f t="shared" si="160"/>
        <v>0</v>
      </c>
      <c r="ODY6" s="88">
        <f t="shared" si="160"/>
        <v>0</v>
      </c>
      <c r="ODZ6" s="88">
        <f t="shared" si="160"/>
        <v>0</v>
      </c>
      <c r="OEA6" s="88">
        <f t="shared" si="160"/>
        <v>0</v>
      </c>
      <c r="OEB6" s="88">
        <f t="shared" si="160"/>
        <v>0</v>
      </c>
      <c r="OEC6" s="88">
        <f t="shared" si="160"/>
        <v>0</v>
      </c>
      <c r="OED6" s="88">
        <f t="shared" si="160"/>
        <v>0</v>
      </c>
      <c r="OEE6" s="88">
        <f t="shared" si="160"/>
        <v>0</v>
      </c>
      <c r="OEF6" s="88">
        <f t="shared" si="160"/>
        <v>0</v>
      </c>
      <c r="OEG6" s="88">
        <f t="shared" si="160"/>
        <v>0</v>
      </c>
      <c r="OEH6" s="88">
        <f t="shared" si="160"/>
        <v>0</v>
      </c>
      <c r="OEI6" s="88">
        <f t="shared" si="160"/>
        <v>0</v>
      </c>
      <c r="OEJ6" s="88">
        <f t="shared" si="160"/>
        <v>0</v>
      </c>
      <c r="OEK6" s="88">
        <f t="shared" si="160"/>
        <v>0</v>
      </c>
      <c r="OEL6" s="88">
        <f t="shared" si="160"/>
        <v>0</v>
      </c>
      <c r="OEM6" s="88">
        <f t="shared" si="160"/>
        <v>0</v>
      </c>
      <c r="OEN6" s="88">
        <f t="shared" si="160"/>
        <v>0</v>
      </c>
      <c r="OEO6" s="88">
        <f t="shared" si="160"/>
        <v>0</v>
      </c>
      <c r="OEP6" s="88">
        <f t="shared" si="160"/>
        <v>0</v>
      </c>
      <c r="OEQ6" s="88">
        <f t="shared" si="160"/>
        <v>0</v>
      </c>
      <c r="OER6" s="88">
        <f t="shared" si="160"/>
        <v>0</v>
      </c>
      <c r="OES6" s="88">
        <f t="shared" si="160"/>
        <v>0</v>
      </c>
      <c r="OET6" s="88">
        <f t="shared" si="160"/>
        <v>0</v>
      </c>
      <c r="OEU6" s="88">
        <f t="shared" si="160"/>
        <v>0</v>
      </c>
      <c r="OEV6" s="88">
        <f t="shared" si="160"/>
        <v>0</v>
      </c>
      <c r="OEW6" s="88">
        <f t="shared" si="160"/>
        <v>0</v>
      </c>
      <c r="OEX6" s="88">
        <f t="shared" si="160"/>
        <v>0</v>
      </c>
      <c r="OEY6" s="88">
        <f t="shared" si="160"/>
        <v>0</v>
      </c>
      <c r="OEZ6" s="88">
        <f t="shared" si="160"/>
        <v>0</v>
      </c>
      <c r="OFA6" s="88">
        <f t="shared" si="160"/>
        <v>0</v>
      </c>
      <c r="OFB6" s="88">
        <f t="shared" si="160"/>
        <v>0</v>
      </c>
      <c r="OFC6" s="88">
        <f t="shared" si="160"/>
        <v>0</v>
      </c>
      <c r="OFD6" s="88">
        <f t="shared" si="160"/>
        <v>0</v>
      </c>
      <c r="OFE6" s="88">
        <f t="shared" si="160"/>
        <v>0</v>
      </c>
      <c r="OFF6" s="88">
        <f t="shared" si="160"/>
        <v>0</v>
      </c>
      <c r="OFG6" s="88">
        <f t="shared" si="160"/>
        <v>0</v>
      </c>
      <c r="OFH6" s="88">
        <f t="shared" si="160"/>
        <v>0</v>
      </c>
      <c r="OFI6" s="88">
        <f t="shared" si="160"/>
        <v>0</v>
      </c>
      <c r="OFJ6" s="88">
        <f t="shared" si="160"/>
        <v>0</v>
      </c>
      <c r="OFK6" s="88">
        <f t="shared" si="160"/>
        <v>0</v>
      </c>
      <c r="OFL6" s="88">
        <f t="shared" si="160"/>
        <v>0</v>
      </c>
      <c r="OFM6" s="88">
        <f t="shared" si="160"/>
        <v>0</v>
      </c>
      <c r="OFN6" s="88">
        <f t="shared" si="160"/>
        <v>0</v>
      </c>
      <c r="OFO6" s="88">
        <f t="shared" si="160"/>
        <v>0</v>
      </c>
      <c r="OFP6" s="88">
        <f t="shared" si="160"/>
        <v>0</v>
      </c>
      <c r="OFQ6" s="88">
        <f t="shared" si="160"/>
        <v>0</v>
      </c>
      <c r="OFR6" s="88">
        <f t="shared" si="160"/>
        <v>0</v>
      </c>
      <c r="OFS6" s="88">
        <f t="shared" si="160"/>
        <v>0</v>
      </c>
      <c r="OFT6" s="88">
        <f t="shared" ref="OFT6:OIE6" si="161">SUM(OFU3:OFU5)</f>
        <v>0</v>
      </c>
      <c r="OFU6" s="88">
        <f t="shared" si="161"/>
        <v>0</v>
      </c>
      <c r="OFV6" s="88">
        <f t="shared" si="161"/>
        <v>0</v>
      </c>
      <c r="OFW6" s="88">
        <f t="shared" si="161"/>
        <v>0</v>
      </c>
      <c r="OFX6" s="88">
        <f t="shared" si="161"/>
        <v>0</v>
      </c>
      <c r="OFY6" s="88">
        <f t="shared" si="161"/>
        <v>0</v>
      </c>
      <c r="OFZ6" s="88">
        <f t="shared" si="161"/>
        <v>0</v>
      </c>
      <c r="OGA6" s="88">
        <f t="shared" si="161"/>
        <v>0</v>
      </c>
      <c r="OGB6" s="88">
        <f t="shared" si="161"/>
        <v>0</v>
      </c>
      <c r="OGC6" s="88">
        <f t="shared" si="161"/>
        <v>0</v>
      </c>
      <c r="OGD6" s="88">
        <f t="shared" si="161"/>
        <v>0</v>
      </c>
      <c r="OGE6" s="88">
        <f t="shared" si="161"/>
        <v>0</v>
      </c>
      <c r="OGF6" s="88">
        <f t="shared" si="161"/>
        <v>0</v>
      </c>
      <c r="OGG6" s="88">
        <f t="shared" si="161"/>
        <v>0</v>
      </c>
      <c r="OGH6" s="88">
        <f t="shared" si="161"/>
        <v>0</v>
      </c>
      <c r="OGI6" s="88">
        <f t="shared" si="161"/>
        <v>0</v>
      </c>
      <c r="OGJ6" s="88">
        <f t="shared" si="161"/>
        <v>0</v>
      </c>
      <c r="OGK6" s="88">
        <f t="shared" si="161"/>
        <v>0</v>
      </c>
      <c r="OGL6" s="88">
        <f t="shared" si="161"/>
        <v>0</v>
      </c>
      <c r="OGM6" s="88">
        <f t="shared" si="161"/>
        <v>0</v>
      </c>
      <c r="OGN6" s="88">
        <f t="shared" si="161"/>
        <v>0</v>
      </c>
      <c r="OGO6" s="88">
        <f t="shared" si="161"/>
        <v>0</v>
      </c>
      <c r="OGP6" s="88">
        <f t="shared" si="161"/>
        <v>0</v>
      </c>
      <c r="OGQ6" s="88">
        <f t="shared" si="161"/>
        <v>0</v>
      </c>
      <c r="OGR6" s="88">
        <f t="shared" si="161"/>
        <v>0</v>
      </c>
      <c r="OGS6" s="88">
        <f t="shared" si="161"/>
        <v>0</v>
      </c>
      <c r="OGT6" s="88">
        <f t="shared" si="161"/>
        <v>0</v>
      </c>
      <c r="OGU6" s="88">
        <f t="shared" si="161"/>
        <v>0</v>
      </c>
      <c r="OGV6" s="88">
        <f t="shared" si="161"/>
        <v>0</v>
      </c>
      <c r="OGW6" s="88">
        <f t="shared" si="161"/>
        <v>0</v>
      </c>
      <c r="OGX6" s="88">
        <f t="shared" si="161"/>
        <v>0</v>
      </c>
      <c r="OGY6" s="88">
        <f t="shared" si="161"/>
        <v>0</v>
      </c>
      <c r="OGZ6" s="88">
        <f t="shared" si="161"/>
        <v>0</v>
      </c>
      <c r="OHA6" s="88">
        <f t="shared" si="161"/>
        <v>0</v>
      </c>
      <c r="OHB6" s="88">
        <f t="shared" si="161"/>
        <v>0</v>
      </c>
      <c r="OHC6" s="88">
        <f t="shared" si="161"/>
        <v>0</v>
      </c>
      <c r="OHD6" s="88">
        <f t="shared" si="161"/>
        <v>0</v>
      </c>
      <c r="OHE6" s="88">
        <f t="shared" si="161"/>
        <v>0</v>
      </c>
      <c r="OHF6" s="88">
        <f t="shared" si="161"/>
        <v>0</v>
      </c>
      <c r="OHG6" s="88">
        <f t="shared" si="161"/>
        <v>0</v>
      </c>
      <c r="OHH6" s="88">
        <f t="shared" si="161"/>
        <v>0</v>
      </c>
      <c r="OHI6" s="88">
        <f t="shared" si="161"/>
        <v>0</v>
      </c>
      <c r="OHJ6" s="88">
        <f t="shared" si="161"/>
        <v>0</v>
      </c>
      <c r="OHK6" s="88">
        <f t="shared" si="161"/>
        <v>0</v>
      </c>
      <c r="OHL6" s="88">
        <f t="shared" si="161"/>
        <v>0</v>
      </c>
      <c r="OHM6" s="88">
        <f t="shared" si="161"/>
        <v>0</v>
      </c>
      <c r="OHN6" s="88">
        <f t="shared" si="161"/>
        <v>0</v>
      </c>
      <c r="OHO6" s="88">
        <f t="shared" si="161"/>
        <v>0</v>
      </c>
      <c r="OHP6" s="88">
        <f t="shared" si="161"/>
        <v>0</v>
      </c>
      <c r="OHQ6" s="88">
        <f t="shared" si="161"/>
        <v>0</v>
      </c>
      <c r="OHR6" s="88">
        <f t="shared" si="161"/>
        <v>0</v>
      </c>
      <c r="OHS6" s="88">
        <f t="shared" si="161"/>
        <v>0</v>
      </c>
      <c r="OHT6" s="88">
        <f t="shared" si="161"/>
        <v>0</v>
      </c>
      <c r="OHU6" s="88">
        <f t="shared" si="161"/>
        <v>0</v>
      </c>
      <c r="OHV6" s="88">
        <f t="shared" si="161"/>
        <v>0</v>
      </c>
      <c r="OHW6" s="88">
        <f t="shared" si="161"/>
        <v>0</v>
      </c>
      <c r="OHX6" s="88">
        <f t="shared" si="161"/>
        <v>0</v>
      </c>
      <c r="OHY6" s="88">
        <f t="shared" si="161"/>
        <v>0</v>
      </c>
      <c r="OHZ6" s="88">
        <f t="shared" si="161"/>
        <v>0</v>
      </c>
      <c r="OIA6" s="88">
        <f t="shared" si="161"/>
        <v>0</v>
      </c>
      <c r="OIB6" s="88">
        <f t="shared" si="161"/>
        <v>0</v>
      </c>
      <c r="OIC6" s="88">
        <f t="shared" si="161"/>
        <v>0</v>
      </c>
      <c r="OID6" s="88">
        <f t="shared" si="161"/>
        <v>0</v>
      </c>
      <c r="OIE6" s="88">
        <f t="shared" si="161"/>
        <v>0</v>
      </c>
      <c r="OIF6" s="88">
        <f t="shared" ref="OIF6:OKQ6" si="162">SUM(OIG3:OIG5)</f>
        <v>0</v>
      </c>
      <c r="OIG6" s="88">
        <f t="shared" si="162"/>
        <v>0</v>
      </c>
      <c r="OIH6" s="88">
        <f t="shared" si="162"/>
        <v>0</v>
      </c>
      <c r="OII6" s="88">
        <f t="shared" si="162"/>
        <v>0</v>
      </c>
      <c r="OIJ6" s="88">
        <f t="shared" si="162"/>
        <v>0</v>
      </c>
      <c r="OIK6" s="88">
        <f t="shared" si="162"/>
        <v>0</v>
      </c>
      <c r="OIL6" s="88">
        <f t="shared" si="162"/>
        <v>0</v>
      </c>
      <c r="OIM6" s="88">
        <f t="shared" si="162"/>
        <v>0</v>
      </c>
      <c r="OIN6" s="88">
        <f t="shared" si="162"/>
        <v>0</v>
      </c>
      <c r="OIO6" s="88">
        <f t="shared" si="162"/>
        <v>0</v>
      </c>
      <c r="OIP6" s="88">
        <f t="shared" si="162"/>
        <v>0</v>
      </c>
      <c r="OIQ6" s="88">
        <f t="shared" si="162"/>
        <v>0</v>
      </c>
      <c r="OIR6" s="88">
        <f t="shared" si="162"/>
        <v>0</v>
      </c>
      <c r="OIS6" s="88">
        <f t="shared" si="162"/>
        <v>0</v>
      </c>
      <c r="OIT6" s="88">
        <f t="shared" si="162"/>
        <v>0</v>
      </c>
      <c r="OIU6" s="88">
        <f t="shared" si="162"/>
        <v>0</v>
      </c>
      <c r="OIV6" s="88">
        <f t="shared" si="162"/>
        <v>0</v>
      </c>
      <c r="OIW6" s="88">
        <f t="shared" si="162"/>
        <v>0</v>
      </c>
      <c r="OIX6" s="88">
        <f t="shared" si="162"/>
        <v>0</v>
      </c>
      <c r="OIY6" s="88">
        <f t="shared" si="162"/>
        <v>0</v>
      </c>
      <c r="OIZ6" s="88">
        <f t="shared" si="162"/>
        <v>0</v>
      </c>
      <c r="OJA6" s="88">
        <f t="shared" si="162"/>
        <v>0</v>
      </c>
      <c r="OJB6" s="88">
        <f t="shared" si="162"/>
        <v>0</v>
      </c>
      <c r="OJC6" s="88">
        <f t="shared" si="162"/>
        <v>0</v>
      </c>
      <c r="OJD6" s="88">
        <f t="shared" si="162"/>
        <v>0</v>
      </c>
      <c r="OJE6" s="88">
        <f t="shared" si="162"/>
        <v>0</v>
      </c>
      <c r="OJF6" s="88">
        <f t="shared" si="162"/>
        <v>0</v>
      </c>
      <c r="OJG6" s="88">
        <f t="shared" si="162"/>
        <v>0</v>
      </c>
      <c r="OJH6" s="88">
        <f t="shared" si="162"/>
        <v>0</v>
      </c>
      <c r="OJI6" s="88">
        <f t="shared" si="162"/>
        <v>0</v>
      </c>
      <c r="OJJ6" s="88">
        <f t="shared" si="162"/>
        <v>0</v>
      </c>
      <c r="OJK6" s="88">
        <f t="shared" si="162"/>
        <v>0</v>
      </c>
      <c r="OJL6" s="88">
        <f t="shared" si="162"/>
        <v>0</v>
      </c>
      <c r="OJM6" s="88">
        <f t="shared" si="162"/>
        <v>0</v>
      </c>
      <c r="OJN6" s="88">
        <f t="shared" si="162"/>
        <v>0</v>
      </c>
      <c r="OJO6" s="88">
        <f t="shared" si="162"/>
        <v>0</v>
      </c>
      <c r="OJP6" s="88">
        <f t="shared" si="162"/>
        <v>0</v>
      </c>
      <c r="OJQ6" s="88">
        <f t="shared" si="162"/>
        <v>0</v>
      </c>
      <c r="OJR6" s="88">
        <f t="shared" si="162"/>
        <v>0</v>
      </c>
      <c r="OJS6" s="88">
        <f t="shared" si="162"/>
        <v>0</v>
      </c>
      <c r="OJT6" s="88">
        <f t="shared" si="162"/>
        <v>0</v>
      </c>
      <c r="OJU6" s="88">
        <f t="shared" si="162"/>
        <v>0</v>
      </c>
      <c r="OJV6" s="88">
        <f t="shared" si="162"/>
        <v>0</v>
      </c>
      <c r="OJW6" s="88">
        <f t="shared" si="162"/>
        <v>0</v>
      </c>
      <c r="OJX6" s="88">
        <f t="shared" si="162"/>
        <v>0</v>
      </c>
      <c r="OJY6" s="88">
        <f t="shared" si="162"/>
        <v>0</v>
      </c>
      <c r="OJZ6" s="88">
        <f t="shared" si="162"/>
        <v>0</v>
      </c>
      <c r="OKA6" s="88">
        <f t="shared" si="162"/>
        <v>0</v>
      </c>
      <c r="OKB6" s="88">
        <f t="shared" si="162"/>
        <v>0</v>
      </c>
      <c r="OKC6" s="88">
        <f t="shared" si="162"/>
        <v>0</v>
      </c>
      <c r="OKD6" s="88">
        <f t="shared" si="162"/>
        <v>0</v>
      </c>
      <c r="OKE6" s="88">
        <f t="shared" si="162"/>
        <v>0</v>
      </c>
      <c r="OKF6" s="88">
        <f t="shared" si="162"/>
        <v>0</v>
      </c>
      <c r="OKG6" s="88">
        <f t="shared" si="162"/>
        <v>0</v>
      </c>
      <c r="OKH6" s="88">
        <f t="shared" si="162"/>
        <v>0</v>
      </c>
      <c r="OKI6" s="88">
        <f t="shared" si="162"/>
        <v>0</v>
      </c>
      <c r="OKJ6" s="88">
        <f t="shared" si="162"/>
        <v>0</v>
      </c>
      <c r="OKK6" s="88">
        <f t="shared" si="162"/>
        <v>0</v>
      </c>
      <c r="OKL6" s="88">
        <f t="shared" si="162"/>
        <v>0</v>
      </c>
      <c r="OKM6" s="88">
        <f t="shared" si="162"/>
        <v>0</v>
      </c>
      <c r="OKN6" s="88">
        <f t="shared" si="162"/>
        <v>0</v>
      </c>
      <c r="OKO6" s="88">
        <f t="shared" si="162"/>
        <v>0</v>
      </c>
      <c r="OKP6" s="88">
        <f t="shared" si="162"/>
        <v>0</v>
      </c>
      <c r="OKQ6" s="88">
        <f t="shared" si="162"/>
        <v>0</v>
      </c>
      <c r="OKR6" s="88">
        <f t="shared" ref="OKR6:ONC6" si="163">SUM(OKS3:OKS5)</f>
        <v>0</v>
      </c>
      <c r="OKS6" s="88">
        <f t="shared" si="163"/>
        <v>0</v>
      </c>
      <c r="OKT6" s="88">
        <f t="shared" si="163"/>
        <v>0</v>
      </c>
      <c r="OKU6" s="88">
        <f t="shared" si="163"/>
        <v>0</v>
      </c>
      <c r="OKV6" s="88">
        <f t="shared" si="163"/>
        <v>0</v>
      </c>
      <c r="OKW6" s="88">
        <f t="shared" si="163"/>
        <v>0</v>
      </c>
      <c r="OKX6" s="88">
        <f t="shared" si="163"/>
        <v>0</v>
      </c>
      <c r="OKY6" s="88">
        <f t="shared" si="163"/>
        <v>0</v>
      </c>
      <c r="OKZ6" s="88">
        <f t="shared" si="163"/>
        <v>0</v>
      </c>
      <c r="OLA6" s="88">
        <f t="shared" si="163"/>
        <v>0</v>
      </c>
      <c r="OLB6" s="88">
        <f t="shared" si="163"/>
        <v>0</v>
      </c>
      <c r="OLC6" s="88">
        <f t="shared" si="163"/>
        <v>0</v>
      </c>
      <c r="OLD6" s="88">
        <f t="shared" si="163"/>
        <v>0</v>
      </c>
      <c r="OLE6" s="88">
        <f t="shared" si="163"/>
        <v>0</v>
      </c>
      <c r="OLF6" s="88">
        <f t="shared" si="163"/>
        <v>0</v>
      </c>
      <c r="OLG6" s="88">
        <f t="shared" si="163"/>
        <v>0</v>
      </c>
      <c r="OLH6" s="88">
        <f t="shared" si="163"/>
        <v>0</v>
      </c>
      <c r="OLI6" s="88">
        <f t="shared" si="163"/>
        <v>0</v>
      </c>
      <c r="OLJ6" s="88">
        <f t="shared" si="163"/>
        <v>0</v>
      </c>
      <c r="OLK6" s="88">
        <f t="shared" si="163"/>
        <v>0</v>
      </c>
      <c r="OLL6" s="88">
        <f t="shared" si="163"/>
        <v>0</v>
      </c>
      <c r="OLM6" s="88">
        <f t="shared" si="163"/>
        <v>0</v>
      </c>
      <c r="OLN6" s="88">
        <f t="shared" si="163"/>
        <v>0</v>
      </c>
      <c r="OLO6" s="88">
        <f t="shared" si="163"/>
        <v>0</v>
      </c>
      <c r="OLP6" s="88">
        <f t="shared" si="163"/>
        <v>0</v>
      </c>
      <c r="OLQ6" s="88">
        <f t="shared" si="163"/>
        <v>0</v>
      </c>
      <c r="OLR6" s="88">
        <f t="shared" si="163"/>
        <v>0</v>
      </c>
      <c r="OLS6" s="88">
        <f t="shared" si="163"/>
        <v>0</v>
      </c>
      <c r="OLT6" s="88">
        <f t="shared" si="163"/>
        <v>0</v>
      </c>
      <c r="OLU6" s="88">
        <f t="shared" si="163"/>
        <v>0</v>
      </c>
      <c r="OLV6" s="88">
        <f t="shared" si="163"/>
        <v>0</v>
      </c>
      <c r="OLW6" s="88">
        <f t="shared" si="163"/>
        <v>0</v>
      </c>
      <c r="OLX6" s="88">
        <f t="shared" si="163"/>
        <v>0</v>
      </c>
      <c r="OLY6" s="88">
        <f t="shared" si="163"/>
        <v>0</v>
      </c>
      <c r="OLZ6" s="88">
        <f t="shared" si="163"/>
        <v>0</v>
      </c>
      <c r="OMA6" s="88">
        <f t="shared" si="163"/>
        <v>0</v>
      </c>
      <c r="OMB6" s="88">
        <f t="shared" si="163"/>
        <v>0</v>
      </c>
      <c r="OMC6" s="88">
        <f t="shared" si="163"/>
        <v>0</v>
      </c>
      <c r="OMD6" s="88">
        <f t="shared" si="163"/>
        <v>0</v>
      </c>
      <c r="OME6" s="88">
        <f t="shared" si="163"/>
        <v>0</v>
      </c>
      <c r="OMF6" s="88">
        <f t="shared" si="163"/>
        <v>0</v>
      </c>
      <c r="OMG6" s="88">
        <f t="shared" si="163"/>
        <v>0</v>
      </c>
      <c r="OMH6" s="88">
        <f t="shared" si="163"/>
        <v>0</v>
      </c>
      <c r="OMI6" s="88">
        <f t="shared" si="163"/>
        <v>0</v>
      </c>
      <c r="OMJ6" s="88">
        <f t="shared" si="163"/>
        <v>0</v>
      </c>
      <c r="OMK6" s="88">
        <f t="shared" si="163"/>
        <v>0</v>
      </c>
      <c r="OML6" s="88">
        <f t="shared" si="163"/>
        <v>0</v>
      </c>
      <c r="OMM6" s="88">
        <f t="shared" si="163"/>
        <v>0</v>
      </c>
      <c r="OMN6" s="88">
        <f t="shared" si="163"/>
        <v>0</v>
      </c>
      <c r="OMO6" s="88">
        <f t="shared" si="163"/>
        <v>0</v>
      </c>
      <c r="OMP6" s="88">
        <f t="shared" si="163"/>
        <v>0</v>
      </c>
      <c r="OMQ6" s="88">
        <f t="shared" si="163"/>
        <v>0</v>
      </c>
      <c r="OMR6" s="88">
        <f t="shared" si="163"/>
        <v>0</v>
      </c>
      <c r="OMS6" s="88">
        <f t="shared" si="163"/>
        <v>0</v>
      </c>
      <c r="OMT6" s="88">
        <f t="shared" si="163"/>
        <v>0</v>
      </c>
      <c r="OMU6" s="88">
        <f t="shared" si="163"/>
        <v>0</v>
      </c>
      <c r="OMV6" s="88">
        <f t="shared" si="163"/>
        <v>0</v>
      </c>
      <c r="OMW6" s="88">
        <f t="shared" si="163"/>
        <v>0</v>
      </c>
      <c r="OMX6" s="88">
        <f t="shared" si="163"/>
        <v>0</v>
      </c>
      <c r="OMY6" s="88">
        <f t="shared" si="163"/>
        <v>0</v>
      </c>
      <c r="OMZ6" s="88">
        <f t="shared" si="163"/>
        <v>0</v>
      </c>
      <c r="ONA6" s="88">
        <f t="shared" si="163"/>
        <v>0</v>
      </c>
      <c r="ONB6" s="88">
        <f t="shared" si="163"/>
        <v>0</v>
      </c>
      <c r="ONC6" s="88">
        <f t="shared" si="163"/>
        <v>0</v>
      </c>
      <c r="OND6" s="88">
        <f t="shared" ref="OND6:OPO6" si="164">SUM(ONE3:ONE5)</f>
        <v>0</v>
      </c>
      <c r="ONE6" s="88">
        <f t="shared" si="164"/>
        <v>0</v>
      </c>
      <c r="ONF6" s="88">
        <f t="shared" si="164"/>
        <v>0</v>
      </c>
      <c r="ONG6" s="88">
        <f t="shared" si="164"/>
        <v>0</v>
      </c>
      <c r="ONH6" s="88">
        <f t="shared" si="164"/>
        <v>0</v>
      </c>
      <c r="ONI6" s="88">
        <f t="shared" si="164"/>
        <v>0</v>
      </c>
      <c r="ONJ6" s="88">
        <f t="shared" si="164"/>
        <v>0</v>
      </c>
      <c r="ONK6" s="88">
        <f t="shared" si="164"/>
        <v>0</v>
      </c>
      <c r="ONL6" s="88">
        <f t="shared" si="164"/>
        <v>0</v>
      </c>
      <c r="ONM6" s="88">
        <f t="shared" si="164"/>
        <v>0</v>
      </c>
      <c r="ONN6" s="88">
        <f t="shared" si="164"/>
        <v>0</v>
      </c>
      <c r="ONO6" s="88">
        <f t="shared" si="164"/>
        <v>0</v>
      </c>
      <c r="ONP6" s="88">
        <f t="shared" si="164"/>
        <v>0</v>
      </c>
      <c r="ONQ6" s="88">
        <f t="shared" si="164"/>
        <v>0</v>
      </c>
      <c r="ONR6" s="88">
        <f t="shared" si="164"/>
        <v>0</v>
      </c>
      <c r="ONS6" s="88">
        <f t="shared" si="164"/>
        <v>0</v>
      </c>
      <c r="ONT6" s="88">
        <f t="shared" si="164"/>
        <v>0</v>
      </c>
      <c r="ONU6" s="88">
        <f t="shared" si="164"/>
        <v>0</v>
      </c>
      <c r="ONV6" s="88">
        <f t="shared" si="164"/>
        <v>0</v>
      </c>
      <c r="ONW6" s="88">
        <f t="shared" si="164"/>
        <v>0</v>
      </c>
      <c r="ONX6" s="88">
        <f t="shared" si="164"/>
        <v>0</v>
      </c>
      <c r="ONY6" s="88">
        <f t="shared" si="164"/>
        <v>0</v>
      </c>
      <c r="ONZ6" s="88">
        <f t="shared" si="164"/>
        <v>0</v>
      </c>
      <c r="OOA6" s="88">
        <f t="shared" si="164"/>
        <v>0</v>
      </c>
      <c r="OOB6" s="88">
        <f t="shared" si="164"/>
        <v>0</v>
      </c>
      <c r="OOC6" s="88">
        <f t="shared" si="164"/>
        <v>0</v>
      </c>
      <c r="OOD6" s="88">
        <f t="shared" si="164"/>
        <v>0</v>
      </c>
      <c r="OOE6" s="88">
        <f t="shared" si="164"/>
        <v>0</v>
      </c>
      <c r="OOF6" s="88">
        <f t="shared" si="164"/>
        <v>0</v>
      </c>
      <c r="OOG6" s="88">
        <f t="shared" si="164"/>
        <v>0</v>
      </c>
      <c r="OOH6" s="88">
        <f t="shared" si="164"/>
        <v>0</v>
      </c>
      <c r="OOI6" s="88">
        <f t="shared" si="164"/>
        <v>0</v>
      </c>
      <c r="OOJ6" s="88">
        <f t="shared" si="164"/>
        <v>0</v>
      </c>
      <c r="OOK6" s="88">
        <f t="shared" si="164"/>
        <v>0</v>
      </c>
      <c r="OOL6" s="88">
        <f t="shared" si="164"/>
        <v>0</v>
      </c>
      <c r="OOM6" s="88">
        <f t="shared" si="164"/>
        <v>0</v>
      </c>
      <c r="OON6" s="88">
        <f t="shared" si="164"/>
        <v>0</v>
      </c>
      <c r="OOO6" s="88">
        <f t="shared" si="164"/>
        <v>0</v>
      </c>
      <c r="OOP6" s="88">
        <f t="shared" si="164"/>
        <v>0</v>
      </c>
      <c r="OOQ6" s="88">
        <f t="shared" si="164"/>
        <v>0</v>
      </c>
      <c r="OOR6" s="88">
        <f t="shared" si="164"/>
        <v>0</v>
      </c>
      <c r="OOS6" s="88">
        <f t="shared" si="164"/>
        <v>0</v>
      </c>
      <c r="OOT6" s="88">
        <f t="shared" si="164"/>
        <v>0</v>
      </c>
      <c r="OOU6" s="88">
        <f t="shared" si="164"/>
        <v>0</v>
      </c>
      <c r="OOV6" s="88">
        <f t="shared" si="164"/>
        <v>0</v>
      </c>
      <c r="OOW6" s="88">
        <f t="shared" si="164"/>
        <v>0</v>
      </c>
      <c r="OOX6" s="88">
        <f t="shared" si="164"/>
        <v>0</v>
      </c>
      <c r="OOY6" s="88">
        <f t="shared" si="164"/>
        <v>0</v>
      </c>
      <c r="OOZ6" s="88">
        <f t="shared" si="164"/>
        <v>0</v>
      </c>
      <c r="OPA6" s="88">
        <f t="shared" si="164"/>
        <v>0</v>
      </c>
      <c r="OPB6" s="88">
        <f t="shared" si="164"/>
        <v>0</v>
      </c>
      <c r="OPC6" s="88">
        <f t="shared" si="164"/>
        <v>0</v>
      </c>
      <c r="OPD6" s="88">
        <f t="shared" si="164"/>
        <v>0</v>
      </c>
      <c r="OPE6" s="88">
        <f t="shared" si="164"/>
        <v>0</v>
      </c>
      <c r="OPF6" s="88">
        <f t="shared" si="164"/>
        <v>0</v>
      </c>
      <c r="OPG6" s="88">
        <f t="shared" si="164"/>
        <v>0</v>
      </c>
      <c r="OPH6" s="88">
        <f t="shared" si="164"/>
        <v>0</v>
      </c>
      <c r="OPI6" s="88">
        <f t="shared" si="164"/>
        <v>0</v>
      </c>
      <c r="OPJ6" s="88">
        <f t="shared" si="164"/>
        <v>0</v>
      </c>
      <c r="OPK6" s="88">
        <f t="shared" si="164"/>
        <v>0</v>
      </c>
      <c r="OPL6" s="88">
        <f t="shared" si="164"/>
        <v>0</v>
      </c>
      <c r="OPM6" s="88">
        <f t="shared" si="164"/>
        <v>0</v>
      </c>
      <c r="OPN6" s="88">
        <f t="shared" si="164"/>
        <v>0</v>
      </c>
      <c r="OPO6" s="88">
        <f t="shared" si="164"/>
        <v>0</v>
      </c>
      <c r="OPP6" s="88">
        <f t="shared" ref="OPP6:OSA6" si="165">SUM(OPQ3:OPQ5)</f>
        <v>0</v>
      </c>
      <c r="OPQ6" s="88">
        <f t="shared" si="165"/>
        <v>0</v>
      </c>
      <c r="OPR6" s="88">
        <f t="shared" si="165"/>
        <v>0</v>
      </c>
      <c r="OPS6" s="88">
        <f t="shared" si="165"/>
        <v>0</v>
      </c>
      <c r="OPT6" s="88">
        <f t="shared" si="165"/>
        <v>0</v>
      </c>
      <c r="OPU6" s="88">
        <f t="shared" si="165"/>
        <v>0</v>
      </c>
      <c r="OPV6" s="88">
        <f t="shared" si="165"/>
        <v>0</v>
      </c>
      <c r="OPW6" s="88">
        <f t="shared" si="165"/>
        <v>0</v>
      </c>
      <c r="OPX6" s="88">
        <f t="shared" si="165"/>
        <v>0</v>
      </c>
      <c r="OPY6" s="88">
        <f t="shared" si="165"/>
        <v>0</v>
      </c>
      <c r="OPZ6" s="88">
        <f t="shared" si="165"/>
        <v>0</v>
      </c>
      <c r="OQA6" s="88">
        <f t="shared" si="165"/>
        <v>0</v>
      </c>
      <c r="OQB6" s="88">
        <f t="shared" si="165"/>
        <v>0</v>
      </c>
      <c r="OQC6" s="88">
        <f t="shared" si="165"/>
        <v>0</v>
      </c>
      <c r="OQD6" s="88">
        <f t="shared" si="165"/>
        <v>0</v>
      </c>
      <c r="OQE6" s="88">
        <f t="shared" si="165"/>
        <v>0</v>
      </c>
      <c r="OQF6" s="88">
        <f t="shared" si="165"/>
        <v>0</v>
      </c>
      <c r="OQG6" s="88">
        <f t="shared" si="165"/>
        <v>0</v>
      </c>
      <c r="OQH6" s="88">
        <f t="shared" si="165"/>
        <v>0</v>
      </c>
      <c r="OQI6" s="88">
        <f t="shared" si="165"/>
        <v>0</v>
      </c>
      <c r="OQJ6" s="88">
        <f t="shared" si="165"/>
        <v>0</v>
      </c>
      <c r="OQK6" s="88">
        <f t="shared" si="165"/>
        <v>0</v>
      </c>
      <c r="OQL6" s="88">
        <f t="shared" si="165"/>
        <v>0</v>
      </c>
      <c r="OQM6" s="88">
        <f t="shared" si="165"/>
        <v>0</v>
      </c>
      <c r="OQN6" s="88">
        <f t="shared" si="165"/>
        <v>0</v>
      </c>
      <c r="OQO6" s="88">
        <f t="shared" si="165"/>
        <v>0</v>
      </c>
      <c r="OQP6" s="88">
        <f t="shared" si="165"/>
        <v>0</v>
      </c>
      <c r="OQQ6" s="88">
        <f t="shared" si="165"/>
        <v>0</v>
      </c>
      <c r="OQR6" s="88">
        <f t="shared" si="165"/>
        <v>0</v>
      </c>
      <c r="OQS6" s="88">
        <f t="shared" si="165"/>
        <v>0</v>
      </c>
      <c r="OQT6" s="88">
        <f t="shared" si="165"/>
        <v>0</v>
      </c>
      <c r="OQU6" s="88">
        <f t="shared" si="165"/>
        <v>0</v>
      </c>
      <c r="OQV6" s="88">
        <f t="shared" si="165"/>
        <v>0</v>
      </c>
      <c r="OQW6" s="88">
        <f t="shared" si="165"/>
        <v>0</v>
      </c>
      <c r="OQX6" s="88">
        <f t="shared" si="165"/>
        <v>0</v>
      </c>
      <c r="OQY6" s="88">
        <f t="shared" si="165"/>
        <v>0</v>
      </c>
      <c r="OQZ6" s="88">
        <f t="shared" si="165"/>
        <v>0</v>
      </c>
      <c r="ORA6" s="88">
        <f t="shared" si="165"/>
        <v>0</v>
      </c>
      <c r="ORB6" s="88">
        <f t="shared" si="165"/>
        <v>0</v>
      </c>
      <c r="ORC6" s="88">
        <f t="shared" si="165"/>
        <v>0</v>
      </c>
      <c r="ORD6" s="88">
        <f t="shared" si="165"/>
        <v>0</v>
      </c>
      <c r="ORE6" s="88">
        <f t="shared" si="165"/>
        <v>0</v>
      </c>
      <c r="ORF6" s="88">
        <f t="shared" si="165"/>
        <v>0</v>
      </c>
      <c r="ORG6" s="88">
        <f t="shared" si="165"/>
        <v>0</v>
      </c>
      <c r="ORH6" s="88">
        <f t="shared" si="165"/>
        <v>0</v>
      </c>
      <c r="ORI6" s="88">
        <f t="shared" si="165"/>
        <v>0</v>
      </c>
      <c r="ORJ6" s="88">
        <f t="shared" si="165"/>
        <v>0</v>
      </c>
      <c r="ORK6" s="88">
        <f t="shared" si="165"/>
        <v>0</v>
      </c>
      <c r="ORL6" s="88">
        <f t="shared" si="165"/>
        <v>0</v>
      </c>
      <c r="ORM6" s="88">
        <f t="shared" si="165"/>
        <v>0</v>
      </c>
      <c r="ORN6" s="88">
        <f t="shared" si="165"/>
        <v>0</v>
      </c>
      <c r="ORO6" s="88">
        <f t="shared" si="165"/>
        <v>0</v>
      </c>
      <c r="ORP6" s="88">
        <f t="shared" si="165"/>
        <v>0</v>
      </c>
      <c r="ORQ6" s="88">
        <f t="shared" si="165"/>
        <v>0</v>
      </c>
      <c r="ORR6" s="88">
        <f t="shared" si="165"/>
        <v>0</v>
      </c>
      <c r="ORS6" s="88">
        <f t="shared" si="165"/>
        <v>0</v>
      </c>
      <c r="ORT6" s="88">
        <f t="shared" si="165"/>
        <v>0</v>
      </c>
      <c r="ORU6" s="88">
        <f t="shared" si="165"/>
        <v>0</v>
      </c>
      <c r="ORV6" s="88">
        <f t="shared" si="165"/>
        <v>0</v>
      </c>
      <c r="ORW6" s="88">
        <f t="shared" si="165"/>
        <v>0</v>
      </c>
      <c r="ORX6" s="88">
        <f t="shared" si="165"/>
        <v>0</v>
      </c>
      <c r="ORY6" s="88">
        <f t="shared" si="165"/>
        <v>0</v>
      </c>
      <c r="ORZ6" s="88">
        <f t="shared" si="165"/>
        <v>0</v>
      </c>
      <c r="OSA6" s="88">
        <f t="shared" si="165"/>
        <v>0</v>
      </c>
      <c r="OSB6" s="88">
        <f t="shared" ref="OSB6:OUM6" si="166">SUM(OSC3:OSC5)</f>
        <v>0</v>
      </c>
      <c r="OSC6" s="88">
        <f t="shared" si="166"/>
        <v>0</v>
      </c>
      <c r="OSD6" s="88">
        <f t="shared" si="166"/>
        <v>0</v>
      </c>
      <c r="OSE6" s="88">
        <f t="shared" si="166"/>
        <v>0</v>
      </c>
      <c r="OSF6" s="88">
        <f t="shared" si="166"/>
        <v>0</v>
      </c>
      <c r="OSG6" s="88">
        <f t="shared" si="166"/>
        <v>0</v>
      </c>
      <c r="OSH6" s="88">
        <f t="shared" si="166"/>
        <v>0</v>
      </c>
      <c r="OSI6" s="88">
        <f t="shared" si="166"/>
        <v>0</v>
      </c>
      <c r="OSJ6" s="88">
        <f t="shared" si="166"/>
        <v>0</v>
      </c>
      <c r="OSK6" s="88">
        <f t="shared" si="166"/>
        <v>0</v>
      </c>
      <c r="OSL6" s="88">
        <f t="shared" si="166"/>
        <v>0</v>
      </c>
      <c r="OSM6" s="88">
        <f t="shared" si="166"/>
        <v>0</v>
      </c>
      <c r="OSN6" s="88">
        <f t="shared" si="166"/>
        <v>0</v>
      </c>
      <c r="OSO6" s="88">
        <f t="shared" si="166"/>
        <v>0</v>
      </c>
      <c r="OSP6" s="88">
        <f t="shared" si="166"/>
        <v>0</v>
      </c>
      <c r="OSQ6" s="88">
        <f t="shared" si="166"/>
        <v>0</v>
      </c>
      <c r="OSR6" s="88">
        <f t="shared" si="166"/>
        <v>0</v>
      </c>
      <c r="OSS6" s="88">
        <f t="shared" si="166"/>
        <v>0</v>
      </c>
      <c r="OST6" s="88">
        <f t="shared" si="166"/>
        <v>0</v>
      </c>
      <c r="OSU6" s="88">
        <f t="shared" si="166"/>
        <v>0</v>
      </c>
      <c r="OSV6" s="88">
        <f t="shared" si="166"/>
        <v>0</v>
      </c>
      <c r="OSW6" s="88">
        <f t="shared" si="166"/>
        <v>0</v>
      </c>
      <c r="OSX6" s="88">
        <f t="shared" si="166"/>
        <v>0</v>
      </c>
      <c r="OSY6" s="88">
        <f t="shared" si="166"/>
        <v>0</v>
      </c>
      <c r="OSZ6" s="88">
        <f t="shared" si="166"/>
        <v>0</v>
      </c>
      <c r="OTA6" s="88">
        <f t="shared" si="166"/>
        <v>0</v>
      </c>
      <c r="OTB6" s="88">
        <f t="shared" si="166"/>
        <v>0</v>
      </c>
      <c r="OTC6" s="88">
        <f t="shared" si="166"/>
        <v>0</v>
      </c>
      <c r="OTD6" s="88">
        <f t="shared" si="166"/>
        <v>0</v>
      </c>
      <c r="OTE6" s="88">
        <f t="shared" si="166"/>
        <v>0</v>
      </c>
      <c r="OTF6" s="88">
        <f t="shared" si="166"/>
        <v>0</v>
      </c>
      <c r="OTG6" s="88">
        <f t="shared" si="166"/>
        <v>0</v>
      </c>
      <c r="OTH6" s="88">
        <f t="shared" si="166"/>
        <v>0</v>
      </c>
      <c r="OTI6" s="88">
        <f t="shared" si="166"/>
        <v>0</v>
      </c>
      <c r="OTJ6" s="88">
        <f t="shared" si="166"/>
        <v>0</v>
      </c>
      <c r="OTK6" s="88">
        <f t="shared" si="166"/>
        <v>0</v>
      </c>
      <c r="OTL6" s="88">
        <f t="shared" si="166"/>
        <v>0</v>
      </c>
      <c r="OTM6" s="88">
        <f t="shared" si="166"/>
        <v>0</v>
      </c>
      <c r="OTN6" s="88">
        <f t="shared" si="166"/>
        <v>0</v>
      </c>
      <c r="OTO6" s="88">
        <f t="shared" si="166"/>
        <v>0</v>
      </c>
      <c r="OTP6" s="88">
        <f t="shared" si="166"/>
        <v>0</v>
      </c>
      <c r="OTQ6" s="88">
        <f t="shared" si="166"/>
        <v>0</v>
      </c>
      <c r="OTR6" s="88">
        <f t="shared" si="166"/>
        <v>0</v>
      </c>
      <c r="OTS6" s="88">
        <f t="shared" si="166"/>
        <v>0</v>
      </c>
      <c r="OTT6" s="88">
        <f t="shared" si="166"/>
        <v>0</v>
      </c>
      <c r="OTU6" s="88">
        <f t="shared" si="166"/>
        <v>0</v>
      </c>
      <c r="OTV6" s="88">
        <f t="shared" si="166"/>
        <v>0</v>
      </c>
      <c r="OTW6" s="88">
        <f t="shared" si="166"/>
        <v>0</v>
      </c>
      <c r="OTX6" s="88">
        <f t="shared" si="166"/>
        <v>0</v>
      </c>
      <c r="OTY6" s="88">
        <f t="shared" si="166"/>
        <v>0</v>
      </c>
      <c r="OTZ6" s="88">
        <f t="shared" si="166"/>
        <v>0</v>
      </c>
      <c r="OUA6" s="88">
        <f t="shared" si="166"/>
        <v>0</v>
      </c>
      <c r="OUB6" s="88">
        <f t="shared" si="166"/>
        <v>0</v>
      </c>
      <c r="OUC6" s="88">
        <f t="shared" si="166"/>
        <v>0</v>
      </c>
      <c r="OUD6" s="88">
        <f t="shared" si="166"/>
        <v>0</v>
      </c>
      <c r="OUE6" s="88">
        <f t="shared" si="166"/>
        <v>0</v>
      </c>
      <c r="OUF6" s="88">
        <f t="shared" si="166"/>
        <v>0</v>
      </c>
      <c r="OUG6" s="88">
        <f t="shared" si="166"/>
        <v>0</v>
      </c>
      <c r="OUH6" s="88">
        <f t="shared" si="166"/>
        <v>0</v>
      </c>
      <c r="OUI6" s="88">
        <f t="shared" si="166"/>
        <v>0</v>
      </c>
      <c r="OUJ6" s="88">
        <f t="shared" si="166"/>
        <v>0</v>
      </c>
      <c r="OUK6" s="88">
        <f t="shared" si="166"/>
        <v>0</v>
      </c>
      <c r="OUL6" s="88">
        <f t="shared" si="166"/>
        <v>0</v>
      </c>
      <c r="OUM6" s="88">
        <f t="shared" si="166"/>
        <v>0</v>
      </c>
      <c r="OUN6" s="88">
        <f t="shared" ref="OUN6:OWY6" si="167">SUM(OUO3:OUO5)</f>
        <v>0</v>
      </c>
      <c r="OUO6" s="88">
        <f t="shared" si="167"/>
        <v>0</v>
      </c>
      <c r="OUP6" s="88">
        <f t="shared" si="167"/>
        <v>0</v>
      </c>
      <c r="OUQ6" s="88">
        <f t="shared" si="167"/>
        <v>0</v>
      </c>
      <c r="OUR6" s="88">
        <f t="shared" si="167"/>
        <v>0</v>
      </c>
      <c r="OUS6" s="88">
        <f t="shared" si="167"/>
        <v>0</v>
      </c>
      <c r="OUT6" s="88">
        <f t="shared" si="167"/>
        <v>0</v>
      </c>
      <c r="OUU6" s="88">
        <f t="shared" si="167"/>
        <v>0</v>
      </c>
      <c r="OUV6" s="88">
        <f t="shared" si="167"/>
        <v>0</v>
      </c>
      <c r="OUW6" s="88">
        <f t="shared" si="167"/>
        <v>0</v>
      </c>
      <c r="OUX6" s="88">
        <f t="shared" si="167"/>
        <v>0</v>
      </c>
      <c r="OUY6" s="88">
        <f t="shared" si="167"/>
        <v>0</v>
      </c>
      <c r="OUZ6" s="88">
        <f t="shared" si="167"/>
        <v>0</v>
      </c>
      <c r="OVA6" s="88">
        <f t="shared" si="167"/>
        <v>0</v>
      </c>
      <c r="OVB6" s="88">
        <f t="shared" si="167"/>
        <v>0</v>
      </c>
      <c r="OVC6" s="88">
        <f t="shared" si="167"/>
        <v>0</v>
      </c>
      <c r="OVD6" s="88">
        <f t="shared" si="167"/>
        <v>0</v>
      </c>
      <c r="OVE6" s="88">
        <f t="shared" si="167"/>
        <v>0</v>
      </c>
      <c r="OVF6" s="88">
        <f t="shared" si="167"/>
        <v>0</v>
      </c>
      <c r="OVG6" s="88">
        <f t="shared" si="167"/>
        <v>0</v>
      </c>
      <c r="OVH6" s="88">
        <f t="shared" si="167"/>
        <v>0</v>
      </c>
      <c r="OVI6" s="88">
        <f t="shared" si="167"/>
        <v>0</v>
      </c>
      <c r="OVJ6" s="88">
        <f t="shared" si="167"/>
        <v>0</v>
      </c>
      <c r="OVK6" s="88">
        <f t="shared" si="167"/>
        <v>0</v>
      </c>
      <c r="OVL6" s="88">
        <f t="shared" si="167"/>
        <v>0</v>
      </c>
      <c r="OVM6" s="88">
        <f t="shared" si="167"/>
        <v>0</v>
      </c>
      <c r="OVN6" s="88">
        <f t="shared" si="167"/>
        <v>0</v>
      </c>
      <c r="OVO6" s="88">
        <f t="shared" si="167"/>
        <v>0</v>
      </c>
      <c r="OVP6" s="88">
        <f t="shared" si="167"/>
        <v>0</v>
      </c>
      <c r="OVQ6" s="88">
        <f t="shared" si="167"/>
        <v>0</v>
      </c>
      <c r="OVR6" s="88">
        <f t="shared" si="167"/>
        <v>0</v>
      </c>
      <c r="OVS6" s="88">
        <f t="shared" si="167"/>
        <v>0</v>
      </c>
      <c r="OVT6" s="88">
        <f t="shared" si="167"/>
        <v>0</v>
      </c>
      <c r="OVU6" s="88">
        <f t="shared" si="167"/>
        <v>0</v>
      </c>
      <c r="OVV6" s="88">
        <f t="shared" si="167"/>
        <v>0</v>
      </c>
      <c r="OVW6" s="88">
        <f t="shared" si="167"/>
        <v>0</v>
      </c>
      <c r="OVX6" s="88">
        <f t="shared" si="167"/>
        <v>0</v>
      </c>
      <c r="OVY6" s="88">
        <f t="shared" si="167"/>
        <v>0</v>
      </c>
      <c r="OVZ6" s="88">
        <f t="shared" si="167"/>
        <v>0</v>
      </c>
      <c r="OWA6" s="88">
        <f t="shared" si="167"/>
        <v>0</v>
      </c>
      <c r="OWB6" s="88">
        <f t="shared" si="167"/>
        <v>0</v>
      </c>
      <c r="OWC6" s="88">
        <f t="shared" si="167"/>
        <v>0</v>
      </c>
      <c r="OWD6" s="88">
        <f t="shared" si="167"/>
        <v>0</v>
      </c>
      <c r="OWE6" s="88">
        <f t="shared" si="167"/>
        <v>0</v>
      </c>
      <c r="OWF6" s="88">
        <f t="shared" si="167"/>
        <v>0</v>
      </c>
      <c r="OWG6" s="88">
        <f t="shared" si="167"/>
        <v>0</v>
      </c>
      <c r="OWH6" s="88">
        <f t="shared" si="167"/>
        <v>0</v>
      </c>
      <c r="OWI6" s="88">
        <f t="shared" si="167"/>
        <v>0</v>
      </c>
      <c r="OWJ6" s="88">
        <f t="shared" si="167"/>
        <v>0</v>
      </c>
      <c r="OWK6" s="88">
        <f t="shared" si="167"/>
        <v>0</v>
      </c>
      <c r="OWL6" s="88">
        <f t="shared" si="167"/>
        <v>0</v>
      </c>
      <c r="OWM6" s="88">
        <f t="shared" si="167"/>
        <v>0</v>
      </c>
      <c r="OWN6" s="88">
        <f t="shared" si="167"/>
        <v>0</v>
      </c>
      <c r="OWO6" s="88">
        <f t="shared" si="167"/>
        <v>0</v>
      </c>
      <c r="OWP6" s="88">
        <f t="shared" si="167"/>
        <v>0</v>
      </c>
      <c r="OWQ6" s="88">
        <f t="shared" si="167"/>
        <v>0</v>
      </c>
      <c r="OWR6" s="88">
        <f t="shared" si="167"/>
        <v>0</v>
      </c>
      <c r="OWS6" s="88">
        <f t="shared" si="167"/>
        <v>0</v>
      </c>
      <c r="OWT6" s="88">
        <f t="shared" si="167"/>
        <v>0</v>
      </c>
      <c r="OWU6" s="88">
        <f t="shared" si="167"/>
        <v>0</v>
      </c>
      <c r="OWV6" s="88">
        <f t="shared" si="167"/>
        <v>0</v>
      </c>
      <c r="OWW6" s="88">
        <f t="shared" si="167"/>
        <v>0</v>
      </c>
      <c r="OWX6" s="88">
        <f t="shared" si="167"/>
        <v>0</v>
      </c>
      <c r="OWY6" s="88">
        <f t="shared" si="167"/>
        <v>0</v>
      </c>
      <c r="OWZ6" s="88">
        <f t="shared" ref="OWZ6:OZK6" si="168">SUM(OXA3:OXA5)</f>
        <v>0</v>
      </c>
      <c r="OXA6" s="88">
        <f t="shared" si="168"/>
        <v>0</v>
      </c>
      <c r="OXB6" s="88">
        <f t="shared" si="168"/>
        <v>0</v>
      </c>
      <c r="OXC6" s="88">
        <f t="shared" si="168"/>
        <v>0</v>
      </c>
      <c r="OXD6" s="88">
        <f t="shared" si="168"/>
        <v>0</v>
      </c>
      <c r="OXE6" s="88">
        <f t="shared" si="168"/>
        <v>0</v>
      </c>
      <c r="OXF6" s="88">
        <f t="shared" si="168"/>
        <v>0</v>
      </c>
      <c r="OXG6" s="88">
        <f t="shared" si="168"/>
        <v>0</v>
      </c>
      <c r="OXH6" s="88">
        <f t="shared" si="168"/>
        <v>0</v>
      </c>
      <c r="OXI6" s="88">
        <f t="shared" si="168"/>
        <v>0</v>
      </c>
      <c r="OXJ6" s="88">
        <f t="shared" si="168"/>
        <v>0</v>
      </c>
      <c r="OXK6" s="88">
        <f t="shared" si="168"/>
        <v>0</v>
      </c>
      <c r="OXL6" s="88">
        <f t="shared" si="168"/>
        <v>0</v>
      </c>
      <c r="OXM6" s="88">
        <f t="shared" si="168"/>
        <v>0</v>
      </c>
      <c r="OXN6" s="88">
        <f t="shared" si="168"/>
        <v>0</v>
      </c>
      <c r="OXO6" s="88">
        <f t="shared" si="168"/>
        <v>0</v>
      </c>
      <c r="OXP6" s="88">
        <f t="shared" si="168"/>
        <v>0</v>
      </c>
      <c r="OXQ6" s="88">
        <f t="shared" si="168"/>
        <v>0</v>
      </c>
      <c r="OXR6" s="88">
        <f t="shared" si="168"/>
        <v>0</v>
      </c>
      <c r="OXS6" s="88">
        <f t="shared" si="168"/>
        <v>0</v>
      </c>
      <c r="OXT6" s="88">
        <f t="shared" si="168"/>
        <v>0</v>
      </c>
      <c r="OXU6" s="88">
        <f t="shared" si="168"/>
        <v>0</v>
      </c>
      <c r="OXV6" s="88">
        <f t="shared" si="168"/>
        <v>0</v>
      </c>
      <c r="OXW6" s="88">
        <f t="shared" si="168"/>
        <v>0</v>
      </c>
      <c r="OXX6" s="88">
        <f t="shared" si="168"/>
        <v>0</v>
      </c>
      <c r="OXY6" s="88">
        <f t="shared" si="168"/>
        <v>0</v>
      </c>
      <c r="OXZ6" s="88">
        <f t="shared" si="168"/>
        <v>0</v>
      </c>
      <c r="OYA6" s="88">
        <f t="shared" si="168"/>
        <v>0</v>
      </c>
      <c r="OYB6" s="88">
        <f t="shared" si="168"/>
        <v>0</v>
      </c>
      <c r="OYC6" s="88">
        <f t="shared" si="168"/>
        <v>0</v>
      </c>
      <c r="OYD6" s="88">
        <f t="shared" si="168"/>
        <v>0</v>
      </c>
      <c r="OYE6" s="88">
        <f t="shared" si="168"/>
        <v>0</v>
      </c>
      <c r="OYF6" s="88">
        <f t="shared" si="168"/>
        <v>0</v>
      </c>
      <c r="OYG6" s="88">
        <f t="shared" si="168"/>
        <v>0</v>
      </c>
      <c r="OYH6" s="88">
        <f t="shared" si="168"/>
        <v>0</v>
      </c>
      <c r="OYI6" s="88">
        <f t="shared" si="168"/>
        <v>0</v>
      </c>
      <c r="OYJ6" s="88">
        <f t="shared" si="168"/>
        <v>0</v>
      </c>
      <c r="OYK6" s="88">
        <f t="shared" si="168"/>
        <v>0</v>
      </c>
      <c r="OYL6" s="88">
        <f t="shared" si="168"/>
        <v>0</v>
      </c>
      <c r="OYM6" s="88">
        <f t="shared" si="168"/>
        <v>0</v>
      </c>
      <c r="OYN6" s="88">
        <f t="shared" si="168"/>
        <v>0</v>
      </c>
      <c r="OYO6" s="88">
        <f t="shared" si="168"/>
        <v>0</v>
      </c>
      <c r="OYP6" s="88">
        <f t="shared" si="168"/>
        <v>0</v>
      </c>
      <c r="OYQ6" s="88">
        <f t="shared" si="168"/>
        <v>0</v>
      </c>
      <c r="OYR6" s="88">
        <f t="shared" si="168"/>
        <v>0</v>
      </c>
      <c r="OYS6" s="88">
        <f t="shared" si="168"/>
        <v>0</v>
      </c>
      <c r="OYT6" s="88">
        <f t="shared" si="168"/>
        <v>0</v>
      </c>
      <c r="OYU6" s="88">
        <f t="shared" si="168"/>
        <v>0</v>
      </c>
      <c r="OYV6" s="88">
        <f t="shared" si="168"/>
        <v>0</v>
      </c>
      <c r="OYW6" s="88">
        <f t="shared" si="168"/>
        <v>0</v>
      </c>
      <c r="OYX6" s="88">
        <f t="shared" si="168"/>
        <v>0</v>
      </c>
      <c r="OYY6" s="88">
        <f t="shared" si="168"/>
        <v>0</v>
      </c>
      <c r="OYZ6" s="88">
        <f t="shared" si="168"/>
        <v>0</v>
      </c>
      <c r="OZA6" s="88">
        <f t="shared" si="168"/>
        <v>0</v>
      </c>
      <c r="OZB6" s="88">
        <f t="shared" si="168"/>
        <v>0</v>
      </c>
      <c r="OZC6" s="88">
        <f t="shared" si="168"/>
        <v>0</v>
      </c>
      <c r="OZD6" s="88">
        <f t="shared" si="168"/>
        <v>0</v>
      </c>
      <c r="OZE6" s="88">
        <f t="shared" si="168"/>
        <v>0</v>
      </c>
      <c r="OZF6" s="88">
        <f t="shared" si="168"/>
        <v>0</v>
      </c>
      <c r="OZG6" s="88">
        <f t="shared" si="168"/>
        <v>0</v>
      </c>
      <c r="OZH6" s="88">
        <f t="shared" si="168"/>
        <v>0</v>
      </c>
      <c r="OZI6" s="88">
        <f t="shared" si="168"/>
        <v>0</v>
      </c>
      <c r="OZJ6" s="88">
        <f t="shared" si="168"/>
        <v>0</v>
      </c>
      <c r="OZK6" s="88">
        <f t="shared" si="168"/>
        <v>0</v>
      </c>
      <c r="OZL6" s="88">
        <f t="shared" ref="OZL6:PBW6" si="169">SUM(OZM3:OZM5)</f>
        <v>0</v>
      </c>
      <c r="OZM6" s="88">
        <f t="shared" si="169"/>
        <v>0</v>
      </c>
      <c r="OZN6" s="88">
        <f t="shared" si="169"/>
        <v>0</v>
      </c>
      <c r="OZO6" s="88">
        <f t="shared" si="169"/>
        <v>0</v>
      </c>
      <c r="OZP6" s="88">
        <f t="shared" si="169"/>
        <v>0</v>
      </c>
      <c r="OZQ6" s="88">
        <f t="shared" si="169"/>
        <v>0</v>
      </c>
      <c r="OZR6" s="88">
        <f t="shared" si="169"/>
        <v>0</v>
      </c>
      <c r="OZS6" s="88">
        <f t="shared" si="169"/>
        <v>0</v>
      </c>
      <c r="OZT6" s="88">
        <f t="shared" si="169"/>
        <v>0</v>
      </c>
      <c r="OZU6" s="88">
        <f t="shared" si="169"/>
        <v>0</v>
      </c>
      <c r="OZV6" s="88">
        <f t="shared" si="169"/>
        <v>0</v>
      </c>
      <c r="OZW6" s="88">
        <f t="shared" si="169"/>
        <v>0</v>
      </c>
      <c r="OZX6" s="88">
        <f t="shared" si="169"/>
        <v>0</v>
      </c>
      <c r="OZY6" s="88">
        <f t="shared" si="169"/>
        <v>0</v>
      </c>
      <c r="OZZ6" s="88">
        <f t="shared" si="169"/>
        <v>0</v>
      </c>
      <c r="PAA6" s="88">
        <f t="shared" si="169"/>
        <v>0</v>
      </c>
      <c r="PAB6" s="88">
        <f t="shared" si="169"/>
        <v>0</v>
      </c>
      <c r="PAC6" s="88">
        <f t="shared" si="169"/>
        <v>0</v>
      </c>
      <c r="PAD6" s="88">
        <f t="shared" si="169"/>
        <v>0</v>
      </c>
      <c r="PAE6" s="88">
        <f t="shared" si="169"/>
        <v>0</v>
      </c>
      <c r="PAF6" s="88">
        <f t="shared" si="169"/>
        <v>0</v>
      </c>
      <c r="PAG6" s="88">
        <f t="shared" si="169"/>
        <v>0</v>
      </c>
      <c r="PAH6" s="88">
        <f t="shared" si="169"/>
        <v>0</v>
      </c>
      <c r="PAI6" s="88">
        <f t="shared" si="169"/>
        <v>0</v>
      </c>
      <c r="PAJ6" s="88">
        <f t="shared" si="169"/>
        <v>0</v>
      </c>
      <c r="PAK6" s="88">
        <f t="shared" si="169"/>
        <v>0</v>
      </c>
      <c r="PAL6" s="88">
        <f t="shared" si="169"/>
        <v>0</v>
      </c>
      <c r="PAM6" s="88">
        <f t="shared" si="169"/>
        <v>0</v>
      </c>
      <c r="PAN6" s="88">
        <f t="shared" si="169"/>
        <v>0</v>
      </c>
      <c r="PAO6" s="88">
        <f t="shared" si="169"/>
        <v>0</v>
      </c>
      <c r="PAP6" s="88">
        <f t="shared" si="169"/>
        <v>0</v>
      </c>
      <c r="PAQ6" s="88">
        <f t="shared" si="169"/>
        <v>0</v>
      </c>
      <c r="PAR6" s="88">
        <f t="shared" si="169"/>
        <v>0</v>
      </c>
      <c r="PAS6" s="88">
        <f t="shared" si="169"/>
        <v>0</v>
      </c>
      <c r="PAT6" s="88">
        <f t="shared" si="169"/>
        <v>0</v>
      </c>
      <c r="PAU6" s="88">
        <f t="shared" si="169"/>
        <v>0</v>
      </c>
      <c r="PAV6" s="88">
        <f t="shared" si="169"/>
        <v>0</v>
      </c>
      <c r="PAW6" s="88">
        <f t="shared" si="169"/>
        <v>0</v>
      </c>
      <c r="PAX6" s="88">
        <f t="shared" si="169"/>
        <v>0</v>
      </c>
      <c r="PAY6" s="88">
        <f t="shared" si="169"/>
        <v>0</v>
      </c>
      <c r="PAZ6" s="88">
        <f t="shared" si="169"/>
        <v>0</v>
      </c>
      <c r="PBA6" s="88">
        <f t="shared" si="169"/>
        <v>0</v>
      </c>
      <c r="PBB6" s="88">
        <f t="shared" si="169"/>
        <v>0</v>
      </c>
      <c r="PBC6" s="88">
        <f t="shared" si="169"/>
        <v>0</v>
      </c>
      <c r="PBD6" s="88">
        <f t="shared" si="169"/>
        <v>0</v>
      </c>
      <c r="PBE6" s="88">
        <f t="shared" si="169"/>
        <v>0</v>
      </c>
      <c r="PBF6" s="88">
        <f t="shared" si="169"/>
        <v>0</v>
      </c>
      <c r="PBG6" s="88">
        <f t="shared" si="169"/>
        <v>0</v>
      </c>
      <c r="PBH6" s="88">
        <f t="shared" si="169"/>
        <v>0</v>
      </c>
      <c r="PBI6" s="88">
        <f t="shared" si="169"/>
        <v>0</v>
      </c>
      <c r="PBJ6" s="88">
        <f t="shared" si="169"/>
        <v>0</v>
      </c>
      <c r="PBK6" s="88">
        <f t="shared" si="169"/>
        <v>0</v>
      </c>
      <c r="PBL6" s="88">
        <f t="shared" si="169"/>
        <v>0</v>
      </c>
      <c r="PBM6" s="88">
        <f t="shared" si="169"/>
        <v>0</v>
      </c>
      <c r="PBN6" s="88">
        <f t="shared" si="169"/>
        <v>0</v>
      </c>
      <c r="PBO6" s="88">
        <f t="shared" si="169"/>
        <v>0</v>
      </c>
      <c r="PBP6" s="88">
        <f t="shared" si="169"/>
        <v>0</v>
      </c>
      <c r="PBQ6" s="88">
        <f t="shared" si="169"/>
        <v>0</v>
      </c>
      <c r="PBR6" s="88">
        <f t="shared" si="169"/>
        <v>0</v>
      </c>
      <c r="PBS6" s="88">
        <f t="shared" si="169"/>
        <v>0</v>
      </c>
      <c r="PBT6" s="88">
        <f t="shared" si="169"/>
        <v>0</v>
      </c>
      <c r="PBU6" s="88">
        <f t="shared" si="169"/>
        <v>0</v>
      </c>
      <c r="PBV6" s="88">
        <f t="shared" si="169"/>
        <v>0</v>
      </c>
      <c r="PBW6" s="88">
        <f t="shared" si="169"/>
        <v>0</v>
      </c>
      <c r="PBX6" s="88">
        <f t="shared" ref="PBX6:PEI6" si="170">SUM(PBY3:PBY5)</f>
        <v>0</v>
      </c>
      <c r="PBY6" s="88">
        <f t="shared" si="170"/>
        <v>0</v>
      </c>
      <c r="PBZ6" s="88">
        <f t="shared" si="170"/>
        <v>0</v>
      </c>
      <c r="PCA6" s="88">
        <f t="shared" si="170"/>
        <v>0</v>
      </c>
      <c r="PCB6" s="88">
        <f t="shared" si="170"/>
        <v>0</v>
      </c>
      <c r="PCC6" s="88">
        <f t="shared" si="170"/>
        <v>0</v>
      </c>
      <c r="PCD6" s="88">
        <f t="shared" si="170"/>
        <v>0</v>
      </c>
      <c r="PCE6" s="88">
        <f t="shared" si="170"/>
        <v>0</v>
      </c>
      <c r="PCF6" s="88">
        <f t="shared" si="170"/>
        <v>0</v>
      </c>
      <c r="PCG6" s="88">
        <f t="shared" si="170"/>
        <v>0</v>
      </c>
      <c r="PCH6" s="88">
        <f t="shared" si="170"/>
        <v>0</v>
      </c>
      <c r="PCI6" s="88">
        <f t="shared" si="170"/>
        <v>0</v>
      </c>
      <c r="PCJ6" s="88">
        <f t="shared" si="170"/>
        <v>0</v>
      </c>
      <c r="PCK6" s="88">
        <f t="shared" si="170"/>
        <v>0</v>
      </c>
      <c r="PCL6" s="88">
        <f t="shared" si="170"/>
        <v>0</v>
      </c>
      <c r="PCM6" s="88">
        <f t="shared" si="170"/>
        <v>0</v>
      </c>
      <c r="PCN6" s="88">
        <f t="shared" si="170"/>
        <v>0</v>
      </c>
      <c r="PCO6" s="88">
        <f t="shared" si="170"/>
        <v>0</v>
      </c>
      <c r="PCP6" s="88">
        <f t="shared" si="170"/>
        <v>0</v>
      </c>
      <c r="PCQ6" s="88">
        <f t="shared" si="170"/>
        <v>0</v>
      </c>
      <c r="PCR6" s="88">
        <f t="shared" si="170"/>
        <v>0</v>
      </c>
      <c r="PCS6" s="88">
        <f t="shared" si="170"/>
        <v>0</v>
      </c>
      <c r="PCT6" s="88">
        <f t="shared" si="170"/>
        <v>0</v>
      </c>
      <c r="PCU6" s="88">
        <f t="shared" si="170"/>
        <v>0</v>
      </c>
      <c r="PCV6" s="88">
        <f t="shared" si="170"/>
        <v>0</v>
      </c>
      <c r="PCW6" s="88">
        <f t="shared" si="170"/>
        <v>0</v>
      </c>
      <c r="PCX6" s="88">
        <f t="shared" si="170"/>
        <v>0</v>
      </c>
      <c r="PCY6" s="88">
        <f t="shared" si="170"/>
        <v>0</v>
      </c>
      <c r="PCZ6" s="88">
        <f t="shared" si="170"/>
        <v>0</v>
      </c>
      <c r="PDA6" s="88">
        <f t="shared" si="170"/>
        <v>0</v>
      </c>
      <c r="PDB6" s="88">
        <f t="shared" si="170"/>
        <v>0</v>
      </c>
      <c r="PDC6" s="88">
        <f t="shared" si="170"/>
        <v>0</v>
      </c>
      <c r="PDD6" s="88">
        <f t="shared" si="170"/>
        <v>0</v>
      </c>
      <c r="PDE6" s="88">
        <f t="shared" si="170"/>
        <v>0</v>
      </c>
      <c r="PDF6" s="88">
        <f t="shared" si="170"/>
        <v>0</v>
      </c>
      <c r="PDG6" s="88">
        <f t="shared" si="170"/>
        <v>0</v>
      </c>
      <c r="PDH6" s="88">
        <f t="shared" si="170"/>
        <v>0</v>
      </c>
      <c r="PDI6" s="88">
        <f t="shared" si="170"/>
        <v>0</v>
      </c>
      <c r="PDJ6" s="88">
        <f t="shared" si="170"/>
        <v>0</v>
      </c>
      <c r="PDK6" s="88">
        <f t="shared" si="170"/>
        <v>0</v>
      </c>
      <c r="PDL6" s="88">
        <f t="shared" si="170"/>
        <v>0</v>
      </c>
      <c r="PDM6" s="88">
        <f t="shared" si="170"/>
        <v>0</v>
      </c>
      <c r="PDN6" s="88">
        <f t="shared" si="170"/>
        <v>0</v>
      </c>
      <c r="PDO6" s="88">
        <f t="shared" si="170"/>
        <v>0</v>
      </c>
      <c r="PDP6" s="88">
        <f t="shared" si="170"/>
        <v>0</v>
      </c>
      <c r="PDQ6" s="88">
        <f t="shared" si="170"/>
        <v>0</v>
      </c>
      <c r="PDR6" s="88">
        <f t="shared" si="170"/>
        <v>0</v>
      </c>
      <c r="PDS6" s="88">
        <f t="shared" si="170"/>
        <v>0</v>
      </c>
      <c r="PDT6" s="88">
        <f t="shared" si="170"/>
        <v>0</v>
      </c>
      <c r="PDU6" s="88">
        <f t="shared" si="170"/>
        <v>0</v>
      </c>
      <c r="PDV6" s="88">
        <f t="shared" si="170"/>
        <v>0</v>
      </c>
      <c r="PDW6" s="88">
        <f t="shared" si="170"/>
        <v>0</v>
      </c>
      <c r="PDX6" s="88">
        <f t="shared" si="170"/>
        <v>0</v>
      </c>
      <c r="PDY6" s="88">
        <f t="shared" si="170"/>
        <v>0</v>
      </c>
      <c r="PDZ6" s="88">
        <f t="shared" si="170"/>
        <v>0</v>
      </c>
      <c r="PEA6" s="88">
        <f t="shared" si="170"/>
        <v>0</v>
      </c>
      <c r="PEB6" s="88">
        <f t="shared" si="170"/>
        <v>0</v>
      </c>
      <c r="PEC6" s="88">
        <f t="shared" si="170"/>
        <v>0</v>
      </c>
      <c r="PED6" s="88">
        <f t="shared" si="170"/>
        <v>0</v>
      </c>
      <c r="PEE6" s="88">
        <f t="shared" si="170"/>
        <v>0</v>
      </c>
      <c r="PEF6" s="88">
        <f t="shared" si="170"/>
        <v>0</v>
      </c>
      <c r="PEG6" s="88">
        <f t="shared" si="170"/>
        <v>0</v>
      </c>
      <c r="PEH6" s="88">
        <f t="shared" si="170"/>
        <v>0</v>
      </c>
      <c r="PEI6" s="88">
        <f t="shared" si="170"/>
        <v>0</v>
      </c>
      <c r="PEJ6" s="88">
        <f t="shared" ref="PEJ6:PGU6" si="171">SUM(PEK3:PEK5)</f>
        <v>0</v>
      </c>
      <c r="PEK6" s="88">
        <f t="shared" si="171"/>
        <v>0</v>
      </c>
      <c r="PEL6" s="88">
        <f t="shared" si="171"/>
        <v>0</v>
      </c>
      <c r="PEM6" s="88">
        <f t="shared" si="171"/>
        <v>0</v>
      </c>
      <c r="PEN6" s="88">
        <f t="shared" si="171"/>
        <v>0</v>
      </c>
      <c r="PEO6" s="88">
        <f t="shared" si="171"/>
        <v>0</v>
      </c>
      <c r="PEP6" s="88">
        <f t="shared" si="171"/>
        <v>0</v>
      </c>
      <c r="PEQ6" s="88">
        <f t="shared" si="171"/>
        <v>0</v>
      </c>
      <c r="PER6" s="88">
        <f t="shared" si="171"/>
        <v>0</v>
      </c>
      <c r="PES6" s="88">
        <f t="shared" si="171"/>
        <v>0</v>
      </c>
      <c r="PET6" s="88">
        <f t="shared" si="171"/>
        <v>0</v>
      </c>
      <c r="PEU6" s="88">
        <f t="shared" si="171"/>
        <v>0</v>
      </c>
      <c r="PEV6" s="88">
        <f t="shared" si="171"/>
        <v>0</v>
      </c>
      <c r="PEW6" s="88">
        <f t="shared" si="171"/>
        <v>0</v>
      </c>
      <c r="PEX6" s="88">
        <f t="shared" si="171"/>
        <v>0</v>
      </c>
      <c r="PEY6" s="88">
        <f t="shared" si="171"/>
        <v>0</v>
      </c>
      <c r="PEZ6" s="88">
        <f t="shared" si="171"/>
        <v>0</v>
      </c>
      <c r="PFA6" s="88">
        <f t="shared" si="171"/>
        <v>0</v>
      </c>
      <c r="PFB6" s="88">
        <f t="shared" si="171"/>
        <v>0</v>
      </c>
      <c r="PFC6" s="88">
        <f t="shared" si="171"/>
        <v>0</v>
      </c>
      <c r="PFD6" s="88">
        <f t="shared" si="171"/>
        <v>0</v>
      </c>
      <c r="PFE6" s="88">
        <f t="shared" si="171"/>
        <v>0</v>
      </c>
      <c r="PFF6" s="88">
        <f t="shared" si="171"/>
        <v>0</v>
      </c>
      <c r="PFG6" s="88">
        <f t="shared" si="171"/>
        <v>0</v>
      </c>
      <c r="PFH6" s="88">
        <f t="shared" si="171"/>
        <v>0</v>
      </c>
      <c r="PFI6" s="88">
        <f t="shared" si="171"/>
        <v>0</v>
      </c>
      <c r="PFJ6" s="88">
        <f t="shared" si="171"/>
        <v>0</v>
      </c>
      <c r="PFK6" s="88">
        <f t="shared" si="171"/>
        <v>0</v>
      </c>
      <c r="PFL6" s="88">
        <f t="shared" si="171"/>
        <v>0</v>
      </c>
      <c r="PFM6" s="88">
        <f t="shared" si="171"/>
        <v>0</v>
      </c>
      <c r="PFN6" s="88">
        <f t="shared" si="171"/>
        <v>0</v>
      </c>
      <c r="PFO6" s="88">
        <f t="shared" si="171"/>
        <v>0</v>
      </c>
      <c r="PFP6" s="88">
        <f t="shared" si="171"/>
        <v>0</v>
      </c>
      <c r="PFQ6" s="88">
        <f t="shared" si="171"/>
        <v>0</v>
      </c>
      <c r="PFR6" s="88">
        <f t="shared" si="171"/>
        <v>0</v>
      </c>
      <c r="PFS6" s="88">
        <f t="shared" si="171"/>
        <v>0</v>
      </c>
      <c r="PFT6" s="88">
        <f t="shared" si="171"/>
        <v>0</v>
      </c>
      <c r="PFU6" s="88">
        <f t="shared" si="171"/>
        <v>0</v>
      </c>
      <c r="PFV6" s="88">
        <f t="shared" si="171"/>
        <v>0</v>
      </c>
      <c r="PFW6" s="88">
        <f t="shared" si="171"/>
        <v>0</v>
      </c>
      <c r="PFX6" s="88">
        <f t="shared" si="171"/>
        <v>0</v>
      </c>
      <c r="PFY6" s="88">
        <f t="shared" si="171"/>
        <v>0</v>
      </c>
      <c r="PFZ6" s="88">
        <f t="shared" si="171"/>
        <v>0</v>
      </c>
      <c r="PGA6" s="88">
        <f t="shared" si="171"/>
        <v>0</v>
      </c>
      <c r="PGB6" s="88">
        <f t="shared" si="171"/>
        <v>0</v>
      </c>
      <c r="PGC6" s="88">
        <f t="shared" si="171"/>
        <v>0</v>
      </c>
      <c r="PGD6" s="88">
        <f t="shared" si="171"/>
        <v>0</v>
      </c>
      <c r="PGE6" s="88">
        <f t="shared" si="171"/>
        <v>0</v>
      </c>
      <c r="PGF6" s="88">
        <f t="shared" si="171"/>
        <v>0</v>
      </c>
      <c r="PGG6" s="88">
        <f t="shared" si="171"/>
        <v>0</v>
      </c>
      <c r="PGH6" s="88">
        <f t="shared" si="171"/>
        <v>0</v>
      </c>
      <c r="PGI6" s="88">
        <f t="shared" si="171"/>
        <v>0</v>
      </c>
      <c r="PGJ6" s="88">
        <f t="shared" si="171"/>
        <v>0</v>
      </c>
      <c r="PGK6" s="88">
        <f t="shared" si="171"/>
        <v>0</v>
      </c>
      <c r="PGL6" s="88">
        <f t="shared" si="171"/>
        <v>0</v>
      </c>
      <c r="PGM6" s="88">
        <f t="shared" si="171"/>
        <v>0</v>
      </c>
      <c r="PGN6" s="88">
        <f t="shared" si="171"/>
        <v>0</v>
      </c>
      <c r="PGO6" s="88">
        <f t="shared" si="171"/>
        <v>0</v>
      </c>
      <c r="PGP6" s="88">
        <f t="shared" si="171"/>
        <v>0</v>
      </c>
      <c r="PGQ6" s="88">
        <f t="shared" si="171"/>
        <v>0</v>
      </c>
      <c r="PGR6" s="88">
        <f t="shared" si="171"/>
        <v>0</v>
      </c>
      <c r="PGS6" s="88">
        <f t="shared" si="171"/>
        <v>0</v>
      </c>
      <c r="PGT6" s="88">
        <f t="shared" si="171"/>
        <v>0</v>
      </c>
      <c r="PGU6" s="88">
        <f t="shared" si="171"/>
        <v>0</v>
      </c>
      <c r="PGV6" s="88">
        <f t="shared" ref="PGV6:PJG6" si="172">SUM(PGW3:PGW5)</f>
        <v>0</v>
      </c>
      <c r="PGW6" s="88">
        <f t="shared" si="172"/>
        <v>0</v>
      </c>
      <c r="PGX6" s="88">
        <f t="shared" si="172"/>
        <v>0</v>
      </c>
      <c r="PGY6" s="88">
        <f t="shared" si="172"/>
        <v>0</v>
      </c>
      <c r="PGZ6" s="88">
        <f t="shared" si="172"/>
        <v>0</v>
      </c>
      <c r="PHA6" s="88">
        <f t="shared" si="172"/>
        <v>0</v>
      </c>
      <c r="PHB6" s="88">
        <f t="shared" si="172"/>
        <v>0</v>
      </c>
      <c r="PHC6" s="88">
        <f t="shared" si="172"/>
        <v>0</v>
      </c>
      <c r="PHD6" s="88">
        <f t="shared" si="172"/>
        <v>0</v>
      </c>
      <c r="PHE6" s="88">
        <f t="shared" si="172"/>
        <v>0</v>
      </c>
      <c r="PHF6" s="88">
        <f t="shared" si="172"/>
        <v>0</v>
      </c>
      <c r="PHG6" s="88">
        <f t="shared" si="172"/>
        <v>0</v>
      </c>
      <c r="PHH6" s="88">
        <f t="shared" si="172"/>
        <v>0</v>
      </c>
      <c r="PHI6" s="88">
        <f t="shared" si="172"/>
        <v>0</v>
      </c>
      <c r="PHJ6" s="88">
        <f t="shared" si="172"/>
        <v>0</v>
      </c>
      <c r="PHK6" s="88">
        <f t="shared" si="172"/>
        <v>0</v>
      </c>
      <c r="PHL6" s="88">
        <f t="shared" si="172"/>
        <v>0</v>
      </c>
      <c r="PHM6" s="88">
        <f t="shared" si="172"/>
        <v>0</v>
      </c>
      <c r="PHN6" s="88">
        <f t="shared" si="172"/>
        <v>0</v>
      </c>
      <c r="PHO6" s="88">
        <f t="shared" si="172"/>
        <v>0</v>
      </c>
      <c r="PHP6" s="88">
        <f t="shared" si="172"/>
        <v>0</v>
      </c>
      <c r="PHQ6" s="88">
        <f t="shared" si="172"/>
        <v>0</v>
      </c>
      <c r="PHR6" s="88">
        <f t="shared" si="172"/>
        <v>0</v>
      </c>
      <c r="PHS6" s="88">
        <f t="shared" si="172"/>
        <v>0</v>
      </c>
      <c r="PHT6" s="88">
        <f t="shared" si="172"/>
        <v>0</v>
      </c>
      <c r="PHU6" s="88">
        <f t="shared" si="172"/>
        <v>0</v>
      </c>
      <c r="PHV6" s="88">
        <f t="shared" si="172"/>
        <v>0</v>
      </c>
      <c r="PHW6" s="88">
        <f t="shared" si="172"/>
        <v>0</v>
      </c>
      <c r="PHX6" s="88">
        <f t="shared" si="172"/>
        <v>0</v>
      </c>
      <c r="PHY6" s="88">
        <f t="shared" si="172"/>
        <v>0</v>
      </c>
      <c r="PHZ6" s="88">
        <f t="shared" si="172"/>
        <v>0</v>
      </c>
      <c r="PIA6" s="88">
        <f t="shared" si="172"/>
        <v>0</v>
      </c>
      <c r="PIB6" s="88">
        <f t="shared" si="172"/>
        <v>0</v>
      </c>
      <c r="PIC6" s="88">
        <f t="shared" si="172"/>
        <v>0</v>
      </c>
      <c r="PID6" s="88">
        <f t="shared" si="172"/>
        <v>0</v>
      </c>
      <c r="PIE6" s="88">
        <f t="shared" si="172"/>
        <v>0</v>
      </c>
      <c r="PIF6" s="88">
        <f t="shared" si="172"/>
        <v>0</v>
      </c>
      <c r="PIG6" s="88">
        <f t="shared" si="172"/>
        <v>0</v>
      </c>
      <c r="PIH6" s="88">
        <f t="shared" si="172"/>
        <v>0</v>
      </c>
      <c r="PII6" s="88">
        <f t="shared" si="172"/>
        <v>0</v>
      </c>
      <c r="PIJ6" s="88">
        <f t="shared" si="172"/>
        <v>0</v>
      </c>
      <c r="PIK6" s="88">
        <f t="shared" si="172"/>
        <v>0</v>
      </c>
      <c r="PIL6" s="88">
        <f t="shared" si="172"/>
        <v>0</v>
      </c>
      <c r="PIM6" s="88">
        <f t="shared" si="172"/>
        <v>0</v>
      </c>
      <c r="PIN6" s="88">
        <f t="shared" si="172"/>
        <v>0</v>
      </c>
      <c r="PIO6" s="88">
        <f t="shared" si="172"/>
        <v>0</v>
      </c>
      <c r="PIP6" s="88">
        <f t="shared" si="172"/>
        <v>0</v>
      </c>
      <c r="PIQ6" s="88">
        <f t="shared" si="172"/>
        <v>0</v>
      </c>
      <c r="PIR6" s="88">
        <f t="shared" si="172"/>
        <v>0</v>
      </c>
      <c r="PIS6" s="88">
        <f t="shared" si="172"/>
        <v>0</v>
      </c>
      <c r="PIT6" s="88">
        <f t="shared" si="172"/>
        <v>0</v>
      </c>
      <c r="PIU6" s="88">
        <f t="shared" si="172"/>
        <v>0</v>
      </c>
      <c r="PIV6" s="88">
        <f t="shared" si="172"/>
        <v>0</v>
      </c>
      <c r="PIW6" s="88">
        <f t="shared" si="172"/>
        <v>0</v>
      </c>
      <c r="PIX6" s="88">
        <f t="shared" si="172"/>
        <v>0</v>
      </c>
      <c r="PIY6" s="88">
        <f t="shared" si="172"/>
        <v>0</v>
      </c>
      <c r="PIZ6" s="88">
        <f t="shared" si="172"/>
        <v>0</v>
      </c>
      <c r="PJA6" s="88">
        <f t="shared" si="172"/>
        <v>0</v>
      </c>
      <c r="PJB6" s="88">
        <f t="shared" si="172"/>
        <v>0</v>
      </c>
      <c r="PJC6" s="88">
        <f t="shared" si="172"/>
        <v>0</v>
      </c>
      <c r="PJD6" s="88">
        <f t="shared" si="172"/>
        <v>0</v>
      </c>
      <c r="PJE6" s="88">
        <f t="shared" si="172"/>
        <v>0</v>
      </c>
      <c r="PJF6" s="88">
        <f t="shared" si="172"/>
        <v>0</v>
      </c>
      <c r="PJG6" s="88">
        <f t="shared" si="172"/>
        <v>0</v>
      </c>
      <c r="PJH6" s="88">
        <f t="shared" ref="PJH6:PLS6" si="173">SUM(PJI3:PJI5)</f>
        <v>0</v>
      </c>
      <c r="PJI6" s="88">
        <f t="shared" si="173"/>
        <v>0</v>
      </c>
      <c r="PJJ6" s="88">
        <f t="shared" si="173"/>
        <v>0</v>
      </c>
      <c r="PJK6" s="88">
        <f t="shared" si="173"/>
        <v>0</v>
      </c>
      <c r="PJL6" s="88">
        <f t="shared" si="173"/>
        <v>0</v>
      </c>
      <c r="PJM6" s="88">
        <f t="shared" si="173"/>
        <v>0</v>
      </c>
      <c r="PJN6" s="88">
        <f t="shared" si="173"/>
        <v>0</v>
      </c>
      <c r="PJO6" s="88">
        <f t="shared" si="173"/>
        <v>0</v>
      </c>
      <c r="PJP6" s="88">
        <f t="shared" si="173"/>
        <v>0</v>
      </c>
      <c r="PJQ6" s="88">
        <f t="shared" si="173"/>
        <v>0</v>
      </c>
      <c r="PJR6" s="88">
        <f t="shared" si="173"/>
        <v>0</v>
      </c>
      <c r="PJS6" s="88">
        <f t="shared" si="173"/>
        <v>0</v>
      </c>
      <c r="PJT6" s="88">
        <f t="shared" si="173"/>
        <v>0</v>
      </c>
      <c r="PJU6" s="88">
        <f t="shared" si="173"/>
        <v>0</v>
      </c>
      <c r="PJV6" s="88">
        <f t="shared" si="173"/>
        <v>0</v>
      </c>
      <c r="PJW6" s="88">
        <f t="shared" si="173"/>
        <v>0</v>
      </c>
      <c r="PJX6" s="88">
        <f t="shared" si="173"/>
        <v>0</v>
      </c>
      <c r="PJY6" s="88">
        <f t="shared" si="173"/>
        <v>0</v>
      </c>
      <c r="PJZ6" s="88">
        <f t="shared" si="173"/>
        <v>0</v>
      </c>
      <c r="PKA6" s="88">
        <f t="shared" si="173"/>
        <v>0</v>
      </c>
      <c r="PKB6" s="88">
        <f t="shared" si="173"/>
        <v>0</v>
      </c>
      <c r="PKC6" s="88">
        <f t="shared" si="173"/>
        <v>0</v>
      </c>
      <c r="PKD6" s="88">
        <f t="shared" si="173"/>
        <v>0</v>
      </c>
      <c r="PKE6" s="88">
        <f t="shared" si="173"/>
        <v>0</v>
      </c>
      <c r="PKF6" s="88">
        <f t="shared" si="173"/>
        <v>0</v>
      </c>
      <c r="PKG6" s="88">
        <f t="shared" si="173"/>
        <v>0</v>
      </c>
      <c r="PKH6" s="88">
        <f t="shared" si="173"/>
        <v>0</v>
      </c>
      <c r="PKI6" s="88">
        <f t="shared" si="173"/>
        <v>0</v>
      </c>
      <c r="PKJ6" s="88">
        <f t="shared" si="173"/>
        <v>0</v>
      </c>
      <c r="PKK6" s="88">
        <f t="shared" si="173"/>
        <v>0</v>
      </c>
      <c r="PKL6" s="88">
        <f t="shared" si="173"/>
        <v>0</v>
      </c>
      <c r="PKM6" s="88">
        <f t="shared" si="173"/>
        <v>0</v>
      </c>
      <c r="PKN6" s="88">
        <f t="shared" si="173"/>
        <v>0</v>
      </c>
      <c r="PKO6" s="88">
        <f t="shared" si="173"/>
        <v>0</v>
      </c>
      <c r="PKP6" s="88">
        <f t="shared" si="173"/>
        <v>0</v>
      </c>
      <c r="PKQ6" s="88">
        <f t="shared" si="173"/>
        <v>0</v>
      </c>
      <c r="PKR6" s="88">
        <f t="shared" si="173"/>
        <v>0</v>
      </c>
      <c r="PKS6" s="88">
        <f t="shared" si="173"/>
        <v>0</v>
      </c>
      <c r="PKT6" s="88">
        <f t="shared" si="173"/>
        <v>0</v>
      </c>
      <c r="PKU6" s="88">
        <f t="shared" si="173"/>
        <v>0</v>
      </c>
      <c r="PKV6" s="88">
        <f t="shared" si="173"/>
        <v>0</v>
      </c>
      <c r="PKW6" s="88">
        <f t="shared" si="173"/>
        <v>0</v>
      </c>
      <c r="PKX6" s="88">
        <f t="shared" si="173"/>
        <v>0</v>
      </c>
      <c r="PKY6" s="88">
        <f t="shared" si="173"/>
        <v>0</v>
      </c>
      <c r="PKZ6" s="88">
        <f t="shared" si="173"/>
        <v>0</v>
      </c>
      <c r="PLA6" s="88">
        <f t="shared" si="173"/>
        <v>0</v>
      </c>
      <c r="PLB6" s="88">
        <f t="shared" si="173"/>
        <v>0</v>
      </c>
      <c r="PLC6" s="88">
        <f t="shared" si="173"/>
        <v>0</v>
      </c>
      <c r="PLD6" s="88">
        <f t="shared" si="173"/>
        <v>0</v>
      </c>
      <c r="PLE6" s="88">
        <f t="shared" si="173"/>
        <v>0</v>
      </c>
      <c r="PLF6" s="88">
        <f t="shared" si="173"/>
        <v>0</v>
      </c>
      <c r="PLG6" s="88">
        <f t="shared" si="173"/>
        <v>0</v>
      </c>
      <c r="PLH6" s="88">
        <f t="shared" si="173"/>
        <v>0</v>
      </c>
      <c r="PLI6" s="88">
        <f t="shared" si="173"/>
        <v>0</v>
      </c>
      <c r="PLJ6" s="88">
        <f t="shared" si="173"/>
        <v>0</v>
      </c>
      <c r="PLK6" s="88">
        <f t="shared" si="173"/>
        <v>0</v>
      </c>
      <c r="PLL6" s="88">
        <f t="shared" si="173"/>
        <v>0</v>
      </c>
      <c r="PLM6" s="88">
        <f t="shared" si="173"/>
        <v>0</v>
      </c>
      <c r="PLN6" s="88">
        <f t="shared" si="173"/>
        <v>0</v>
      </c>
      <c r="PLO6" s="88">
        <f t="shared" si="173"/>
        <v>0</v>
      </c>
      <c r="PLP6" s="88">
        <f t="shared" si="173"/>
        <v>0</v>
      </c>
      <c r="PLQ6" s="88">
        <f t="shared" si="173"/>
        <v>0</v>
      </c>
      <c r="PLR6" s="88">
        <f t="shared" si="173"/>
        <v>0</v>
      </c>
      <c r="PLS6" s="88">
        <f t="shared" si="173"/>
        <v>0</v>
      </c>
      <c r="PLT6" s="88">
        <f t="shared" ref="PLT6:POE6" si="174">SUM(PLU3:PLU5)</f>
        <v>0</v>
      </c>
      <c r="PLU6" s="88">
        <f t="shared" si="174"/>
        <v>0</v>
      </c>
      <c r="PLV6" s="88">
        <f t="shared" si="174"/>
        <v>0</v>
      </c>
      <c r="PLW6" s="88">
        <f t="shared" si="174"/>
        <v>0</v>
      </c>
      <c r="PLX6" s="88">
        <f t="shared" si="174"/>
        <v>0</v>
      </c>
      <c r="PLY6" s="88">
        <f t="shared" si="174"/>
        <v>0</v>
      </c>
      <c r="PLZ6" s="88">
        <f t="shared" si="174"/>
        <v>0</v>
      </c>
      <c r="PMA6" s="88">
        <f t="shared" si="174"/>
        <v>0</v>
      </c>
      <c r="PMB6" s="88">
        <f t="shared" si="174"/>
        <v>0</v>
      </c>
      <c r="PMC6" s="88">
        <f t="shared" si="174"/>
        <v>0</v>
      </c>
      <c r="PMD6" s="88">
        <f t="shared" si="174"/>
        <v>0</v>
      </c>
      <c r="PME6" s="88">
        <f t="shared" si="174"/>
        <v>0</v>
      </c>
      <c r="PMF6" s="88">
        <f t="shared" si="174"/>
        <v>0</v>
      </c>
      <c r="PMG6" s="88">
        <f t="shared" si="174"/>
        <v>0</v>
      </c>
      <c r="PMH6" s="88">
        <f t="shared" si="174"/>
        <v>0</v>
      </c>
      <c r="PMI6" s="88">
        <f t="shared" si="174"/>
        <v>0</v>
      </c>
      <c r="PMJ6" s="88">
        <f t="shared" si="174"/>
        <v>0</v>
      </c>
      <c r="PMK6" s="88">
        <f t="shared" si="174"/>
        <v>0</v>
      </c>
      <c r="PML6" s="88">
        <f t="shared" si="174"/>
        <v>0</v>
      </c>
      <c r="PMM6" s="88">
        <f t="shared" si="174"/>
        <v>0</v>
      </c>
      <c r="PMN6" s="88">
        <f t="shared" si="174"/>
        <v>0</v>
      </c>
      <c r="PMO6" s="88">
        <f t="shared" si="174"/>
        <v>0</v>
      </c>
      <c r="PMP6" s="88">
        <f t="shared" si="174"/>
        <v>0</v>
      </c>
      <c r="PMQ6" s="88">
        <f t="shared" si="174"/>
        <v>0</v>
      </c>
      <c r="PMR6" s="88">
        <f t="shared" si="174"/>
        <v>0</v>
      </c>
      <c r="PMS6" s="88">
        <f t="shared" si="174"/>
        <v>0</v>
      </c>
      <c r="PMT6" s="88">
        <f t="shared" si="174"/>
        <v>0</v>
      </c>
      <c r="PMU6" s="88">
        <f t="shared" si="174"/>
        <v>0</v>
      </c>
      <c r="PMV6" s="88">
        <f t="shared" si="174"/>
        <v>0</v>
      </c>
      <c r="PMW6" s="88">
        <f t="shared" si="174"/>
        <v>0</v>
      </c>
      <c r="PMX6" s="88">
        <f t="shared" si="174"/>
        <v>0</v>
      </c>
      <c r="PMY6" s="88">
        <f t="shared" si="174"/>
        <v>0</v>
      </c>
      <c r="PMZ6" s="88">
        <f t="shared" si="174"/>
        <v>0</v>
      </c>
      <c r="PNA6" s="88">
        <f t="shared" si="174"/>
        <v>0</v>
      </c>
      <c r="PNB6" s="88">
        <f t="shared" si="174"/>
        <v>0</v>
      </c>
      <c r="PNC6" s="88">
        <f t="shared" si="174"/>
        <v>0</v>
      </c>
      <c r="PND6" s="88">
        <f t="shared" si="174"/>
        <v>0</v>
      </c>
      <c r="PNE6" s="88">
        <f t="shared" si="174"/>
        <v>0</v>
      </c>
      <c r="PNF6" s="88">
        <f t="shared" si="174"/>
        <v>0</v>
      </c>
      <c r="PNG6" s="88">
        <f t="shared" si="174"/>
        <v>0</v>
      </c>
      <c r="PNH6" s="88">
        <f t="shared" si="174"/>
        <v>0</v>
      </c>
      <c r="PNI6" s="88">
        <f t="shared" si="174"/>
        <v>0</v>
      </c>
      <c r="PNJ6" s="88">
        <f t="shared" si="174"/>
        <v>0</v>
      </c>
      <c r="PNK6" s="88">
        <f t="shared" si="174"/>
        <v>0</v>
      </c>
      <c r="PNL6" s="88">
        <f t="shared" si="174"/>
        <v>0</v>
      </c>
      <c r="PNM6" s="88">
        <f t="shared" si="174"/>
        <v>0</v>
      </c>
      <c r="PNN6" s="88">
        <f t="shared" si="174"/>
        <v>0</v>
      </c>
      <c r="PNO6" s="88">
        <f t="shared" si="174"/>
        <v>0</v>
      </c>
      <c r="PNP6" s="88">
        <f t="shared" si="174"/>
        <v>0</v>
      </c>
      <c r="PNQ6" s="88">
        <f t="shared" si="174"/>
        <v>0</v>
      </c>
      <c r="PNR6" s="88">
        <f t="shared" si="174"/>
        <v>0</v>
      </c>
      <c r="PNS6" s="88">
        <f t="shared" si="174"/>
        <v>0</v>
      </c>
      <c r="PNT6" s="88">
        <f t="shared" si="174"/>
        <v>0</v>
      </c>
      <c r="PNU6" s="88">
        <f t="shared" si="174"/>
        <v>0</v>
      </c>
      <c r="PNV6" s="88">
        <f t="shared" si="174"/>
        <v>0</v>
      </c>
      <c r="PNW6" s="88">
        <f t="shared" si="174"/>
        <v>0</v>
      </c>
      <c r="PNX6" s="88">
        <f t="shared" si="174"/>
        <v>0</v>
      </c>
      <c r="PNY6" s="88">
        <f t="shared" si="174"/>
        <v>0</v>
      </c>
      <c r="PNZ6" s="88">
        <f t="shared" si="174"/>
        <v>0</v>
      </c>
      <c r="POA6" s="88">
        <f t="shared" si="174"/>
        <v>0</v>
      </c>
      <c r="POB6" s="88">
        <f t="shared" si="174"/>
        <v>0</v>
      </c>
      <c r="POC6" s="88">
        <f t="shared" si="174"/>
        <v>0</v>
      </c>
      <c r="POD6" s="88">
        <f t="shared" si="174"/>
        <v>0</v>
      </c>
      <c r="POE6" s="88">
        <f t="shared" si="174"/>
        <v>0</v>
      </c>
      <c r="POF6" s="88">
        <f t="shared" ref="POF6:PQQ6" si="175">SUM(POG3:POG5)</f>
        <v>0</v>
      </c>
      <c r="POG6" s="88">
        <f t="shared" si="175"/>
        <v>0</v>
      </c>
      <c r="POH6" s="88">
        <f t="shared" si="175"/>
        <v>0</v>
      </c>
      <c r="POI6" s="88">
        <f t="shared" si="175"/>
        <v>0</v>
      </c>
      <c r="POJ6" s="88">
        <f t="shared" si="175"/>
        <v>0</v>
      </c>
      <c r="POK6" s="88">
        <f t="shared" si="175"/>
        <v>0</v>
      </c>
      <c r="POL6" s="88">
        <f t="shared" si="175"/>
        <v>0</v>
      </c>
      <c r="POM6" s="88">
        <f t="shared" si="175"/>
        <v>0</v>
      </c>
      <c r="PON6" s="88">
        <f t="shared" si="175"/>
        <v>0</v>
      </c>
      <c r="POO6" s="88">
        <f t="shared" si="175"/>
        <v>0</v>
      </c>
      <c r="POP6" s="88">
        <f t="shared" si="175"/>
        <v>0</v>
      </c>
      <c r="POQ6" s="88">
        <f t="shared" si="175"/>
        <v>0</v>
      </c>
      <c r="POR6" s="88">
        <f t="shared" si="175"/>
        <v>0</v>
      </c>
      <c r="POS6" s="88">
        <f t="shared" si="175"/>
        <v>0</v>
      </c>
      <c r="POT6" s="88">
        <f t="shared" si="175"/>
        <v>0</v>
      </c>
      <c r="POU6" s="88">
        <f t="shared" si="175"/>
        <v>0</v>
      </c>
      <c r="POV6" s="88">
        <f t="shared" si="175"/>
        <v>0</v>
      </c>
      <c r="POW6" s="88">
        <f t="shared" si="175"/>
        <v>0</v>
      </c>
      <c r="POX6" s="88">
        <f t="shared" si="175"/>
        <v>0</v>
      </c>
      <c r="POY6" s="88">
        <f t="shared" si="175"/>
        <v>0</v>
      </c>
      <c r="POZ6" s="88">
        <f t="shared" si="175"/>
        <v>0</v>
      </c>
      <c r="PPA6" s="88">
        <f t="shared" si="175"/>
        <v>0</v>
      </c>
      <c r="PPB6" s="88">
        <f t="shared" si="175"/>
        <v>0</v>
      </c>
      <c r="PPC6" s="88">
        <f t="shared" si="175"/>
        <v>0</v>
      </c>
      <c r="PPD6" s="88">
        <f t="shared" si="175"/>
        <v>0</v>
      </c>
      <c r="PPE6" s="88">
        <f t="shared" si="175"/>
        <v>0</v>
      </c>
      <c r="PPF6" s="88">
        <f t="shared" si="175"/>
        <v>0</v>
      </c>
      <c r="PPG6" s="88">
        <f t="shared" si="175"/>
        <v>0</v>
      </c>
      <c r="PPH6" s="88">
        <f t="shared" si="175"/>
        <v>0</v>
      </c>
      <c r="PPI6" s="88">
        <f t="shared" si="175"/>
        <v>0</v>
      </c>
      <c r="PPJ6" s="88">
        <f t="shared" si="175"/>
        <v>0</v>
      </c>
      <c r="PPK6" s="88">
        <f t="shared" si="175"/>
        <v>0</v>
      </c>
      <c r="PPL6" s="88">
        <f t="shared" si="175"/>
        <v>0</v>
      </c>
      <c r="PPM6" s="88">
        <f t="shared" si="175"/>
        <v>0</v>
      </c>
      <c r="PPN6" s="88">
        <f t="shared" si="175"/>
        <v>0</v>
      </c>
      <c r="PPO6" s="88">
        <f t="shared" si="175"/>
        <v>0</v>
      </c>
      <c r="PPP6" s="88">
        <f t="shared" si="175"/>
        <v>0</v>
      </c>
      <c r="PPQ6" s="88">
        <f t="shared" si="175"/>
        <v>0</v>
      </c>
      <c r="PPR6" s="88">
        <f t="shared" si="175"/>
        <v>0</v>
      </c>
      <c r="PPS6" s="88">
        <f t="shared" si="175"/>
        <v>0</v>
      </c>
      <c r="PPT6" s="88">
        <f t="shared" si="175"/>
        <v>0</v>
      </c>
      <c r="PPU6" s="88">
        <f t="shared" si="175"/>
        <v>0</v>
      </c>
      <c r="PPV6" s="88">
        <f t="shared" si="175"/>
        <v>0</v>
      </c>
      <c r="PPW6" s="88">
        <f t="shared" si="175"/>
        <v>0</v>
      </c>
      <c r="PPX6" s="88">
        <f t="shared" si="175"/>
        <v>0</v>
      </c>
      <c r="PPY6" s="88">
        <f t="shared" si="175"/>
        <v>0</v>
      </c>
      <c r="PPZ6" s="88">
        <f t="shared" si="175"/>
        <v>0</v>
      </c>
      <c r="PQA6" s="88">
        <f t="shared" si="175"/>
        <v>0</v>
      </c>
      <c r="PQB6" s="88">
        <f t="shared" si="175"/>
        <v>0</v>
      </c>
      <c r="PQC6" s="88">
        <f t="shared" si="175"/>
        <v>0</v>
      </c>
      <c r="PQD6" s="88">
        <f t="shared" si="175"/>
        <v>0</v>
      </c>
      <c r="PQE6" s="88">
        <f t="shared" si="175"/>
        <v>0</v>
      </c>
      <c r="PQF6" s="88">
        <f t="shared" si="175"/>
        <v>0</v>
      </c>
      <c r="PQG6" s="88">
        <f t="shared" si="175"/>
        <v>0</v>
      </c>
      <c r="PQH6" s="88">
        <f t="shared" si="175"/>
        <v>0</v>
      </c>
      <c r="PQI6" s="88">
        <f t="shared" si="175"/>
        <v>0</v>
      </c>
      <c r="PQJ6" s="88">
        <f t="shared" si="175"/>
        <v>0</v>
      </c>
      <c r="PQK6" s="88">
        <f t="shared" si="175"/>
        <v>0</v>
      </c>
      <c r="PQL6" s="88">
        <f t="shared" si="175"/>
        <v>0</v>
      </c>
      <c r="PQM6" s="88">
        <f t="shared" si="175"/>
        <v>0</v>
      </c>
      <c r="PQN6" s="88">
        <f t="shared" si="175"/>
        <v>0</v>
      </c>
      <c r="PQO6" s="88">
        <f t="shared" si="175"/>
        <v>0</v>
      </c>
      <c r="PQP6" s="88">
        <f t="shared" si="175"/>
        <v>0</v>
      </c>
      <c r="PQQ6" s="88">
        <f t="shared" si="175"/>
        <v>0</v>
      </c>
      <c r="PQR6" s="88">
        <f t="shared" ref="PQR6:PTC6" si="176">SUM(PQS3:PQS5)</f>
        <v>0</v>
      </c>
      <c r="PQS6" s="88">
        <f t="shared" si="176"/>
        <v>0</v>
      </c>
      <c r="PQT6" s="88">
        <f t="shared" si="176"/>
        <v>0</v>
      </c>
      <c r="PQU6" s="88">
        <f t="shared" si="176"/>
        <v>0</v>
      </c>
      <c r="PQV6" s="88">
        <f t="shared" si="176"/>
        <v>0</v>
      </c>
      <c r="PQW6" s="88">
        <f t="shared" si="176"/>
        <v>0</v>
      </c>
      <c r="PQX6" s="88">
        <f t="shared" si="176"/>
        <v>0</v>
      </c>
      <c r="PQY6" s="88">
        <f t="shared" si="176"/>
        <v>0</v>
      </c>
      <c r="PQZ6" s="88">
        <f t="shared" si="176"/>
        <v>0</v>
      </c>
      <c r="PRA6" s="88">
        <f t="shared" si="176"/>
        <v>0</v>
      </c>
      <c r="PRB6" s="88">
        <f t="shared" si="176"/>
        <v>0</v>
      </c>
      <c r="PRC6" s="88">
        <f t="shared" si="176"/>
        <v>0</v>
      </c>
      <c r="PRD6" s="88">
        <f t="shared" si="176"/>
        <v>0</v>
      </c>
      <c r="PRE6" s="88">
        <f t="shared" si="176"/>
        <v>0</v>
      </c>
      <c r="PRF6" s="88">
        <f t="shared" si="176"/>
        <v>0</v>
      </c>
      <c r="PRG6" s="88">
        <f t="shared" si="176"/>
        <v>0</v>
      </c>
      <c r="PRH6" s="88">
        <f t="shared" si="176"/>
        <v>0</v>
      </c>
      <c r="PRI6" s="88">
        <f t="shared" si="176"/>
        <v>0</v>
      </c>
      <c r="PRJ6" s="88">
        <f t="shared" si="176"/>
        <v>0</v>
      </c>
      <c r="PRK6" s="88">
        <f t="shared" si="176"/>
        <v>0</v>
      </c>
      <c r="PRL6" s="88">
        <f t="shared" si="176"/>
        <v>0</v>
      </c>
      <c r="PRM6" s="88">
        <f t="shared" si="176"/>
        <v>0</v>
      </c>
      <c r="PRN6" s="88">
        <f t="shared" si="176"/>
        <v>0</v>
      </c>
      <c r="PRO6" s="88">
        <f t="shared" si="176"/>
        <v>0</v>
      </c>
      <c r="PRP6" s="88">
        <f t="shared" si="176"/>
        <v>0</v>
      </c>
      <c r="PRQ6" s="88">
        <f t="shared" si="176"/>
        <v>0</v>
      </c>
      <c r="PRR6" s="88">
        <f t="shared" si="176"/>
        <v>0</v>
      </c>
      <c r="PRS6" s="88">
        <f t="shared" si="176"/>
        <v>0</v>
      </c>
      <c r="PRT6" s="88">
        <f t="shared" si="176"/>
        <v>0</v>
      </c>
      <c r="PRU6" s="88">
        <f t="shared" si="176"/>
        <v>0</v>
      </c>
      <c r="PRV6" s="88">
        <f t="shared" si="176"/>
        <v>0</v>
      </c>
      <c r="PRW6" s="88">
        <f t="shared" si="176"/>
        <v>0</v>
      </c>
      <c r="PRX6" s="88">
        <f t="shared" si="176"/>
        <v>0</v>
      </c>
      <c r="PRY6" s="88">
        <f t="shared" si="176"/>
        <v>0</v>
      </c>
      <c r="PRZ6" s="88">
        <f t="shared" si="176"/>
        <v>0</v>
      </c>
      <c r="PSA6" s="88">
        <f t="shared" si="176"/>
        <v>0</v>
      </c>
      <c r="PSB6" s="88">
        <f t="shared" si="176"/>
        <v>0</v>
      </c>
      <c r="PSC6" s="88">
        <f t="shared" si="176"/>
        <v>0</v>
      </c>
      <c r="PSD6" s="88">
        <f t="shared" si="176"/>
        <v>0</v>
      </c>
      <c r="PSE6" s="88">
        <f t="shared" si="176"/>
        <v>0</v>
      </c>
      <c r="PSF6" s="88">
        <f t="shared" si="176"/>
        <v>0</v>
      </c>
      <c r="PSG6" s="88">
        <f t="shared" si="176"/>
        <v>0</v>
      </c>
      <c r="PSH6" s="88">
        <f t="shared" si="176"/>
        <v>0</v>
      </c>
      <c r="PSI6" s="88">
        <f t="shared" si="176"/>
        <v>0</v>
      </c>
      <c r="PSJ6" s="88">
        <f t="shared" si="176"/>
        <v>0</v>
      </c>
      <c r="PSK6" s="88">
        <f t="shared" si="176"/>
        <v>0</v>
      </c>
      <c r="PSL6" s="88">
        <f t="shared" si="176"/>
        <v>0</v>
      </c>
      <c r="PSM6" s="88">
        <f t="shared" si="176"/>
        <v>0</v>
      </c>
      <c r="PSN6" s="88">
        <f t="shared" si="176"/>
        <v>0</v>
      </c>
      <c r="PSO6" s="88">
        <f t="shared" si="176"/>
        <v>0</v>
      </c>
      <c r="PSP6" s="88">
        <f t="shared" si="176"/>
        <v>0</v>
      </c>
      <c r="PSQ6" s="88">
        <f t="shared" si="176"/>
        <v>0</v>
      </c>
      <c r="PSR6" s="88">
        <f t="shared" si="176"/>
        <v>0</v>
      </c>
      <c r="PSS6" s="88">
        <f t="shared" si="176"/>
        <v>0</v>
      </c>
      <c r="PST6" s="88">
        <f t="shared" si="176"/>
        <v>0</v>
      </c>
      <c r="PSU6" s="88">
        <f t="shared" si="176"/>
        <v>0</v>
      </c>
      <c r="PSV6" s="88">
        <f t="shared" si="176"/>
        <v>0</v>
      </c>
      <c r="PSW6" s="88">
        <f t="shared" si="176"/>
        <v>0</v>
      </c>
      <c r="PSX6" s="88">
        <f t="shared" si="176"/>
        <v>0</v>
      </c>
      <c r="PSY6" s="88">
        <f t="shared" si="176"/>
        <v>0</v>
      </c>
      <c r="PSZ6" s="88">
        <f t="shared" si="176"/>
        <v>0</v>
      </c>
      <c r="PTA6" s="88">
        <f t="shared" si="176"/>
        <v>0</v>
      </c>
      <c r="PTB6" s="88">
        <f t="shared" si="176"/>
        <v>0</v>
      </c>
      <c r="PTC6" s="88">
        <f t="shared" si="176"/>
        <v>0</v>
      </c>
      <c r="PTD6" s="88">
        <f t="shared" ref="PTD6:PVO6" si="177">SUM(PTE3:PTE5)</f>
        <v>0</v>
      </c>
      <c r="PTE6" s="88">
        <f t="shared" si="177"/>
        <v>0</v>
      </c>
      <c r="PTF6" s="88">
        <f t="shared" si="177"/>
        <v>0</v>
      </c>
      <c r="PTG6" s="88">
        <f t="shared" si="177"/>
        <v>0</v>
      </c>
      <c r="PTH6" s="88">
        <f t="shared" si="177"/>
        <v>0</v>
      </c>
      <c r="PTI6" s="88">
        <f t="shared" si="177"/>
        <v>0</v>
      </c>
      <c r="PTJ6" s="88">
        <f t="shared" si="177"/>
        <v>0</v>
      </c>
      <c r="PTK6" s="88">
        <f t="shared" si="177"/>
        <v>0</v>
      </c>
      <c r="PTL6" s="88">
        <f t="shared" si="177"/>
        <v>0</v>
      </c>
      <c r="PTM6" s="88">
        <f t="shared" si="177"/>
        <v>0</v>
      </c>
      <c r="PTN6" s="88">
        <f t="shared" si="177"/>
        <v>0</v>
      </c>
      <c r="PTO6" s="88">
        <f t="shared" si="177"/>
        <v>0</v>
      </c>
      <c r="PTP6" s="88">
        <f t="shared" si="177"/>
        <v>0</v>
      </c>
      <c r="PTQ6" s="88">
        <f t="shared" si="177"/>
        <v>0</v>
      </c>
      <c r="PTR6" s="88">
        <f t="shared" si="177"/>
        <v>0</v>
      </c>
      <c r="PTS6" s="88">
        <f t="shared" si="177"/>
        <v>0</v>
      </c>
      <c r="PTT6" s="88">
        <f t="shared" si="177"/>
        <v>0</v>
      </c>
      <c r="PTU6" s="88">
        <f t="shared" si="177"/>
        <v>0</v>
      </c>
      <c r="PTV6" s="88">
        <f t="shared" si="177"/>
        <v>0</v>
      </c>
      <c r="PTW6" s="88">
        <f t="shared" si="177"/>
        <v>0</v>
      </c>
      <c r="PTX6" s="88">
        <f t="shared" si="177"/>
        <v>0</v>
      </c>
      <c r="PTY6" s="88">
        <f t="shared" si="177"/>
        <v>0</v>
      </c>
      <c r="PTZ6" s="88">
        <f t="shared" si="177"/>
        <v>0</v>
      </c>
      <c r="PUA6" s="88">
        <f t="shared" si="177"/>
        <v>0</v>
      </c>
      <c r="PUB6" s="88">
        <f t="shared" si="177"/>
        <v>0</v>
      </c>
      <c r="PUC6" s="88">
        <f t="shared" si="177"/>
        <v>0</v>
      </c>
      <c r="PUD6" s="88">
        <f t="shared" si="177"/>
        <v>0</v>
      </c>
      <c r="PUE6" s="88">
        <f t="shared" si="177"/>
        <v>0</v>
      </c>
      <c r="PUF6" s="88">
        <f t="shared" si="177"/>
        <v>0</v>
      </c>
      <c r="PUG6" s="88">
        <f t="shared" si="177"/>
        <v>0</v>
      </c>
      <c r="PUH6" s="88">
        <f t="shared" si="177"/>
        <v>0</v>
      </c>
      <c r="PUI6" s="88">
        <f t="shared" si="177"/>
        <v>0</v>
      </c>
      <c r="PUJ6" s="88">
        <f t="shared" si="177"/>
        <v>0</v>
      </c>
      <c r="PUK6" s="88">
        <f t="shared" si="177"/>
        <v>0</v>
      </c>
      <c r="PUL6" s="88">
        <f t="shared" si="177"/>
        <v>0</v>
      </c>
      <c r="PUM6" s="88">
        <f t="shared" si="177"/>
        <v>0</v>
      </c>
      <c r="PUN6" s="88">
        <f t="shared" si="177"/>
        <v>0</v>
      </c>
      <c r="PUO6" s="88">
        <f t="shared" si="177"/>
        <v>0</v>
      </c>
      <c r="PUP6" s="88">
        <f t="shared" si="177"/>
        <v>0</v>
      </c>
      <c r="PUQ6" s="88">
        <f t="shared" si="177"/>
        <v>0</v>
      </c>
      <c r="PUR6" s="88">
        <f t="shared" si="177"/>
        <v>0</v>
      </c>
      <c r="PUS6" s="88">
        <f t="shared" si="177"/>
        <v>0</v>
      </c>
      <c r="PUT6" s="88">
        <f t="shared" si="177"/>
        <v>0</v>
      </c>
      <c r="PUU6" s="88">
        <f t="shared" si="177"/>
        <v>0</v>
      </c>
      <c r="PUV6" s="88">
        <f t="shared" si="177"/>
        <v>0</v>
      </c>
      <c r="PUW6" s="88">
        <f t="shared" si="177"/>
        <v>0</v>
      </c>
      <c r="PUX6" s="88">
        <f t="shared" si="177"/>
        <v>0</v>
      </c>
      <c r="PUY6" s="88">
        <f t="shared" si="177"/>
        <v>0</v>
      </c>
      <c r="PUZ6" s="88">
        <f t="shared" si="177"/>
        <v>0</v>
      </c>
      <c r="PVA6" s="88">
        <f t="shared" si="177"/>
        <v>0</v>
      </c>
      <c r="PVB6" s="88">
        <f t="shared" si="177"/>
        <v>0</v>
      </c>
      <c r="PVC6" s="88">
        <f t="shared" si="177"/>
        <v>0</v>
      </c>
      <c r="PVD6" s="88">
        <f t="shared" si="177"/>
        <v>0</v>
      </c>
      <c r="PVE6" s="88">
        <f t="shared" si="177"/>
        <v>0</v>
      </c>
      <c r="PVF6" s="88">
        <f t="shared" si="177"/>
        <v>0</v>
      </c>
      <c r="PVG6" s="88">
        <f t="shared" si="177"/>
        <v>0</v>
      </c>
      <c r="PVH6" s="88">
        <f t="shared" si="177"/>
        <v>0</v>
      </c>
      <c r="PVI6" s="88">
        <f t="shared" si="177"/>
        <v>0</v>
      </c>
      <c r="PVJ6" s="88">
        <f t="shared" si="177"/>
        <v>0</v>
      </c>
      <c r="PVK6" s="88">
        <f t="shared" si="177"/>
        <v>0</v>
      </c>
      <c r="PVL6" s="88">
        <f t="shared" si="177"/>
        <v>0</v>
      </c>
      <c r="PVM6" s="88">
        <f t="shared" si="177"/>
        <v>0</v>
      </c>
      <c r="PVN6" s="88">
        <f t="shared" si="177"/>
        <v>0</v>
      </c>
      <c r="PVO6" s="88">
        <f t="shared" si="177"/>
        <v>0</v>
      </c>
      <c r="PVP6" s="88">
        <f t="shared" ref="PVP6:PYA6" si="178">SUM(PVQ3:PVQ5)</f>
        <v>0</v>
      </c>
      <c r="PVQ6" s="88">
        <f t="shared" si="178"/>
        <v>0</v>
      </c>
      <c r="PVR6" s="88">
        <f t="shared" si="178"/>
        <v>0</v>
      </c>
      <c r="PVS6" s="88">
        <f t="shared" si="178"/>
        <v>0</v>
      </c>
      <c r="PVT6" s="88">
        <f t="shared" si="178"/>
        <v>0</v>
      </c>
      <c r="PVU6" s="88">
        <f t="shared" si="178"/>
        <v>0</v>
      </c>
      <c r="PVV6" s="88">
        <f t="shared" si="178"/>
        <v>0</v>
      </c>
      <c r="PVW6" s="88">
        <f t="shared" si="178"/>
        <v>0</v>
      </c>
      <c r="PVX6" s="88">
        <f t="shared" si="178"/>
        <v>0</v>
      </c>
      <c r="PVY6" s="88">
        <f t="shared" si="178"/>
        <v>0</v>
      </c>
      <c r="PVZ6" s="88">
        <f t="shared" si="178"/>
        <v>0</v>
      </c>
      <c r="PWA6" s="88">
        <f t="shared" si="178"/>
        <v>0</v>
      </c>
      <c r="PWB6" s="88">
        <f t="shared" si="178"/>
        <v>0</v>
      </c>
      <c r="PWC6" s="88">
        <f t="shared" si="178"/>
        <v>0</v>
      </c>
      <c r="PWD6" s="88">
        <f t="shared" si="178"/>
        <v>0</v>
      </c>
      <c r="PWE6" s="88">
        <f t="shared" si="178"/>
        <v>0</v>
      </c>
      <c r="PWF6" s="88">
        <f t="shared" si="178"/>
        <v>0</v>
      </c>
      <c r="PWG6" s="88">
        <f t="shared" si="178"/>
        <v>0</v>
      </c>
      <c r="PWH6" s="88">
        <f t="shared" si="178"/>
        <v>0</v>
      </c>
      <c r="PWI6" s="88">
        <f t="shared" si="178"/>
        <v>0</v>
      </c>
      <c r="PWJ6" s="88">
        <f t="shared" si="178"/>
        <v>0</v>
      </c>
      <c r="PWK6" s="88">
        <f t="shared" si="178"/>
        <v>0</v>
      </c>
      <c r="PWL6" s="88">
        <f t="shared" si="178"/>
        <v>0</v>
      </c>
      <c r="PWM6" s="88">
        <f t="shared" si="178"/>
        <v>0</v>
      </c>
      <c r="PWN6" s="88">
        <f t="shared" si="178"/>
        <v>0</v>
      </c>
      <c r="PWO6" s="88">
        <f t="shared" si="178"/>
        <v>0</v>
      </c>
      <c r="PWP6" s="88">
        <f t="shared" si="178"/>
        <v>0</v>
      </c>
      <c r="PWQ6" s="88">
        <f t="shared" si="178"/>
        <v>0</v>
      </c>
      <c r="PWR6" s="88">
        <f t="shared" si="178"/>
        <v>0</v>
      </c>
      <c r="PWS6" s="88">
        <f t="shared" si="178"/>
        <v>0</v>
      </c>
      <c r="PWT6" s="88">
        <f t="shared" si="178"/>
        <v>0</v>
      </c>
      <c r="PWU6" s="88">
        <f t="shared" si="178"/>
        <v>0</v>
      </c>
      <c r="PWV6" s="88">
        <f t="shared" si="178"/>
        <v>0</v>
      </c>
      <c r="PWW6" s="88">
        <f t="shared" si="178"/>
        <v>0</v>
      </c>
      <c r="PWX6" s="88">
        <f t="shared" si="178"/>
        <v>0</v>
      </c>
      <c r="PWY6" s="88">
        <f t="shared" si="178"/>
        <v>0</v>
      </c>
      <c r="PWZ6" s="88">
        <f t="shared" si="178"/>
        <v>0</v>
      </c>
      <c r="PXA6" s="88">
        <f t="shared" si="178"/>
        <v>0</v>
      </c>
      <c r="PXB6" s="88">
        <f t="shared" si="178"/>
        <v>0</v>
      </c>
      <c r="PXC6" s="88">
        <f t="shared" si="178"/>
        <v>0</v>
      </c>
      <c r="PXD6" s="88">
        <f t="shared" si="178"/>
        <v>0</v>
      </c>
      <c r="PXE6" s="88">
        <f t="shared" si="178"/>
        <v>0</v>
      </c>
      <c r="PXF6" s="88">
        <f t="shared" si="178"/>
        <v>0</v>
      </c>
      <c r="PXG6" s="88">
        <f t="shared" si="178"/>
        <v>0</v>
      </c>
      <c r="PXH6" s="88">
        <f t="shared" si="178"/>
        <v>0</v>
      </c>
      <c r="PXI6" s="88">
        <f t="shared" si="178"/>
        <v>0</v>
      </c>
      <c r="PXJ6" s="88">
        <f t="shared" si="178"/>
        <v>0</v>
      </c>
      <c r="PXK6" s="88">
        <f t="shared" si="178"/>
        <v>0</v>
      </c>
      <c r="PXL6" s="88">
        <f t="shared" si="178"/>
        <v>0</v>
      </c>
      <c r="PXM6" s="88">
        <f t="shared" si="178"/>
        <v>0</v>
      </c>
      <c r="PXN6" s="88">
        <f t="shared" si="178"/>
        <v>0</v>
      </c>
      <c r="PXO6" s="88">
        <f t="shared" si="178"/>
        <v>0</v>
      </c>
      <c r="PXP6" s="88">
        <f t="shared" si="178"/>
        <v>0</v>
      </c>
      <c r="PXQ6" s="88">
        <f t="shared" si="178"/>
        <v>0</v>
      </c>
      <c r="PXR6" s="88">
        <f t="shared" si="178"/>
        <v>0</v>
      </c>
      <c r="PXS6" s="88">
        <f t="shared" si="178"/>
        <v>0</v>
      </c>
      <c r="PXT6" s="88">
        <f t="shared" si="178"/>
        <v>0</v>
      </c>
      <c r="PXU6" s="88">
        <f t="shared" si="178"/>
        <v>0</v>
      </c>
      <c r="PXV6" s="88">
        <f t="shared" si="178"/>
        <v>0</v>
      </c>
      <c r="PXW6" s="88">
        <f t="shared" si="178"/>
        <v>0</v>
      </c>
      <c r="PXX6" s="88">
        <f t="shared" si="178"/>
        <v>0</v>
      </c>
      <c r="PXY6" s="88">
        <f t="shared" si="178"/>
        <v>0</v>
      </c>
      <c r="PXZ6" s="88">
        <f t="shared" si="178"/>
        <v>0</v>
      </c>
      <c r="PYA6" s="88">
        <f t="shared" si="178"/>
        <v>0</v>
      </c>
      <c r="PYB6" s="88">
        <f t="shared" ref="PYB6:QAM6" si="179">SUM(PYC3:PYC5)</f>
        <v>0</v>
      </c>
      <c r="PYC6" s="88">
        <f t="shared" si="179"/>
        <v>0</v>
      </c>
      <c r="PYD6" s="88">
        <f t="shared" si="179"/>
        <v>0</v>
      </c>
      <c r="PYE6" s="88">
        <f t="shared" si="179"/>
        <v>0</v>
      </c>
      <c r="PYF6" s="88">
        <f t="shared" si="179"/>
        <v>0</v>
      </c>
      <c r="PYG6" s="88">
        <f t="shared" si="179"/>
        <v>0</v>
      </c>
      <c r="PYH6" s="88">
        <f t="shared" si="179"/>
        <v>0</v>
      </c>
      <c r="PYI6" s="88">
        <f t="shared" si="179"/>
        <v>0</v>
      </c>
      <c r="PYJ6" s="88">
        <f t="shared" si="179"/>
        <v>0</v>
      </c>
      <c r="PYK6" s="88">
        <f t="shared" si="179"/>
        <v>0</v>
      </c>
      <c r="PYL6" s="88">
        <f t="shared" si="179"/>
        <v>0</v>
      </c>
      <c r="PYM6" s="88">
        <f t="shared" si="179"/>
        <v>0</v>
      </c>
      <c r="PYN6" s="88">
        <f t="shared" si="179"/>
        <v>0</v>
      </c>
      <c r="PYO6" s="88">
        <f t="shared" si="179"/>
        <v>0</v>
      </c>
      <c r="PYP6" s="88">
        <f t="shared" si="179"/>
        <v>0</v>
      </c>
      <c r="PYQ6" s="88">
        <f t="shared" si="179"/>
        <v>0</v>
      </c>
      <c r="PYR6" s="88">
        <f t="shared" si="179"/>
        <v>0</v>
      </c>
      <c r="PYS6" s="88">
        <f t="shared" si="179"/>
        <v>0</v>
      </c>
      <c r="PYT6" s="88">
        <f t="shared" si="179"/>
        <v>0</v>
      </c>
      <c r="PYU6" s="88">
        <f t="shared" si="179"/>
        <v>0</v>
      </c>
      <c r="PYV6" s="88">
        <f t="shared" si="179"/>
        <v>0</v>
      </c>
      <c r="PYW6" s="88">
        <f t="shared" si="179"/>
        <v>0</v>
      </c>
      <c r="PYX6" s="88">
        <f t="shared" si="179"/>
        <v>0</v>
      </c>
      <c r="PYY6" s="88">
        <f t="shared" si="179"/>
        <v>0</v>
      </c>
      <c r="PYZ6" s="88">
        <f t="shared" si="179"/>
        <v>0</v>
      </c>
      <c r="PZA6" s="88">
        <f t="shared" si="179"/>
        <v>0</v>
      </c>
      <c r="PZB6" s="88">
        <f t="shared" si="179"/>
        <v>0</v>
      </c>
      <c r="PZC6" s="88">
        <f t="shared" si="179"/>
        <v>0</v>
      </c>
      <c r="PZD6" s="88">
        <f t="shared" si="179"/>
        <v>0</v>
      </c>
      <c r="PZE6" s="88">
        <f t="shared" si="179"/>
        <v>0</v>
      </c>
      <c r="PZF6" s="88">
        <f t="shared" si="179"/>
        <v>0</v>
      </c>
      <c r="PZG6" s="88">
        <f t="shared" si="179"/>
        <v>0</v>
      </c>
      <c r="PZH6" s="88">
        <f t="shared" si="179"/>
        <v>0</v>
      </c>
      <c r="PZI6" s="88">
        <f t="shared" si="179"/>
        <v>0</v>
      </c>
      <c r="PZJ6" s="88">
        <f t="shared" si="179"/>
        <v>0</v>
      </c>
      <c r="PZK6" s="88">
        <f t="shared" si="179"/>
        <v>0</v>
      </c>
      <c r="PZL6" s="88">
        <f t="shared" si="179"/>
        <v>0</v>
      </c>
      <c r="PZM6" s="88">
        <f t="shared" si="179"/>
        <v>0</v>
      </c>
      <c r="PZN6" s="88">
        <f t="shared" si="179"/>
        <v>0</v>
      </c>
      <c r="PZO6" s="88">
        <f t="shared" si="179"/>
        <v>0</v>
      </c>
      <c r="PZP6" s="88">
        <f t="shared" si="179"/>
        <v>0</v>
      </c>
      <c r="PZQ6" s="88">
        <f t="shared" si="179"/>
        <v>0</v>
      </c>
      <c r="PZR6" s="88">
        <f t="shared" si="179"/>
        <v>0</v>
      </c>
      <c r="PZS6" s="88">
        <f t="shared" si="179"/>
        <v>0</v>
      </c>
      <c r="PZT6" s="88">
        <f t="shared" si="179"/>
        <v>0</v>
      </c>
      <c r="PZU6" s="88">
        <f t="shared" si="179"/>
        <v>0</v>
      </c>
      <c r="PZV6" s="88">
        <f t="shared" si="179"/>
        <v>0</v>
      </c>
      <c r="PZW6" s="88">
        <f t="shared" si="179"/>
        <v>0</v>
      </c>
      <c r="PZX6" s="88">
        <f t="shared" si="179"/>
        <v>0</v>
      </c>
      <c r="PZY6" s="88">
        <f t="shared" si="179"/>
        <v>0</v>
      </c>
      <c r="PZZ6" s="88">
        <f t="shared" si="179"/>
        <v>0</v>
      </c>
      <c r="QAA6" s="88">
        <f t="shared" si="179"/>
        <v>0</v>
      </c>
      <c r="QAB6" s="88">
        <f t="shared" si="179"/>
        <v>0</v>
      </c>
      <c r="QAC6" s="88">
        <f t="shared" si="179"/>
        <v>0</v>
      </c>
      <c r="QAD6" s="88">
        <f t="shared" si="179"/>
        <v>0</v>
      </c>
      <c r="QAE6" s="88">
        <f t="shared" si="179"/>
        <v>0</v>
      </c>
      <c r="QAF6" s="88">
        <f t="shared" si="179"/>
        <v>0</v>
      </c>
      <c r="QAG6" s="88">
        <f t="shared" si="179"/>
        <v>0</v>
      </c>
      <c r="QAH6" s="88">
        <f t="shared" si="179"/>
        <v>0</v>
      </c>
      <c r="QAI6" s="88">
        <f t="shared" si="179"/>
        <v>0</v>
      </c>
      <c r="QAJ6" s="88">
        <f t="shared" si="179"/>
        <v>0</v>
      </c>
      <c r="QAK6" s="88">
        <f t="shared" si="179"/>
        <v>0</v>
      </c>
      <c r="QAL6" s="88">
        <f t="shared" si="179"/>
        <v>0</v>
      </c>
      <c r="QAM6" s="88">
        <f t="shared" si="179"/>
        <v>0</v>
      </c>
      <c r="QAN6" s="88">
        <f t="shared" ref="QAN6:QCY6" si="180">SUM(QAO3:QAO5)</f>
        <v>0</v>
      </c>
      <c r="QAO6" s="88">
        <f t="shared" si="180"/>
        <v>0</v>
      </c>
      <c r="QAP6" s="88">
        <f t="shared" si="180"/>
        <v>0</v>
      </c>
      <c r="QAQ6" s="88">
        <f t="shared" si="180"/>
        <v>0</v>
      </c>
      <c r="QAR6" s="88">
        <f t="shared" si="180"/>
        <v>0</v>
      </c>
      <c r="QAS6" s="88">
        <f t="shared" si="180"/>
        <v>0</v>
      </c>
      <c r="QAT6" s="88">
        <f t="shared" si="180"/>
        <v>0</v>
      </c>
      <c r="QAU6" s="88">
        <f t="shared" si="180"/>
        <v>0</v>
      </c>
      <c r="QAV6" s="88">
        <f t="shared" si="180"/>
        <v>0</v>
      </c>
      <c r="QAW6" s="88">
        <f t="shared" si="180"/>
        <v>0</v>
      </c>
      <c r="QAX6" s="88">
        <f t="shared" si="180"/>
        <v>0</v>
      </c>
      <c r="QAY6" s="88">
        <f t="shared" si="180"/>
        <v>0</v>
      </c>
      <c r="QAZ6" s="88">
        <f t="shared" si="180"/>
        <v>0</v>
      </c>
      <c r="QBA6" s="88">
        <f t="shared" si="180"/>
        <v>0</v>
      </c>
      <c r="QBB6" s="88">
        <f t="shared" si="180"/>
        <v>0</v>
      </c>
      <c r="QBC6" s="88">
        <f t="shared" si="180"/>
        <v>0</v>
      </c>
      <c r="QBD6" s="88">
        <f t="shared" si="180"/>
        <v>0</v>
      </c>
      <c r="QBE6" s="88">
        <f t="shared" si="180"/>
        <v>0</v>
      </c>
      <c r="QBF6" s="88">
        <f t="shared" si="180"/>
        <v>0</v>
      </c>
      <c r="QBG6" s="88">
        <f t="shared" si="180"/>
        <v>0</v>
      </c>
      <c r="QBH6" s="88">
        <f t="shared" si="180"/>
        <v>0</v>
      </c>
      <c r="QBI6" s="88">
        <f t="shared" si="180"/>
        <v>0</v>
      </c>
      <c r="QBJ6" s="88">
        <f t="shared" si="180"/>
        <v>0</v>
      </c>
      <c r="QBK6" s="88">
        <f t="shared" si="180"/>
        <v>0</v>
      </c>
      <c r="QBL6" s="88">
        <f t="shared" si="180"/>
        <v>0</v>
      </c>
      <c r="QBM6" s="88">
        <f t="shared" si="180"/>
        <v>0</v>
      </c>
      <c r="QBN6" s="88">
        <f t="shared" si="180"/>
        <v>0</v>
      </c>
      <c r="QBO6" s="88">
        <f t="shared" si="180"/>
        <v>0</v>
      </c>
      <c r="QBP6" s="88">
        <f t="shared" si="180"/>
        <v>0</v>
      </c>
      <c r="QBQ6" s="88">
        <f t="shared" si="180"/>
        <v>0</v>
      </c>
      <c r="QBR6" s="88">
        <f t="shared" si="180"/>
        <v>0</v>
      </c>
      <c r="QBS6" s="88">
        <f t="shared" si="180"/>
        <v>0</v>
      </c>
      <c r="QBT6" s="88">
        <f t="shared" si="180"/>
        <v>0</v>
      </c>
      <c r="QBU6" s="88">
        <f t="shared" si="180"/>
        <v>0</v>
      </c>
      <c r="QBV6" s="88">
        <f t="shared" si="180"/>
        <v>0</v>
      </c>
      <c r="QBW6" s="88">
        <f t="shared" si="180"/>
        <v>0</v>
      </c>
      <c r="QBX6" s="88">
        <f t="shared" si="180"/>
        <v>0</v>
      </c>
      <c r="QBY6" s="88">
        <f t="shared" si="180"/>
        <v>0</v>
      </c>
      <c r="QBZ6" s="88">
        <f t="shared" si="180"/>
        <v>0</v>
      </c>
      <c r="QCA6" s="88">
        <f t="shared" si="180"/>
        <v>0</v>
      </c>
      <c r="QCB6" s="88">
        <f t="shared" si="180"/>
        <v>0</v>
      </c>
      <c r="QCC6" s="88">
        <f t="shared" si="180"/>
        <v>0</v>
      </c>
      <c r="QCD6" s="88">
        <f t="shared" si="180"/>
        <v>0</v>
      </c>
      <c r="QCE6" s="88">
        <f t="shared" si="180"/>
        <v>0</v>
      </c>
      <c r="QCF6" s="88">
        <f t="shared" si="180"/>
        <v>0</v>
      </c>
      <c r="QCG6" s="88">
        <f t="shared" si="180"/>
        <v>0</v>
      </c>
      <c r="QCH6" s="88">
        <f t="shared" si="180"/>
        <v>0</v>
      </c>
      <c r="QCI6" s="88">
        <f t="shared" si="180"/>
        <v>0</v>
      </c>
      <c r="QCJ6" s="88">
        <f t="shared" si="180"/>
        <v>0</v>
      </c>
      <c r="QCK6" s="88">
        <f t="shared" si="180"/>
        <v>0</v>
      </c>
      <c r="QCL6" s="88">
        <f t="shared" si="180"/>
        <v>0</v>
      </c>
      <c r="QCM6" s="88">
        <f t="shared" si="180"/>
        <v>0</v>
      </c>
      <c r="QCN6" s="88">
        <f t="shared" si="180"/>
        <v>0</v>
      </c>
      <c r="QCO6" s="88">
        <f t="shared" si="180"/>
        <v>0</v>
      </c>
      <c r="QCP6" s="88">
        <f t="shared" si="180"/>
        <v>0</v>
      </c>
      <c r="QCQ6" s="88">
        <f t="shared" si="180"/>
        <v>0</v>
      </c>
      <c r="QCR6" s="88">
        <f t="shared" si="180"/>
        <v>0</v>
      </c>
      <c r="QCS6" s="88">
        <f t="shared" si="180"/>
        <v>0</v>
      </c>
      <c r="QCT6" s="88">
        <f t="shared" si="180"/>
        <v>0</v>
      </c>
      <c r="QCU6" s="88">
        <f t="shared" si="180"/>
        <v>0</v>
      </c>
      <c r="QCV6" s="88">
        <f t="shared" si="180"/>
        <v>0</v>
      </c>
      <c r="QCW6" s="88">
        <f t="shared" si="180"/>
        <v>0</v>
      </c>
      <c r="QCX6" s="88">
        <f t="shared" si="180"/>
        <v>0</v>
      </c>
      <c r="QCY6" s="88">
        <f t="shared" si="180"/>
        <v>0</v>
      </c>
      <c r="QCZ6" s="88">
        <f t="shared" ref="QCZ6:QFK6" si="181">SUM(QDA3:QDA5)</f>
        <v>0</v>
      </c>
      <c r="QDA6" s="88">
        <f t="shared" si="181"/>
        <v>0</v>
      </c>
      <c r="QDB6" s="88">
        <f t="shared" si="181"/>
        <v>0</v>
      </c>
      <c r="QDC6" s="88">
        <f t="shared" si="181"/>
        <v>0</v>
      </c>
      <c r="QDD6" s="88">
        <f t="shared" si="181"/>
        <v>0</v>
      </c>
      <c r="QDE6" s="88">
        <f t="shared" si="181"/>
        <v>0</v>
      </c>
      <c r="QDF6" s="88">
        <f t="shared" si="181"/>
        <v>0</v>
      </c>
      <c r="QDG6" s="88">
        <f t="shared" si="181"/>
        <v>0</v>
      </c>
      <c r="QDH6" s="88">
        <f t="shared" si="181"/>
        <v>0</v>
      </c>
      <c r="QDI6" s="88">
        <f t="shared" si="181"/>
        <v>0</v>
      </c>
      <c r="QDJ6" s="88">
        <f t="shared" si="181"/>
        <v>0</v>
      </c>
      <c r="QDK6" s="88">
        <f t="shared" si="181"/>
        <v>0</v>
      </c>
      <c r="QDL6" s="88">
        <f t="shared" si="181"/>
        <v>0</v>
      </c>
      <c r="QDM6" s="88">
        <f t="shared" si="181"/>
        <v>0</v>
      </c>
      <c r="QDN6" s="88">
        <f t="shared" si="181"/>
        <v>0</v>
      </c>
      <c r="QDO6" s="88">
        <f t="shared" si="181"/>
        <v>0</v>
      </c>
      <c r="QDP6" s="88">
        <f t="shared" si="181"/>
        <v>0</v>
      </c>
      <c r="QDQ6" s="88">
        <f t="shared" si="181"/>
        <v>0</v>
      </c>
      <c r="QDR6" s="88">
        <f t="shared" si="181"/>
        <v>0</v>
      </c>
      <c r="QDS6" s="88">
        <f t="shared" si="181"/>
        <v>0</v>
      </c>
      <c r="QDT6" s="88">
        <f t="shared" si="181"/>
        <v>0</v>
      </c>
      <c r="QDU6" s="88">
        <f t="shared" si="181"/>
        <v>0</v>
      </c>
      <c r="QDV6" s="88">
        <f t="shared" si="181"/>
        <v>0</v>
      </c>
      <c r="QDW6" s="88">
        <f t="shared" si="181"/>
        <v>0</v>
      </c>
      <c r="QDX6" s="88">
        <f t="shared" si="181"/>
        <v>0</v>
      </c>
      <c r="QDY6" s="88">
        <f t="shared" si="181"/>
        <v>0</v>
      </c>
      <c r="QDZ6" s="88">
        <f t="shared" si="181"/>
        <v>0</v>
      </c>
      <c r="QEA6" s="88">
        <f t="shared" si="181"/>
        <v>0</v>
      </c>
      <c r="QEB6" s="88">
        <f t="shared" si="181"/>
        <v>0</v>
      </c>
      <c r="QEC6" s="88">
        <f t="shared" si="181"/>
        <v>0</v>
      </c>
      <c r="QED6" s="88">
        <f t="shared" si="181"/>
        <v>0</v>
      </c>
      <c r="QEE6" s="88">
        <f t="shared" si="181"/>
        <v>0</v>
      </c>
      <c r="QEF6" s="88">
        <f t="shared" si="181"/>
        <v>0</v>
      </c>
      <c r="QEG6" s="88">
        <f t="shared" si="181"/>
        <v>0</v>
      </c>
      <c r="QEH6" s="88">
        <f t="shared" si="181"/>
        <v>0</v>
      </c>
      <c r="QEI6" s="88">
        <f t="shared" si="181"/>
        <v>0</v>
      </c>
      <c r="QEJ6" s="88">
        <f t="shared" si="181"/>
        <v>0</v>
      </c>
      <c r="QEK6" s="88">
        <f t="shared" si="181"/>
        <v>0</v>
      </c>
      <c r="QEL6" s="88">
        <f t="shared" si="181"/>
        <v>0</v>
      </c>
      <c r="QEM6" s="88">
        <f t="shared" si="181"/>
        <v>0</v>
      </c>
      <c r="QEN6" s="88">
        <f t="shared" si="181"/>
        <v>0</v>
      </c>
      <c r="QEO6" s="88">
        <f t="shared" si="181"/>
        <v>0</v>
      </c>
      <c r="QEP6" s="88">
        <f t="shared" si="181"/>
        <v>0</v>
      </c>
      <c r="QEQ6" s="88">
        <f t="shared" si="181"/>
        <v>0</v>
      </c>
      <c r="QER6" s="88">
        <f t="shared" si="181"/>
        <v>0</v>
      </c>
      <c r="QES6" s="88">
        <f t="shared" si="181"/>
        <v>0</v>
      </c>
      <c r="QET6" s="88">
        <f t="shared" si="181"/>
        <v>0</v>
      </c>
      <c r="QEU6" s="88">
        <f t="shared" si="181"/>
        <v>0</v>
      </c>
      <c r="QEV6" s="88">
        <f t="shared" si="181"/>
        <v>0</v>
      </c>
      <c r="QEW6" s="88">
        <f t="shared" si="181"/>
        <v>0</v>
      </c>
      <c r="QEX6" s="88">
        <f t="shared" si="181"/>
        <v>0</v>
      </c>
      <c r="QEY6" s="88">
        <f t="shared" si="181"/>
        <v>0</v>
      </c>
      <c r="QEZ6" s="88">
        <f t="shared" si="181"/>
        <v>0</v>
      </c>
      <c r="QFA6" s="88">
        <f t="shared" si="181"/>
        <v>0</v>
      </c>
      <c r="QFB6" s="88">
        <f t="shared" si="181"/>
        <v>0</v>
      </c>
      <c r="QFC6" s="88">
        <f t="shared" si="181"/>
        <v>0</v>
      </c>
      <c r="QFD6" s="88">
        <f t="shared" si="181"/>
        <v>0</v>
      </c>
      <c r="QFE6" s="88">
        <f t="shared" si="181"/>
        <v>0</v>
      </c>
      <c r="QFF6" s="88">
        <f t="shared" si="181"/>
        <v>0</v>
      </c>
      <c r="QFG6" s="88">
        <f t="shared" si="181"/>
        <v>0</v>
      </c>
      <c r="QFH6" s="88">
        <f t="shared" si="181"/>
        <v>0</v>
      </c>
      <c r="QFI6" s="88">
        <f t="shared" si="181"/>
        <v>0</v>
      </c>
      <c r="QFJ6" s="88">
        <f t="shared" si="181"/>
        <v>0</v>
      </c>
      <c r="QFK6" s="88">
        <f t="shared" si="181"/>
        <v>0</v>
      </c>
      <c r="QFL6" s="88">
        <f t="shared" ref="QFL6:QHW6" si="182">SUM(QFM3:QFM5)</f>
        <v>0</v>
      </c>
      <c r="QFM6" s="88">
        <f t="shared" si="182"/>
        <v>0</v>
      </c>
      <c r="QFN6" s="88">
        <f t="shared" si="182"/>
        <v>0</v>
      </c>
      <c r="QFO6" s="88">
        <f t="shared" si="182"/>
        <v>0</v>
      </c>
      <c r="QFP6" s="88">
        <f t="shared" si="182"/>
        <v>0</v>
      </c>
      <c r="QFQ6" s="88">
        <f t="shared" si="182"/>
        <v>0</v>
      </c>
      <c r="QFR6" s="88">
        <f t="shared" si="182"/>
        <v>0</v>
      </c>
      <c r="QFS6" s="88">
        <f t="shared" si="182"/>
        <v>0</v>
      </c>
      <c r="QFT6" s="88">
        <f t="shared" si="182"/>
        <v>0</v>
      </c>
      <c r="QFU6" s="88">
        <f t="shared" si="182"/>
        <v>0</v>
      </c>
      <c r="QFV6" s="88">
        <f t="shared" si="182"/>
        <v>0</v>
      </c>
      <c r="QFW6" s="88">
        <f t="shared" si="182"/>
        <v>0</v>
      </c>
      <c r="QFX6" s="88">
        <f t="shared" si="182"/>
        <v>0</v>
      </c>
      <c r="QFY6" s="88">
        <f t="shared" si="182"/>
        <v>0</v>
      </c>
      <c r="QFZ6" s="88">
        <f t="shared" si="182"/>
        <v>0</v>
      </c>
      <c r="QGA6" s="88">
        <f t="shared" si="182"/>
        <v>0</v>
      </c>
      <c r="QGB6" s="88">
        <f t="shared" si="182"/>
        <v>0</v>
      </c>
      <c r="QGC6" s="88">
        <f t="shared" si="182"/>
        <v>0</v>
      </c>
      <c r="QGD6" s="88">
        <f t="shared" si="182"/>
        <v>0</v>
      </c>
      <c r="QGE6" s="88">
        <f t="shared" si="182"/>
        <v>0</v>
      </c>
      <c r="QGF6" s="88">
        <f t="shared" si="182"/>
        <v>0</v>
      </c>
      <c r="QGG6" s="88">
        <f t="shared" si="182"/>
        <v>0</v>
      </c>
      <c r="QGH6" s="88">
        <f t="shared" si="182"/>
        <v>0</v>
      </c>
      <c r="QGI6" s="88">
        <f t="shared" si="182"/>
        <v>0</v>
      </c>
      <c r="QGJ6" s="88">
        <f t="shared" si="182"/>
        <v>0</v>
      </c>
      <c r="QGK6" s="88">
        <f t="shared" si="182"/>
        <v>0</v>
      </c>
      <c r="QGL6" s="88">
        <f t="shared" si="182"/>
        <v>0</v>
      </c>
      <c r="QGM6" s="88">
        <f t="shared" si="182"/>
        <v>0</v>
      </c>
      <c r="QGN6" s="88">
        <f t="shared" si="182"/>
        <v>0</v>
      </c>
      <c r="QGO6" s="88">
        <f t="shared" si="182"/>
        <v>0</v>
      </c>
      <c r="QGP6" s="88">
        <f t="shared" si="182"/>
        <v>0</v>
      </c>
      <c r="QGQ6" s="88">
        <f t="shared" si="182"/>
        <v>0</v>
      </c>
      <c r="QGR6" s="88">
        <f t="shared" si="182"/>
        <v>0</v>
      </c>
      <c r="QGS6" s="88">
        <f t="shared" si="182"/>
        <v>0</v>
      </c>
      <c r="QGT6" s="88">
        <f t="shared" si="182"/>
        <v>0</v>
      </c>
      <c r="QGU6" s="88">
        <f t="shared" si="182"/>
        <v>0</v>
      </c>
      <c r="QGV6" s="88">
        <f t="shared" si="182"/>
        <v>0</v>
      </c>
      <c r="QGW6" s="88">
        <f t="shared" si="182"/>
        <v>0</v>
      </c>
      <c r="QGX6" s="88">
        <f t="shared" si="182"/>
        <v>0</v>
      </c>
      <c r="QGY6" s="88">
        <f t="shared" si="182"/>
        <v>0</v>
      </c>
      <c r="QGZ6" s="88">
        <f t="shared" si="182"/>
        <v>0</v>
      </c>
      <c r="QHA6" s="88">
        <f t="shared" si="182"/>
        <v>0</v>
      </c>
      <c r="QHB6" s="88">
        <f t="shared" si="182"/>
        <v>0</v>
      </c>
      <c r="QHC6" s="88">
        <f t="shared" si="182"/>
        <v>0</v>
      </c>
      <c r="QHD6" s="88">
        <f t="shared" si="182"/>
        <v>0</v>
      </c>
      <c r="QHE6" s="88">
        <f t="shared" si="182"/>
        <v>0</v>
      </c>
      <c r="QHF6" s="88">
        <f t="shared" si="182"/>
        <v>0</v>
      </c>
      <c r="QHG6" s="88">
        <f t="shared" si="182"/>
        <v>0</v>
      </c>
      <c r="QHH6" s="88">
        <f t="shared" si="182"/>
        <v>0</v>
      </c>
      <c r="QHI6" s="88">
        <f t="shared" si="182"/>
        <v>0</v>
      </c>
      <c r="QHJ6" s="88">
        <f t="shared" si="182"/>
        <v>0</v>
      </c>
      <c r="QHK6" s="88">
        <f t="shared" si="182"/>
        <v>0</v>
      </c>
      <c r="QHL6" s="88">
        <f t="shared" si="182"/>
        <v>0</v>
      </c>
      <c r="QHM6" s="88">
        <f t="shared" si="182"/>
        <v>0</v>
      </c>
      <c r="QHN6" s="88">
        <f t="shared" si="182"/>
        <v>0</v>
      </c>
      <c r="QHO6" s="88">
        <f t="shared" si="182"/>
        <v>0</v>
      </c>
      <c r="QHP6" s="88">
        <f t="shared" si="182"/>
        <v>0</v>
      </c>
      <c r="QHQ6" s="88">
        <f t="shared" si="182"/>
        <v>0</v>
      </c>
      <c r="QHR6" s="88">
        <f t="shared" si="182"/>
        <v>0</v>
      </c>
      <c r="QHS6" s="88">
        <f t="shared" si="182"/>
        <v>0</v>
      </c>
      <c r="QHT6" s="88">
        <f t="shared" si="182"/>
        <v>0</v>
      </c>
      <c r="QHU6" s="88">
        <f t="shared" si="182"/>
        <v>0</v>
      </c>
      <c r="QHV6" s="88">
        <f t="shared" si="182"/>
        <v>0</v>
      </c>
      <c r="QHW6" s="88">
        <f t="shared" si="182"/>
        <v>0</v>
      </c>
      <c r="QHX6" s="88">
        <f t="shared" ref="QHX6:QKI6" si="183">SUM(QHY3:QHY5)</f>
        <v>0</v>
      </c>
      <c r="QHY6" s="88">
        <f t="shared" si="183"/>
        <v>0</v>
      </c>
      <c r="QHZ6" s="88">
        <f t="shared" si="183"/>
        <v>0</v>
      </c>
      <c r="QIA6" s="88">
        <f t="shared" si="183"/>
        <v>0</v>
      </c>
      <c r="QIB6" s="88">
        <f t="shared" si="183"/>
        <v>0</v>
      </c>
      <c r="QIC6" s="88">
        <f t="shared" si="183"/>
        <v>0</v>
      </c>
      <c r="QID6" s="88">
        <f t="shared" si="183"/>
        <v>0</v>
      </c>
      <c r="QIE6" s="88">
        <f t="shared" si="183"/>
        <v>0</v>
      </c>
      <c r="QIF6" s="88">
        <f t="shared" si="183"/>
        <v>0</v>
      </c>
      <c r="QIG6" s="88">
        <f t="shared" si="183"/>
        <v>0</v>
      </c>
      <c r="QIH6" s="88">
        <f t="shared" si="183"/>
        <v>0</v>
      </c>
      <c r="QII6" s="88">
        <f t="shared" si="183"/>
        <v>0</v>
      </c>
      <c r="QIJ6" s="88">
        <f t="shared" si="183"/>
        <v>0</v>
      </c>
      <c r="QIK6" s="88">
        <f t="shared" si="183"/>
        <v>0</v>
      </c>
      <c r="QIL6" s="88">
        <f t="shared" si="183"/>
        <v>0</v>
      </c>
      <c r="QIM6" s="88">
        <f t="shared" si="183"/>
        <v>0</v>
      </c>
      <c r="QIN6" s="88">
        <f t="shared" si="183"/>
        <v>0</v>
      </c>
      <c r="QIO6" s="88">
        <f t="shared" si="183"/>
        <v>0</v>
      </c>
      <c r="QIP6" s="88">
        <f t="shared" si="183"/>
        <v>0</v>
      </c>
      <c r="QIQ6" s="88">
        <f t="shared" si="183"/>
        <v>0</v>
      </c>
      <c r="QIR6" s="88">
        <f t="shared" si="183"/>
        <v>0</v>
      </c>
      <c r="QIS6" s="88">
        <f t="shared" si="183"/>
        <v>0</v>
      </c>
      <c r="QIT6" s="88">
        <f t="shared" si="183"/>
        <v>0</v>
      </c>
      <c r="QIU6" s="88">
        <f t="shared" si="183"/>
        <v>0</v>
      </c>
      <c r="QIV6" s="88">
        <f t="shared" si="183"/>
        <v>0</v>
      </c>
      <c r="QIW6" s="88">
        <f t="shared" si="183"/>
        <v>0</v>
      </c>
      <c r="QIX6" s="88">
        <f t="shared" si="183"/>
        <v>0</v>
      </c>
      <c r="QIY6" s="88">
        <f t="shared" si="183"/>
        <v>0</v>
      </c>
      <c r="QIZ6" s="88">
        <f t="shared" si="183"/>
        <v>0</v>
      </c>
      <c r="QJA6" s="88">
        <f t="shared" si="183"/>
        <v>0</v>
      </c>
      <c r="QJB6" s="88">
        <f t="shared" si="183"/>
        <v>0</v>
      </c>
      <c r="QJC6" s="88">
        <f t="shared" si="183"/>
        <v>0</v>
      </c>
      <c r="QJD6" s="88">
        <f t="shared" si="183"/>
        <v>0</v>
      </c>
      <c r="QJE6" s="88">
        <f t="shared" si="183"/>
        <v>0</v>
      </c>
      <c r="QJF6" s="88">
        <f t="shared" si="183"/>
        <v>0</v>
      </c>
      <c r="QJG6" s="88">
        <f t="shared" si="183"/>
        <v>0</v>
      </c>
      <c r="QJH6" s="88">
        <f t="shared" si="183"/>
        <v>0</v>
      </c>
      <c r="QJI6" s="88">
        <f t="shared" si="183"/>
        <v>0</v>
      </c>
      <c r="QJJ6" s="88">
        <f t="shared" si="183"/>
        <v>0</v>
      </c>
      <c r="QJK6" s="88">
        <f t="shared" si="183"/>
        <v>0</v>
      </c>
      <c r="QJL6" s="88">
        <f t="shared" si="183"/>
        <v>0</v>
      </c>
      <c r="QJM6" s="88">
        <f t="shared" si="183"/>
        <v>0</v>
      </c>
      <c r="QJN6" s="88">
        <f t="shared" si="183"/>
        <v>0</v>
      </c>
      <c r="QJO6" s="88">
        <f t="shared" si="183"/>
        <v>0</v>
      </c>
      <c r="QJP6" s="88">
        <f t="shared" si="183"/>
        <v>0</v>
      </c>
      <c r="QJQ6" s="88">
        <f t="shared" si="183"/>
        <v>0</v>
      </c>
      <c r="QJR6" s="88">
        <f t="shared" si="183"/>
        <v>0</v>
      </c>
      <c r="QJS6" s="88">
        <f t="shared" si="183"/>
        <v>0</v>
      </c>
      <c r="QJT6" s="88">
        <f t="shared" si="183"/>
        <v>0</v>
      </c>
      <c r="QJU6" s="88">
        <f t="shared" si="183"/>
        <v>0</v>
      </c>
      <c r="QJV6" s="88">
        <f t="shared" si="183"/>
        <v>0</v>
      </c>
      <c r="QJW6" s="88">
        <f t="shared" si="183"/>
        <v>0</v>
      </c>
      <c r="QJX6" s="88">
        <f t="shared" si="183"/>
        <v>0</v>
      </c>
      <c r="QJY6" s="88">
        <f t="shared" si="183"/>
        <v>0</v>
      </c>
      <c r="QJZ6" s="88">
        <f t="shared" si="183"/>
        <v>0</v>
      </c>
      <c r="QKA6" s="88">
        <f t="shared" si="183"/>
        <v>0</v>
      </c>
      <c r="QKB6" s="88">
        <f t="shared" si="183"/>
        <v>0</v>
      </c>
      <c r="QKC6" s="88">
        <f t="shared" si="183"/>
        <v>0</v>
      </c>
      <c r="QKD6" s="88">
        <f t="shared" si="183"/>
        <v>0</v>
      </c>
      <c r="QKE6" s="88">
        <f t="shared" si="183"/>
        <v>0</v>
      </c>
      <c r="QKF6" s="88">
        <f t="shared" si="183"/>
        <v>0</v>
      </c>
      <c r="QKG6" s="88">
        <f t="shared" si="183"/>
        <v>0</v>
      </c>
      <c r="QKH6" s="88">
        <f t="shared" si="183"/>
        <v>0</v>
      </c>
      <c r="QKI6" s="88">
        <f t="shared" si="183"/>
        <v>0</v>
      </c>
      <c r="QKJ6" s="88">
        <f t="shared" ref="QKJ6:QMU6" si="184">SUM(QKK3:QKK5)</f>
        <v>0</v>
      </c>
      <c r="QKK6" s="88">
        <f t="shared" si="184"/>
        <v>0</v>
      </c>
      <c r="QKL6" s="88">
        <f t="shared" si="184"/>
        <v>0</v>
      </c>
      <c r="QKM6" s="88">
        <f t="shared" si="184"/>
        <v>0</v>
      </c>
      <c r="QKN6" s="88">
        <f t="shared" si="184"/>
        <v>0</v>
      </c>
      <c r="QKO6" s="88">
        <f t="shared" si="184"/>
        <v>0</v>
      </c>
      <c r="QKP6" s="88">
        <f t="shared" si="184"/>
        <v>0</v>
      </c>
      <c r="QKQ6" s="88">
        <f t="shared" si="184"/>
        <v>0</v>
      </c>
      <c r="QKR6" s="88">
        <f t="shared" si="184"/>
        <v>0</v>
      </c>
      <c r="QKS6" s="88">
        <f t="shared" si="184"/>
        <v>0</v>
      </c>
      <c r="QKT6" s="88">
        <f t="shared" si="184"/>
        <v>0</v>
      </c>
      <c r="QKU6" s="88">
        <f t="shared" si="184"/>
        <v>0</v>
      </c>
      <c r="QKV6" s="88">
        <f t="shared" si="184"/>
        <v>0</v>
      </c>
      <c r="QKW6" s="88">
        <f t="shared" si="184"/>
        <v>0</v>
      </c>
      <c r="QKX6" s="88">
        <f t="shared" si="184"/>
        <v>0</v>
      </c>
      <c r="QKY6" s="88">
        <f t="shared" si="184"/>
        <v>0</v>
      </c>
      <c r="QKZ6" s="88">
        <f t="shared" si="184"/>
        <v>0</v>
      </c>
      <c r="QLA6" s="88">
        <f t="shared" si="184"/>
        <v>0</v>
      </c>
      <c r="QLB6" s="88">
        <f t="shared" si="184"/>
        <v>0</v>
      </c>
      <c r="QLC6" s="88">
        <f t="shared" si="184"/>
        <v>0</v>
      </c>
      <c r="QLD6" s="88">
        <f t="shared" si="184"/>
        <v>0</v>
      </c>
      <c r="QLE6" s="88">
        <f t="shared" si="184"/>
        <v>0</v>
      </c>
      <c r="QLF6" s="88">
        <f t="shared" si="184"/>
        <v>0</v>
      </c>
      <c r="QLG6" s="88">
        <f t="shared" si="184"/>
        <v>0</v>
      </c>
      <c r="QLH6" s="88">
        <f t="shared" si="184"/>
        <v>0</v>
      </c>
      <c r="QLI6" s="88">
        <f t="shared" si="184"/>
        <v>0</v>
      </c>
      <c r="QLJ6" s="88">
        <f t="shared" si="184"/>
        <v>0</v>
      </c>
      <c r="QLK6" s="88">
        <f t="shared" si="184"/>
        <v>0</v>
      </c>
      <c r="QLL6" s="88">
        <f t="shared" si="184"/>
        <v>0</v>
      </c>
      <c r="QLM6" s="88">
        <f t="shared" si="184"/>
        <v>0</v>
      </c>
      <c r="QLN6" s="88">
        <f t="shared" si="184"/>
        <v>0</v>
      </c>
      <c r="QLO6" s="88">
        <f t="shared" si="184"/>
        <v>0</v>
      </c>
      <c r="QLP6" s="88">
        <f t="shared" si="184"/>
        <v>0</v>
      </c>
      <c r="QLQ6" s="88">
        <f t="shared" si="184"/>
        <v>0</v>
      </c>
      <c r="QLR6" s="88">
        <f t="shared" si="184"/>
        <v>0</v>
      </c>
      <c r="QLS6" s="88">
        <f t="shared" si="184"/>
        <v>0</v>
      </c>
      <c r="QLT6" s="88">
        <f t="shared" si="184"/>
        <v>0</v>
      </c>
      <c r="QLU6" s="88">
        <f t="shared" si="184"/>
        <v>0</v>
      </c>
      <c r="QLV6" s="88">
        <f t="shared" si="184"/>
        <v>0</v>
      </c>
      <c r="QLW6" s="88">
        <f t="shared" si="184"/>
        <v>0</v>
      </c>
      <c r="QLX6" s="88">
        <f t="shared" si="184"/>
        <v>0</v>
      </c>
      <c r="QLY6" s="88">
        <f t="shared" si="184"/>
        <v>0</v>
      </c>
      <c r="QLZ6" s="88">
        <f t="shared" si="184"/>
        <v>0</v>
      </c>
      <c r="QMA6" s="88">
        <f t="shared" si="184"/>
        <v>0</v>
      </c>
      <c r="QMB6" s="88">
        <f t="shared" si="184"/>
        <v>0</v>
      </c>
      <c r="QMC6" s="88">
        <f t="shared" si="184"/>
        <v>0</v>
      </c>
      <c r="QMD6" s="88">
        <f t="shared" si="184"/>
        <v>0</v>
      </c>
      <c r="QME6" s="88">
        <f t="shared" si="184"/>
        <v>0</v>
      </c>
      <c r="QMF6" s="88">
        <f t="shared" si="184"/>
        <v>0</v>
      </c>
      <c r="QMG6" s="88">
        <f t="shared" si="184"/>
        <v>0</v>
      </c>
      <c r="QMH6" s="88">
        <f t="shared" si="184"/>
        <v>0</v>
      </c>
      <c r="QMI6" s="88">
        <f t="shared" si="184"/>
        <v>0</v>
      </c>
      <c r="QMJ6" s="88">
        <f t="shared" si="184"/>
        <v>0</v>
      </c>
      <c r="QMK6" s="88">
        <f t="shared" si="184"/>
        <v>0</v>
      </c>
      <c r="QML6" s="88">
        <f t="shared" si="184"/>
        <v>0</v>
      </c>
      <c r="QMM6" s="88">
        <f t="shared" si="184"/>
        <v>0</v>
      </c>
      <c r="QMN6" s="88">
        <f t="shared" si="184"/>
        <v>0</v>
      </c>
      <c r="QMO6" s="88">
        <f t="shared" si="184"/>
        <v>0</v>
      </c>
      <c r="QMP6" s="88">
        <f t="shared" si="184"/>
        <v>0</v>
      </c>
      <c r="QMQ6" s="88">
        <f t="shared" si="184"/>
        <v>0</v>
      </c>
      <c r="QMR6" s="88">
        <f t="shared" si="184"/>
        <v>0</v>
      </c>
      <c r="QMS6" s="88">
        <f t="shared" si="184"/>
        <v>0</v>
      </c>
      <c r="QMT6" s="88">
        <f t="shared" si="184"/>
        <v>0</v>
      </c>
      <c r="QMU6" s="88">
        <f t="shared" si="184"/>
        <v>0</v>
      </c>
      <c r="QMV6" s="88">
        <f t="shared" ref="QMV6:QPG6" si="185">SUM(QMW3:QMW5)</f>
        <v>0</v>
      </c>
      <c r="QMW6" s="88">
        <f t="shared" si="185"/>
        <v>0</v>
      </c>
      <c r="QMX6" s="88">
        <f t="shared" si="185"/>
        <v>0</v>
      </c>
      <c r="QMY6" s="88">
        <f t="shared" si="185"/>
        <v>0</v>
      </c>
      <c r="QMZ6" s="88">
        <f t="shared" si="185"/>
        <v>0</v>
      </c>
      <c r="QNA6" s="88">
        <f t="shared" si="185"/>
        <v>0</v>
      </c>
      <c r="QNB6" s="88">
        <f t="shared" si="185"/>
        <v>0</v>
      </c>
      <c r="QNC6" s="88">
        <f t="shared" si="185"/>
        <v>0</v>
      </c>
      <c r="QND6" s="88">
        <f t="shared" si="185"/>
        <v>0</v>
      </c>
      <c r="QNE6" s="88">
        <f t="shared" si="185"/>
        <v>0</v>
      </c>
      <c r="QNF6" s="88">
        <f t="shared" si="185"/>
        <v>0</v>
      </c>
      <c r="QNG6" s="88">
        <f t="shared" si="185"/>
        <v>0</v>
      </c>
      <c r="QNH6" s="88">
        <f t="shared" si="185"/>
        <v>0</v>
      </c>
      <c r="QNI6" s="88">
        <f t="shared" si="185"/>
        <v>0</v>
      </c>
      <c r="QNJ6" s="88">
        <f t="shared" si="185"/>
        <v>0</v>
      </c>
      <c r="QNK6" s="88">
        <f t="shared" si="185"/>
        <v>0</v>
      </c>
      <c r="QNL6" s="88">
        <f t="shared" si="185"/>
        <v>0</v>
      </c>
      <c r="QNM6" s="88">
        <f t="shared" si="185"/>
        <v>0</v>
      </c>
      <c r="QNN6" s="88">
        <f t="shared" si="185"/>
        <v>0</v>
      </c>
      <c r="QNO6" s="88">
        <f t="shared" si="185"/>
        <v>0</v>
      </c>
      <c r="QNP6" s="88">
        <f t="shared" si="185"/>
        <v>0</v>
      </c>
      <c r="QNQ6" s="88">
        <f t="shared" si="185"/>
        <v>0</v>
      </c>
      <c r="QNR6" s="88">
        <f t="shared" si="185"/>
        <v>0</v>
      </c>
      <c r="QNS6" s="88">
        <f t="shared" si="185"/>
        <v>0</v>
      </c>
      <c r="QNT6" s="88">
        <f t="shared" si="185"/>
        <v>0</v>
      </c>
      <c r="QNU6" s="88">
        <f t="shared" si="185"/>
        <v>0</v>
      </c>
      <c r="QNV6" s="88">
        <f t="shared" si="185"/>
        <v>0</v>
      </c>
      <c r="QNW6" s="88">
        <f t="shared" si="185"/>
        <v>0</v>
      </c>
      <c r="QNX6" s="88">
        <f t="shared" si="185"/>
        <v>0</v>
      </c>
      <c r="QNY6" s="88">
        <f t="shared" si="185"/>
        <v>0</v>
      </c>
      <c r="QNZ6" s="88">
        <f t="shared" si="185"/>
        <v>0</v>
      </c>
      <c r="QOA6" s="88">
        <f t="shared" si="185"/>
        <v>0</v>
      </c>
      <c r="QOB6" s="88">
        <f t="shared" si="185"/>
        <v>0</v>
      </c>
      <c r="QOC6" s="88">
        <f t="shared" si="185"/>
        <v>0</v>
      </c>
      <c r="QOD6" s="88">
        <f t="shared" si="185"/>
        <v>0</v>
      </c>
      <c r="QOE6" s="88">
        <f t="shared" si="185"/>
        <v>0</v>
      </c>
      <c r="QOF6" s="88">
        <f t="shared" si="185"/>
        <v>0</v>
      </c>
      <c r="QOG6" s="88">
        <f t="shared" si="185"/>
        <v>0</v>
      </c>
      <c r="QOH6" s="88">
        <f t="shared" si="185"/>
        <v>0</v>
      </c>
      <c r="QOI6" s="88">
        <f t="shared" si="185"/>
        <v>0</v>
      </c>
      <c r="QOJ6" s="88">
        <f t="shared" si="185"/>
        <v>0</v>
      </c>
      <c r="QOK6" s="88">
        <f t="shared" si="185"/>
        <v>0</v>
      </c>
      <c r="QOL6" s="88">
        <f t="shared" si="185"/>
        <v>0</v>
      </c>
      <c r="QOM6" s="88">
        <f t="shared" si="185"/>
        <v>0</v>
      </c>
      <c r="QON6" s="88">
        <f t="shared" si="185"/>
        <v>0</v>
      </c>
      <c r="QOO6" s="88">
        <f t="shared" si="185"/>
        <v>0</v>
      </c>
      <c r="QOP6" s="88">
        <f t="shared" si="185"/>
        <v>0</v>
      </c>
      <c r="QOQ6" s="88">
        <f t="shared" si="185"/>
        <v>0</v>
      </c>
      <c r="QOR6" s="88">
        <f t="shared" si="185"/>
        <v>0</v>
      </c>
      <c r="QOS6" s="88">
        <f t="shared" si="185"/>
        <v>0</v>
      </c>
      <c r="QOT6" s="88">
        <f t="shared" si="185"/>
        <v>0</v>
      </c>
      <c r="QOU6" s="88">
        <f t="shared" si="185"/>
        <v>0</v>
      </c>
      <c r="QOV6" s="88">
        <f t="shared" si="185"/>
        <v>0</v>
      </c>
      <c r="QOW6" s="88">
        <f t="shared" si="185"/>
        <v>0</v>
      </c>
      <c r="QOX6" s="88">
        <f t="shared" si="185"/>
        <v>0</v>
      </c>
      <c r="QOY6" s="88">
        <f t="shared" si="185"/>
        <v>0</v>
      </c>
      <c r="QOZ6" s="88">
        <f t="shared" si="185"/>
        <v>0</v>
      </c>
      <c r="QPA6" s="88">
        <f t="shared" si="185"/>
        <v>0</v>
      </c>
      <c r="QPB6" s="88">
        <f t="shared" si="185"/>
        <v>0</v>
      </c>
      <c r="QPC6" s="88">
        <f t="shared" si="185"/>
        <v>0</v>
      </c>
      <c r="QPD6" s="88">
        <f t="shared" si="185"/>
        <v>0</v>
      </c>
      <c r="QPE6" s="88">
        <f t="shared" si="185"/>
        <v>0</v>
      </c>
      <c r="QPF6" s="88">
        <f t="shared" si="185"/>
        <v>0</v>
      </c>
      <c r="QPG6" s="88">
        <f t="shared" si="185"/>
        <v>0</v>
      </c>
      <c r="QPH6" s="88">
        <f t="shared" ref="QPH6:QRS6" si="186">SUM(QPI3:QPI5)</f>
        <v>0</v>
      </c>
      <c r="QPI6" s="88">
        <f t="shared" si="186"/>
        <v>0</v>
      </c>
      <c r="QPJ6" s="88">
        <f t="shared" si="186"/>
        <v>0</v>
      </c>
      <c r="QPK6" s="88">
        <f t="shared" si="186"/>
        <v>0</v>
      </c>
      <c r="QPL6" s="88">
        <f t="shared" si="186"/>
        <v>0</v>
      </c>
      <c r="QPM6" s="88">
        <f t="shared" si="186"/>
        <v>0</v>
      </c>
      <c r="QPN6" s="88">
        <f t="shared" si="186"/>
        <v>0</v>
      </c>
      <c r="QPO6" s="88">
        <f t="shared" si="186"/>
        <v>0</v>
      </c>
      <c r="QPP6" s="88">
        <f t="shared" si="186"/>
        <v>0</v>
      </c>
      <c r="QPQ6" s="88">
        <f t="shared" si="186"/>
        <v>0</v>
      </c>
      <c r="QPR6" s="88">
        <f t="shared" si="186"/>
        <v>0</v>
      </c>
      <c r="QPS6" s="88">
        <f t="shared" si="186"/>
        <v>0</v>
      </c>
      <c r="QPT6" s="88">
        <f t="shared" si="186"/>
        <v>0</v>
      </c>
      <c r="QPU6" s="88">
        <f t="shared" si="186"/>
        <v>0</v>
      </c>
      <c r="QPV6" s="88">
        <f t="shared" si="186"/>
        <v>0</v>
      </c>
      <c r="QPW6" s="88">
        <f t="shared" si="186"/>
        <v>0</v>
      </c>
      <c r="QPX6" s="88">
        <f t="shared" si="186"/>
        <v>0</v>
      </c>
      <c r="QPY6" s="88">
        <f t="shared" si="186"/>
        <v>0</v>
      </c>
      <c r="QPZ6" s="88">
        <f t="shared" si="186"/>
        <v>0</v>
      </c>
      <c r="QQA6" s="88">
        <f t="shared" si="186"/>
        <v>0</v>
      </c>
      <c r="QQB6" s="88">
        <f t="shared" si="186"/>
        <v>0</v>
      </c>
      <c r="QQC6" s="88">
        <f t="shared" si="186"/>
        <v>0</v>
      </c>
      <c r="QQD6" s="88">
        <f t="shared" si="186"/>
        <v>0</v>
      </c>
      <c r="QQE6" s="88">
        <f t="shared" si="186"/>
        <v>0</v>
      </c>
      <c r="QQF6" s="88">
        <f t="shared" si="186"/>
        <v>0</v>
      </c>
      <c r="QQG6" s="88">
        <f t="shared" si="186"/>
        <v>0</v>
      </c>
      <c r="QQH6" s="88">
        <f t="shared" si="186"/>
        <v>0</v>
      </c>
      <c r="QQI6" s="88">
        <f t="shared" si="186"/>
        <v>0</v>
      </c>
      <c r="QQJ6" s="88">
        <f t="shared" si="186"/>
        <v>0</v>
      </c>
      <c r="QQK6" s="88">
        <f t="shared" si="186"/>
        <v>0</v>
      </c>
      <c r="QQL6" s="88">
        <f t="shared" si="186"/>
        <v>0</v>
      </c>
      <c r="QQM6" s="88">
        <f t="shared" si="186"/>
        <v>0</v>
      </c>
      <c r="QQN6" s="88">
        <f t="shared" si="186"/>
        <v>0</v>
      </c>
      <c r="QQO6" s="88">
        <f t="shared" si="186"/>
        <v>0</v>
      </c>
      <c r="QQP6" s="88">
        <f t="shared" si="186"/>
        <v>0</v>
      </c>
      <c r="QQQ6" s="88">
        <f t="shared" si="186"/>
        <v>0</v>
      </c>
      <c r="QQR6" s="88">
        <f t="shared" si="186"/>
        <v>0</v>
      </c>
      <c r="QQS6" s="88">
        <f t="shared" si="186"/>
        <v>0</v>
      </c>
      <c r="QQT6" s="88">
        <f t="shared" si="186"/>
        <v>0</v>
      </c>
      <c r="QQU6" s="88">
        <f t="shared" si="186"/>
        <v>0</v>
      </c>
      <c r="QQV6" s="88">
        <f t="shared" si="186"/>
        <v>0</v>
      </c>
      <c r="QQW6" s="88">
        <f t="shared" si="186"/>
        <v>0</v>
      </c>
      <c r="QQX6" s="88">
        <f t="shared" si="186"/>
        <v>0</v>
      </c>
      <c r="QQY6" s="88">
        <f t="shared" si="186"/>
        <v>0</v>
      </c>
      <c r="QQZ6" s="88">
        <f t="shared" si="186"/>
        <v>0</v>
      </c>
      <c r="QRA6" s="88">
        <f t="shared" si="186"/>
        <v>0</v>
      </c>
      <c r="QRB6" s="88">
        <f t="shared" si="186"/>
        <v>0</v>
      </c>
      <c r="QRC6" s="88">
        <f t="shared" si="186"/>
        <v>0</v>
      </c>
      <c r="QRD6" s="88">
        <f t="shared" si="186"/>
        <v>0</v>
      </c>
      <c r="QRE6" s="88">
        <f t="shared" si="186"/>
        <v>0</v>
      </c>
      <c r="QRF6" s="88">
        <f t="shared" si="186"/>
        <v>0</v>
      </c>
      <c r="QRG6" s="88">
        <f t="shared" si="186"/>
        <v>0</v>
      </c>
      <c r="QRH6" s="88">
        <f t="shared" si="186"/>
        <v>0</v>
      </c>
      <c r="QRI6" s="88">
        <f t="shared" si="186"/>
        <v>0</v>
      </c>
      <c r="QRJ6" s="88">
        <f t="shared" si="186"/>
        <v>0</v>
      </c>
      <c r="QRK6" s="88">
        <f t="shared" si="186"/>
        <v>0</v>
      </c>
      <c r="QRL6" s="88">
        <f t="shared" si="186"/>
        <v>0</v>
      </c>
      <c r="QRM6" s="88">
        <f t="shared" si="186"/>
        <v>0</v>
      </c>
      <c r="QRN6" s="88">
        <f t="shared" si="186"/>
        <v>0</v>
      </c>
      <c r="QRO6" s="88">
        <f t="shared" si="186"/>
        <v>0</v>
      </c>
      <c r="QRP6" s="88">
        <f t="shared" si="186"/>
        <v>0</v>
      </c>
      <c r="QRQ6" s="88">
        <f t="shared" si="186"/>
        <v>0</v>
      </c>
      <c r="QRR6" s="88">
        <f t="shared" si="186"/>
        <v>0</v>
      </c>
      <c r="QRS6" s="88">
        <f t="shared" si="186"/>
        <v>0</v>
      </c>
      <c r="QRT6" s="88">
        <f t="shared" ref="QRT6:QUE6" si="187">SUM(QRU3:QRU5)</f>
        <v>0</v>
      </c>
      <c r="QRU6" s="88">
        <f t="shared" si="187"/>
        <v>0</v>
      </c>
      <c r="QRV6" s="88">
        <f t="shared" si="187"/>
        <v>0</v>
      </c>
      <c r="QRW6" s="88">
        <f t="shared" si="187"/>
        <v>0</v>
      </c>
      <c r="QRX6" s="88">
        <f t="shared" si="187"/>
        <v>0</v>
      </c>
      <c r="QRY6" s="88">
        <f t="shared" si="187"/>
        <v>0</v>
      </c>
      <c r="QRZ6" s="88">
        <f t="shared" si="187"/>
        <v>0</v>
      </c>
      <c r="QSA6" s="88">
        <f t="shared" si="187"/>
        <v>0</v>
      </c>
      <c r="QSB6" s="88">
        <f t="shared" si="187"/>
        <v>0</v>
      </c>
      <c r="QSC6" s="88">
        <f t="shared" si="187"/>
        <v>0</v>
      </c>
      <c r="QSD6" s="88">
        <f t="shared" si="187"/>
        <v>0</v>
      </c>
      <c r="QSE6" s="88">
        <f t="shared" si="187"/>
        <v>0</v>
      </c>
      <c r="QSF6" s="88">
        <f t="shared" si="187"/>
        <v>0</v>
      </c>
      <c r="QSG6" s="88">
        <f t="shared" si="187"/>
        <v>0</v>
      </c>
      <c r="QSH6" s="88">
        <f t="shared" si="187"/>
        <v>0</v>
      </c>
      <c r="QSI6" s="88">
        <f t="shared" si="187"/>
        <v>0</v>
      </c>
      <c r="QSJ6" s="88">
        <f t="shared" si="187"/>
        <v>0</v>
      </c>
      <c r="QSK6" s="88">
        <f t="shared" si="187"/>
        <v>0</v>
      </c>
      <c r="QSL6" s="88">
        <f t="shared" si="187"/>
        <v>0</v>
      </c>
      <c r="QSM6" s="88">
        <f t="shared" si="187"/>
        <v>0</v>
      </c>
      <c r="QSN6" s="88">
        <f t="shared" si="187"/>
        <v>0</v>
      </c>
      <c r="QSO6" s="88">
        <f t="shared" si="187"/>
        <v>0</v>
      </c>
      <c r="QSP6" s="88">
        <f t="shared" si="187"/>
        <v>0</v>
      </c>
      <c r="QSQ6" s="88">
        <f t="shared" si="187"/>
        <v>0</v>
      </c>
      <c r="QSR6" s="88">
        <f t="shared" si="187"/>
        <v>0</v>
      </c>
      <c r="QSS6" s="88">
        <f t="shared" si="187"/>
        <v>0</v>
      </c>
      <c r="QST6" s="88">
        <f t="shared" si="187"/>
        <v>0</v>
      </c>
      <c r="QSU6" s="88">
        <f t="shared" si="187"/>
        <v>0</v>
      </c>
      <c r="QSV6" s="88">
        <f t="shared" si="187"/>
        <v>0</v>
      </c>
      <c r="QSW6" s="88">
        <f t="shared" si="187"/>
        <v>0</v>
      </c>
      <c r="QSX6" s="88">
        <f t="shared" si="187"/>
        <v>0</v>
      </c>
      <c r="QSY6" s="88">
        <f t="shared" si="187"/>
        <v>0</v>
      </c>
      <c r="QSZ6" s="88">
        <f t="shared" si="187"/>
        <v>0</v>
      </c>
      <c r="QTA6" s="88">
        <f t="shared" si="187"/>
        <v>0</v>
      </c>
      <c r="QTB6" s="88">
        <f t="shared" si="187"/>
        <v>0</v>
      </c>
      <c r="QTC6" s="88">
        <f t="shared" si="187"/>
        <v>0</v>
      </c>
      <c r="QTD6" s="88">
        <f t="shared" si="187"/>
        <v>0</v>
      </c>
      <c r="QTE6" s="88">
        <f t="shared" si="187"/>
        <v>0</v>
      </c>
      <c r="QTF6" s="88">
        <f t="shared" si="187"/>
        <v>0</v>
      </c>
      <c r="QTG6" s="88">
        <f t="shared" si="187"/>
        <v>0</v>
      </c>
      <c r="QTH6" s="88">
        <f t="shared" si="187"/>
        <v>0</v>
      </c>
      <c r="QTI6" s="88">
        <f t="shared" si="187"/>
        <v>0</v>
      </c>
      <c r="QTJ6" s="88">
        <f t="shared" si="187"/>
        <v>0</v>
      </c>
      <c r="QTK6" s="88">
        <f t="shared" si="187"/>
        <v>0</v>
      </c>
      <c r="QTL6" s="88">
        <f t="shared" si="187"/>
        <v>0</v>
      </c>
      <c r="QTM6" s="88">
        <f t="shared" si="187"/>
        <v>0</v>
      </c>
      <c r="QTN6" s="88">
        <f t="shared" si="187"/>
        <v>0</v>
      </c>
      <c r="QTO6" s="88">
        <f t="shared" si="187"/>
        <v>0</v>
      </c>
      <c r="QTP6" s="88">
        <f t="shared" si="187"/>
        <v>0</v>
      </c>
      <c r="QTQ6" s="88">
        <f t="shared" si="187"/>
        <v>0</v>
      </c>
      <c r="QTR6" s="88">
        <f t="shared" si="187"/>
        <v>0</v>
      </c>
      <c r="QTS6" s="88">
        <f t="shared" si="187"/>
        <v>0</v>
      </c>
      <c r="QTT6" s="88">
        <f t="shared" si="187"/>
        <v>0</v>
      </c>
      <c r="QTU6" s="88">
        <f t="shared" si="187"/>
        <v>0</v>
      </c>
      <c r="QTV6" s="88">
        <f t="shared" si="187"/>
        <v>0</v>
      </c>
      <c r="QTW6" s="88">
        <f t="shared" si="187"/>
        <v>0</v>
      </c>
      <c r="QTX6" s="88">
        <f t="shared" si="187"/>
        <v>0</v>
      </c>
      <c r="QTY6" s="88">
        <f t="shared" si="187"/>
        <v>0</v>
      </c>
      <c r="QTZ6" s="88">
        <f t="shared" si="187"/>
        <v>0</v>
      </c>
      <c r="QUA6" s="88">
        <f t="shared" si="187"/>
        <v>0</v>
      </c>
      <c r="QUB6" s="88">
        <f t="shared" si="187"/>
        <v>0</v>
      </c>
      <c r="QUC6" s="88">
        <f t="shared" si="187"/>
        <v>0</v>
      </c>
      <c r="QUD6" s="88">
        <f t="shared" si="187"/>
        <v>0</v>
      </c>
      <c r="QUE6" s="88">
        <f t="shared" si="187"/>
        <v>0</v>
      </c>
      <c r="QUF6" s="88">
        <f t="shared" ref="QUF6:QWQ6" si="188">SUM(QUG3:QUG5)</f>
        <v>0</v>
      </c>
      <c r="QUG6" s="88">
        <f t="shared" si="188"/>
        <v>0</v>
      </c>
      <c r="QUH6" s="88">
        <f t="shared" si="188"/>
        <v>0</v>
      </c>
      <c r="QUI6" s="88">
        <f t="shared" si="188"/>
        <v>0</v>
      </c>
      <c r="QUJ6" s="88">
        <f t="shared" si="188"/>
        <v>0</v>
      </c>
      <c r="QUK6" s="88">
        <f t="shared" si="188"/>
        <v>0</v>
      </c>
      <c r="QUL6" s="88">
        <f t="shared" si="188"/>
        <v>0</v>
      </c>
      <c r="QUM6" s="88">
        <f t="shared" si="188"/>
        <v>0</v>
      </c>
      <c r="QUN6" s="88">
        <f t="shared" si="188"/>
        <v>0</v>
      </c>
      <c r="QUO6" s="88">
        <f t="shared" si="188"/>
        <v>0</v>
      </c>
      <c r="QUP6" s="88">
        <f t="shared" si="188"/>
        <v>0</v>
      </c>
      <c r="QUQ6" s="88">
        <f t="shared" si="188"/>
        <v>0</v>
      </c>
      <c r="QUR6" s="88">
        <f t="shared" si="188"/>
        <v>0</v>
      </c>
      <c r="QUS6" s="88">
        <f t="shared" si="188"/>
        <v>0</v>
      </c>
      <c r="QUT6" s="88">
        <f t="shared" si="188"/>
        <v>0</v>
      </c>
      <c r="QUU6" s="88">
        <f t="shared" si="188"/>
        <v>0</v>
      </c>
      <c r="QUV6" s="88">
        <f t="shared" si="188"/>
        <v>0</v>
      </c>
      <c r="QUW6" s="88">
        <f t="shared" si="188"/>
        <v>0</v>
      </c>
      <c r="QUX6" s="88">
        <f t="shared" si="188"/>
        <v>0</v>
      </c>
      <c r="QUY6" s="88">
        <f t="shared" si="188"/>
        <v>0</v>
      </c>
      <c r="QUZ6" s="88">
        <f t="shared" si="188"/>
        <v>0</v>
      </c>
      <c r="QVA6" s="88">
        <f t="shared" si="188"/>
        <v>0</v>
      </c>
      <c r="QVB6" s="88">
        <f t="shared" si="188"/>
        <v>0</v>
      </c>
      <c r="QVC6" s="88">
        <f t="shared" si="188"/>
        <v>0</v>
      </c>
      <c r="QVD6" s="88">
        <f t="shared" si="188"/>
        <v>0</v>
      </c>
      <c r="QVE6" s="88">
        <f t="shared" si="188"/>
        <v>0</v>
      </c>
      <c r="QVF6" s="88">
        <f t="shared" si="188"/>
        <v>0</v>
      </c>
      <c r="QVG6" s="88">
        <f t="shared" si="188"/>
        <v>0</v>
      </c>
      <c r="QVH6" s="88">
        <f t="shared" si="188"/>
        <v>0</v>
      </c>
      <c r="QVI6" s="88">
        <f t="shared" si="188"/>
        <v>0</v>
      </c>
      <c r="QVJ6" s="88">
        <f t="shared" si="188"/>
        <v>0</v>
      </c>
      <c r="QVK6" s="88">
        <f t="shared" si="188"/>
        <v>0</v>
      </c>
      <c r="QVL6" s="88">
        <f t="shared" si="188"/>
        <v>0</v>
      </c>
      <c r="QVM6" s="88">
        <f t="shared" si="188"/>
        <v>0</v>
      </c>
      <c r="QVN6" s="88">
        <f t="shared" si="188"/>
        <v>0</v>
      </c>
      <c r="QVO6" s="88">
        <f t="shared" si="188"/>
        <v>0</v>
      </c>
      <c r="QVP6" s="88">
        <f t="shared" si="188"/>
        <v>0</v>
      </c>
      <c r="QVQ6" s="88">
        <f t="shared" si="188"/>
        <v>0</v>
      </c>
      <c r="QVR6" s="88">
        <f t="shared" si="188"/>
        <v>0</v>
      </c>
      <c r="QVS6" s="88">
        <f t="shared" si="188"/>
        <v>0</v>
      </c>
      <c r="QVT6" s="88">
        <f t="shared" si="188"/>
        <v>0</v>
      </c>
      <c r="QVU6" s="88">
        <f t="shared" si="188"/>
        <v>0</v>
      </c>
      <c r="QVV6" s="88">
        <f t="shared" si="188"/>
        <v>0</v>
      </c>
      <c r="QVW6" s="88">
        <f t="shared" si="188"/>
        <v>0</v>
      </c>
      <c r="QVX6" s="88">
        <f t="shared" si="188"/>
        <v>0</v>
      </c>
      <c r="QVY6" s="88">
        <f t="shared" si="188"/>
        <v>0</v>
      </c>
      <c r="QVZ6" s="88">
        <f t="shared" si="188"/>
        <v>0</v>
      </c>
      <c r="QWA6" s="88">
        <f t="shared" si="188"/>
        <v>0</v>
      </c>
      <c r="QWB6" s="88">
        <f t="shared" si="188"/>
        <v>0</v>
      </c>
      <c r="QWC6" s="88">
        <f t="shared" si="188"/>
        <v>0</v>
      </c>
      <c r="QWD6" s="88">
        <f t="shared" si="188"/>
        <v>0</v>
      </c>
      <c r="QWE6" s="88">
        <f t="shared" si="188"/>
        <v>0</v>
      </c>
      <c r="QWF6" s="88">
        <f t="shared" si="188"/>
        <v>0</v>
      </c>
      <c r="QWG6" s="88">
        <f t="shared" si="188"/>
        <v>0</v>
      </c>
      <c r="QWH6" s="88">
        <f t="shared" si="188"/>
        <v>0</v>
      </c>
      <c r="QWI6" s="88">
        <f t="shared" si="188"/>
        <v>0</v>
      </c>
      <c r="QWJ6" s="88">
        <f t="shared" si="188"/>
        <v>0</v>
      </c>
      <c r="QWK6" s="88">
        <f t="shared" si="188"/>
        <v>0</v>
      </c>
      <c r="QWL6" s="88">
        <f t="shared" si="188"/>
        <v>0</v>
      </c>
      <c r="QWM6" s="88">
        <f t="shared" si="188"/>
        <v>0</v>
      </c>
      <c r="QWN6" s="88">
        <f t="shared" si="188"/>
        <v>0</v>
      </c>
      <c r="QWO6" s="88">
        <f t="shared" si="188"/>
        <v>0</v>
      </c>
      <c r="QWP6" s="88">
        <f t="shared" si="188"/>
        <v>0</v>
      </c>
      <c r="QWQ6" s="88">
        <f t="shared" si="188"/>
        <v>0</v>
      </c>
      <c r="QWR6" s="88">
        <f t="shared" ref="QWR6:QZC6" si="189">SUM(QWS3:QWS5)</f>
        <v>0</v>
      </c>
      <c r="QWS6" s="88">
        <f t="shared" si="189"/>
        <v>0</v>
      </c>
      <c r="QWT6" s="88">
        <f t="shared" si="189"/>
        <v>0</v>
      </c>
      <c r="QWU6" s="88">
        <f t="shared" si="189"/>
        <v>0</v>
      </c>
      <c r="QWV6" s="88">
        <f t="shared" si="189"/>
        <v>0</v>
      </c>
      <c r="QWW6" s="88">
        <f t="shared" si="189"/>
        <v>0</v>
      </c>
      <c r="QWX6" s="88">
        <f t="shared" si="189"/>
        <v>0</v>
      </c>
      <c r="QWY6" s="88">
        <f t="shared" si="189"/>
        <v>0</v>
      </c>
      <c r="QWZ6" s="88">
        <f t="shared" si="189"/>
        <v>0</v>
      </c>
      <c r="QXA6" s="88">
        <f t="shared" si="189"/>
        <v>0</v>
      </c>
      <c r="QXB6" s="88">
        <f t="shared" si="189"/>
        <v>0</v>
      </c>
      <c r="QXC6" s="88">
        <f t="shared" si="189"/>
        <v>0</v>
      </c>
      <c r="QXD6" s="88">
        <f t="shared" si="189"/>
        <v>0</v>
      </c>
      <c r="QXE6" s="88">
        <f t="shared" si="189"/>
        <v>0</v>
      </c>
      <c r="QXF6" s="88">
        <f t="shared" si="189"/>
        <v>0</v>
      </c>
      <c r="QXG6" s="88">
        <f t="shared" si="189"/>
        <v>0</v>
      </c>
      <c r="QXH6" s="88">
        <f t="shared" si="189"/>
        <v>0</v>
      </c>
      <c r="QXI6" s="88">
        <f t="shared" si="189"/>
        <v>0</v>
      </c>
      <c r="QXJ6" s="88">
        <f t="shared" si="189"/>
        <v>0</v>
      </c>
      <c r="QXK6" s="88">
        <f t="shared" si="189"/>
        <v>0</v>
      </c>
      <c r="QXL6" s="88">
        <f t="shared" si="189"/>
        <v>0</v>
      </c>
      <c r="QXM6" s="88">
        <f t="shared" si="189"/>
        <v>0</v>
      </c>
      <c r="QXN6" s="88">
        <f t="shared" si="189"/>
        <v>0</v>
      </c>
      <c r="QXO6" s="88">
        <f t="shared" si="189"/>
        <v>0</v>
      </c>
      <c r="QXP6" s="88">
        <f t="shared" si="189"/>
        <v>0</v>
      </c>
      <c r="QXQ6" s="88">
        <f t="shared" si="189"/>
        <v>0</v>
      </c>
      <c r="QXR6" s="88">
        <f t="shared" si="189"/>
        <v>0</v>
      </c>
      <c r="QXS6" s="88">
        <f t="shared" si="189"/>
        <v>0</v>
      </c>
      <c r="QXT6" s="88">
        <f t="shared" si="189"/>
        <v>0</v>
      </c>
      <c r="QXU6" s="88">
        <f t="shared" si="189"/>
        <v>0</v>
      </c>
      <c r="QXV6" s="88">
        <f t="shared" si="189"/>
        <v>0</v>
      </c>
      <c r="QXW6" s="88">
        <f t="shared" si="189"/>
        <v>0</v>
      </c>
      <c r="QXX6" s="88">
        <f t="shared" si="189"/>
        <v>0</v>
      </c>
      <c r="QXY6" s="88">
        <f t="shared" si="189"/>
        <v>0</v>
      </c>
      <c r="QXZ6" s="88">
        <f t="shared" si="189"/>
        <v>0</v>
      </c>
      <c r="QYA6" s="88">
        <f t="shared" si="189"/>
        <v>0</v>
      </c>
      <c r="QYB6" s="88">
        <f t="shared" si="189"/>
        <v>0</v>
      </c>
      <c r="QYC6" s="88">
        <f t="shared" si="189"/>
        <v>0</v>
      </c>
      <c r="QYD6" s="88">
        <f t="shared" si="189"/>
        <v>0</v>
      </c>
      <c r="QYE6" s="88">
        <f t="shared" si="189"/>
        <v>0</v>
      </c>
      <c r="QYF6" s="88">
        <f t="shared" si="189"/>
        <v>0</v>
      </c>
      <c r="QYG6" s="88">
        <f t="shared" si="189"/>
        <v>0</v>
      </c>
      <c r="QYH6" s="88">
        <f t="shared" si="189"/>
        <v>0</v>
      </c>
      <c r="QYI6" s="88">
        <f t="shared" si="189"/>
        <v>0</v>
      </c>
      <c r="QYJ6" s="88">
        <f t="shared" si="189"/>
        <v>0</v>
      </c>
      <c r="QYK6" s="88">
        <f t="shared" si="189"/>
        <v>0</v>
      </c>
      <c r="QYL6" s="88">
        <f t="shared" si="189"/>
        <v>0</v>
      </c>
      <c r="QYM6" s="88">
        <f t="shared" si="189"/>
        <v>0</v>
      </c>
      <c r="QYN6" s="88">
        <f t="shared" si="189"/>
        <v>0</v>
      </c>
      <c r="QYO6" s="88">
        <f t="shared" si="189"/>
        <v>0</v>
      </c>
      <c r="QYP6" s="88">
        <f t="shared" si="189"/>
        <v>0</v>
      </c>
      <c r="QYQ6" s="88">
        <f t="shared" si="189"/>
        <v>0</v>
      </c>
      <c r="QYR6" s="88">
        <f t="shared" si="189"/>
        <v>0</v>
      </c>
      <c r="QYS6" s="88">
        <f t="shared" si="189"/>
        <v>0</v>
      </c>
      <c r="QYT6" s="88">
        <f t="shared" si="189"/>
        <v>0</v>
      </c>
      <c r="QYU6" s="88">
        <f t="shared" si="189"/>
        <v>0</v>
      </c>
      <c r="QYV6" s="88">
        <f t="shared" si="189"/>
        <v>0</v>
      </c>
      <c r="QYW6" s="88">
        <f t="shared" si="189"/>
        <v>0</v>
      </c>
      <c r="QYX6" s="88">
        <f t="shared" si="189"/>
        <v>0</v>
      </c>
      <c r="QYY6" s="88">
        <f t="shared" si="189"/>
        <v>0</v>
      </c>
      <c r="QYZ6" s="88">
        <f t="shared" si="189"/>
        <v>0</v>
      </c>
      <c r="QZA6" s="88">
        <f t="shared" si="189"/>
        <v>0</v>
      </c>
      <c r="QZB6" s="88">
        <f t="shared" si="189"/>
        <v>0</v>
      </c>
      <c r="QZC6" s="88">
        <f t="shared" si="189"/>
        <v>0</v>
      </c>
      <c r="QZD6" s="88">
        <f t="shared" ref="QZD6:RBO6" si="190">SUM(QZE3:QZE5)</f>
        <v>0</v>
      </c>
      <c r="QZE6" s="88">
        <f t="shared" si="190"/>
        <v>0</v>
      </c>
      <c r="QZF6" s="88">
        <f t="shared" si="190"/>
        <v>0</v>
      </c>
      <c r="QZG6" s="88">
        <f t="shared" si="190"/>
        <v>0</v>
      </c>
      <c r="QZH6" s="88">
        <f t="shared" si="190"/>
        <v>0</v>
      </c>
      <c r="QZI6" s="88">
        <f t="shared" si="190"/>
        <v>0</v>
      </c>
      <c r="QZJ6" s="88">
        <f t="shared" si="190"/>
        <v>0</v>
      </c>
      <c r="QZK6" s="88">
        <f t="shared" si="190"/>
        <v>0</v>
      </c>
      <c r="QZL6" s="88">
        <f t="shared" si="190"/>
        <v>0</v>
      </c>
      <c r="QZM6" s="88">
        <f t="shared" si="190"/>
        <v>0</v>
      </c>
      <c r="QZN6" s="88">
        <f t="shared" si="190"/>
        <v>0</v>
      </c>
      <c r="QZO6" s="88">
        <f t="shared" si="190"/>
        <v>0</v>
      </c>
      <c r="QZP6" s="88">
        <f t="shared" si="190"/>
        <v>0</v>
      </c>
      <c r="QZQ6" s="88">
        <f t="shared" si="190"/>
        <v>0</v>
      </c>
      <c r="QZR6" s="88">
        <f t="shared" si="190"/>
        <v>0</v>
      </c>
      <c r="QZS6" s="88">
        <f t="shared" si="190"/>
        <v>0</v>
      </c>
      <c r="QZT6" s="88">
        <f t="shared" si="190"/>
        <v>0</v>
      </c>
      <c r="QZU6" s="88">
        <f t="shared" si="190"/>
        <v>0</v>
      </c>
      <c r="QZV6" s="88">
        <f t="shared" si="190"/>
        <v>0</v>
      </c>
      <c r="QZW6" s="88">
        <f t="shared" si="190"/>
        <v>0</v>
      </c>
      <c r="QZX6" s="88">
        <f t="shared" si="190"/>
        <v>0</v>
      </c>
      <c r="QZY6" s="88">
        <f t="shared" si="190"/>
        <v>0</v>
      </c>
      <c r="QZZ6" s="88">
        <f t="shared" si="190"/>
        <v>0</v>
      </c>
      <c r="RAA6" s="88">
        <f t="shared" si="190"/>
        <v>0</v>
      </c>
      <c r="RAB6" s="88">
        <f t="shared" si="190"/>
        <v>0</v>
      </c>
      <c r="RAC6" s="88">
        <f t="shared" si="190"/>
        <v>0</v>
      </c>
      <c r="RAD6" s="88">
        <f t="shared" si="190"/>
        <v>0</v>
      </c>
      <c r="RAE6" s="88">
        <f t="shared" si="190"/>
        <v>0</v>
      </c>
      <c r="RAF6" s="88">
        <f t="shared" si="190"/>
        <v>0</v>
      </c>
      <c r="RAG6" s="88">
        <f t="shared" si="190"/>
        <v>0</v>
      </c>
      <c r="RAH6" s="88">
        <f t="shared" si="190"/>
        <v>0</v>
      </c>
      <c r="RAI6" s="88">
        <f t="shared" si="190"/>
        <v>0</v>
      </c>
      <c r="RAJ6" s="88">
        <f t="shared" si="190"/>
        <v>0</v>
      </c>
      <c r="RAK6" s="88">
        <f t="shared" si="190"/>
        <v>0</v>
      </c>
      <c r="RAL6" s="88">
        <f t="shared" si="190"/>
        <v>0</v>
      </c>
      <c r="RAM6" s="88">
        <f t="shared" si="190"/>
        <v>0</v>
      </c>
      <c r="RAN6" s="88">
        <f t="shared" si="190"/>
        <v>0</v>
      </c>
      <c r="RAO6" s="88">
        <f t="shared" si="190"/>
        <v>0</v>
      </c>
      <c r="RAP6" s="88">
        <f t="shared" si="190"/>
        <v>0</v>
      </c>
      <c r="RAQ6" s="88">
        <f t="shared" si="190"/>
        <v>0</v>
      </c>
      <c r="RAR6" s="88">
        <f t="shared" si="190"/>
        <v>0</v>
      </c>
      <c r="RAS6" s="88">
        <f t="shared" si="190"/>
        <v>0</v>
      </c>
      <c r="RAT6" s="88">
        <f t="shared" si="190"/>
        <v>0</v>
      </c>
      <c r="RAU6" s="88">
        <f t="shared" si="190"/>
        <v>0</v>
      </c>
      <c r="RAV6" s="88">
        <f t="shared" si="190"/>
        <v>0</v>
      </c>
      <c r="RAW6" s="88">
        <f t="shared" si="190"/>
        <v>0</v>
      </c>
      <c r="RAX6" s="88">
        <f t="shared" si="190"/>
        <v>0</v>
      </c>
      <c r="RAY6" s="88">
        <f t="shared" si="190"/>
        <v>0</v>
      </c>
      <c r="RAZ6" s="88">
        <f t="shared" si="190"/>
        <v>0</v>
      </c>
      <c r="RBA6" s="88">
        <f t="shared" si="190"/>
        <v>0</v>
      </c>
      <c r="RBB6" s="88">
        <f t="shared" si="190"/>
        <v>0</v>
      </c>
      <c r="RBC6" s="88">
        <f t="shared" si="190"/>
        <v>0</v>
      </c>
      <c r="RBD6" s="88">
        <f t="shared" si="190"/>
        <v>0</v>
      </c>
      <c r="RBE6" s="88">
        <f t="shared" si="190"/>
        <v>0</v>
      </c>
      <c r="RBF6" s="88">
        <f t="shared" si="190"/>
        <v>0</v>
      </c>
      <c r="RBG6" s="88">
        <f t="shared" si="190"/>
        <v>0</v>
      </c>
      <c r="RBH6" s="88">
        <f t="shared" si="190"/>
        <v>0</v>
      </c>
      <c r="RBI6" s="88">
        <f t="shared" si="190"/>
        <v>0</v>
      </c>
      <c r="RBJ6" s="88">
        <f t="shared" si="190"/>
        <v>0</v>
      </c>
      <c r="RBK6" s="88">
        <f t="shared" si="190"/>
        <v>0</v>
      </c>
      <c r="RBL6" s="88">
        <f t="shared" si="190"/>
        <v>0</v>
      </c>
      <c r="RBM6" s="88">
        <f t="shared" si="190"/>
        <v>0</v>
      </c>
      <c r="RBN6" s="88">
        <f t="shared" si="190"/>
        <v>0</v>
      </c>
      <c r="RBO6" s="88">
        <f t="shared" si="190"/>
        <v>0</v>
      </c>
      <c r="RBP6" s="88">
        <f t="shared" ref="RBP6:REA6" si="191">SUM(RBQ3:RBQ5)</f>
        <v>0</v>
      </c>
      <c r="RBQ6" s="88">
        <f t="shared" si="191"/>
        <v>0</v>
      </c>
      <c r="RBR6" s="88">
        <f t="shared" si="191"/>
        <v>0</v>
      </c>
      <c r="RBS6" s="88">
        <f t="shared" si="191"/>
        <v>0</v>
      </c>
      <c r="RBT6" s="88">
        <f t="shared" si="191"/>
        <v>0</v>
      </c>
      <c r="RBU6" s="88">
        <f t="shared" si="191"/>
        <v>0</v>
      </c>
      <c r="RBV6" s="88">
        <f t="shared" si="191"/>
        <v>0</v>
      </c>
      <c r="RBW6" s="88">
        <f t="shared" si="191"/>
        <v>0</v>
      </c>
      <c r="RBX6" s="88">
        <f t="shared" si="191"/>
        <v>0</v>
      </c>
      <c r="RBY6" s="88">
        <f t="shared" si="191"/>
        <v>0</v>
      </c>
      <c r="RBZ6" s="88">
        <f t="shared" si="191"/>
        <v>0</v>
      </c>
      <c r="RCA6" s="88">
        <f t="shared" si="191"/>
        <v>0</v>
      </c>
      <c r="RCB6" s="88">
        <f t="shared" si="191"/>
        <v>0</v>
      </c>
      <c r="RCC6" s="88">
        <f t="shared" si="191"/>
        <v>0</v>
      </c>
      <c r="RCD6" s="88">
        <f t="shared" si="191"/>
        <v>0</v>
      </c>
      <c r="RCE6" s="88">
        <f t="shared" si="191"/>
        <v>0</v>
      </c>
      <c r="RCF6" s="88">
        <f t="shared" si="191"/>
        <v>0</v>
      </c>
      <c r="RCG6" s="88">
        <f t="shared" si="191"/>
        <v>0</v>
      </c>
      <c r="RCH6" s="88">
        <f t="shared" si="191"/>
        <v>0</v>
      </c>
      <c r="RCI6" s="88">
        <f t="shared" si="191"/>
        <v>0</v>
      </c>
      <c r="RCJ6" s="88">
        <f t="shared" si="191"/>
        <v>0</v>
      </c>
      <c r="RCK6" s="88">
        <f t="shared" si="191"/>
        <v>0</v>
      </c>
      <c r="RCL6" s="88">
        <f t="shared" si="191"/>
        <v>0</v>
      </c>
      <c r="RCM6" s="88">
        <f t="shared" si="191"/>
        <v>0</v>
      </c>
      <c r="RCN6" s="88">
        <f t="shared" si="191"/>
        <v>0</v>
      </c>
      <c r="RCO6" s="88">
        <f t="shared" si="191"/>
        <v>0</v>
      </c>
      <c r="RCP6" s="88">
        <f t="shared" si="191"/>
        <v>0</v>
      </c>
      <c r="RCQ6" s="88">
        <f t="shared" si="191"/>
        <v>0</v>
      </c>
      <c r="RCR6" s="88">
        <f t="shared" si="191"/>
        <v>0</v>
      </c>
      <c r="RCS6" s="88">
        <f t="shared" si="191"/>
        <v>0</v>
      </c>
      <c r="RCT6" s="88">
        <f t="shared" si="191"/>
        <v>0</v>
      </c>
      <c r="RCU6" s="88">
        <f t="shared" si="191"/>
        <v>0</v>
      </c>
      <c r="RCV6" s="88">
        <f t="shared" si="191"/>
        <v>0</v>
      </c>
      <c r="RCW6" s="88">
        <f t="shared" si="191"/>
        <v>0</v>
      </c>
      <c r="RCX6" s="88">
        <f t="shared" si="191"/>
        <v>0</v>
      </c>
      <c r="RCY6" s="88">
        <f t="shared" si="191"/>
        <v>0</v>
      </c>
      <c r="RCZ6" s="88">
        <f t="shared" si="191"/>
        <v>0</v>
      </c>
      <c r="RDA6" s="88">
        <f t="shared" si="191"/>
        <v>0</v>
      </c>
      <c r="RDB6" s="88">
        <f t="shared" si="191"/>
        <v>0</v>
      </c>
      <c r="RDC6" s="88">
        <f t="shared" si="191"/>
        <v>0</v>
      </c>
      <c r="RDD6" s="88">
        <f t="shared" si="191"/>
        <v>0</v>
      </c>
      <c r="RDE6" s="88">
        <f t="shared" si="191"/>
        <v>0</v>
      </c>
      <c r="RDF6" s="88">
        <f t="shared" si="191"/>
        <v>0</v>
      </c>
      <c r="RDG6" s="88">
        <f t="shared" si="191"/>
        <v>0</v>
      </c>
      <c r="RDH6" s="88">
        <f t="shared" si="191"/>
        <v>0</v>
      </c>
      <c r="RDI6" s="88">
        <f t="shared" si="191"/>
        <v>0</v>
      </c>
      <c r="RDJ6" s="88">
        <f t="shared" si="191"/>
        <v>0</v>
      </c>
      <c r="RDK6" s="88">
        <f t="shared" si="191"/>
        <v>0</v>
      </c>
      <c r="RDL6" s="88">
        <f t="shared" si="191"/>
        <v>0</v>
      </c>
      <c r="RDM6" s="88">
        <f t="shared" si="191"/>
        <v>0</v>
      </c>
      <c r="RDN6" s="88">
        <f t="shared" si="191"/>
        <v>0</v>
      </c>
      <c r="RDO6" s="88">
        <f t="shared" si="191"/>
        <v>0</v>
      </c>
      <c r="RDP6" s="88">
        <f t="shared" si="191"/>
        <v>0</v>
      </c>
      <c r="RDQ6" s="88">
        <f t="shared" si="191"/>
        <v>0</v>
      </c>
      <c r="RDR6" s="88">
        <f t="shared" si="191"/>
        <v>0</v>
      </c>
      <c r="RDS6" s="88">
        <f t="shared" si="191"/>
        <v>0</v>
      </c>
      <c r="RDT6" s="88">
        <f t="shared" si="191"/>
        <v>0</v>
      </c>
      <c r="RDU6" s="88">
        <f t="shared" si="191"/>
        <v>0</v>
      </c>
      <c r="RDV6" s="88">
        <f t="shared" si="191"/>
        <v>0</v>
      </c>
      <c r="RDW6" s="88">
        <f t="shared" si="191"/>
        <v>0</v>
      </c>
      <c r="RDX6" s="88">
        <f t="shared" si="191"/>
        <v>0</v>
      </c>
      <c r="RDY6" s="88">
        <f t="shared" si="191"/>
        <v>0</v>
      </c>
      <c r="RDZ6" s="88">
        <f t="shared" si="191"/>
        <v>0</v>
      </c>
      <c r="REA6" s="88">
        <f t="shared" si="191"/>
        <v>0</v>
      </c>
      <c r="REB6" s="88">
        <f t="shared" ref="REB6:RGM6" si="192">SUM(REC3:REC5)</f>
        <v>0</v>
      </c>
      <c r="REC6" s="88">
        <f t="shared" si="192"/>
        <v>0</v>
      </c>
      <c r="RED6" s="88">
        <f t="shared" si="192"/>
        <v>0</v>
      </c>
      <c r="REE6" s="88">
        <f t="shared" si="192"/>
        <v>0</v>
      </c>
      <c r="REF6" s="88">
        <f t="shared" si="192"/>
        <v>0</v>
      </c>
      <c r="REG6" s="88">
        <f t="shared" si="192"/>
        <v>0</v>
      </c>
      <c r="REH6" s="88">
        <f t="shared" si="192"/>
        <v>0</v>
      </c>
      <c r="REI6" s="88">
        <f t="shared" si="192"/>
        <v>0</v>
      </c>
      <c r="REJ6" s="88">
        <f t="shared" si="192"/>
        <v>0</v>
      </c>
      <c r="REK6" s="88">
        <f t="shared" si="192"/>
        <v>0</v>
      </c>
      <c r="REL6" s="88">
        <f t="shared" si="192"/>
        <v>0</v>
      </c>
      <c r="REM6" s="88">
        <f t="shared" si="192"/>
        <v>0</v>
      </c>
      <c r="REN6" s="88">
        <f t="shared" si="192"/>
        <v>0</v>
      </c>
      <c r="REO6" s="88">
        <f t="shared" si="192"/>
        <v>0</v>
      </c>
      <c r="REP6" s="88">
        <f t="shared" si="192"/>
        <v>0</v>
      </c>
      <c r="REQ6" s="88">
        <f t="shared" si="192"/>
        <v>0</v>
      </c>
      <c r="RER6" s="88">
        <f t="shared" si="192"/>
        <v>0</v>
      </c>
      <c r="RES6" s="88">
        <f t="shared" si="192"/>
        <v>0</v>
      </c>
      <c r="RET6" s="88">
        <f t="shared" si="192"/>
        <v>0</v>
      </c>
      <c r="REU6" s="88">
        <f t="shared" si="192"/>
        <v>0</v>
      </c>
      <c r="REV6" s="88">
        <f t="shared" si="192"/>
        <v>0</v>
      </c>
      <c r="REW6" s="88">
        <f t="shared" si="192"/>
        <v>0</v>
      </c>
      <c r="REX6" s="88">
        <f t="shared" si="192"/>
        <v>0</v>
      </c>
      <c r="REY6" s="88">
        <f t="shared" si="192"/>
        <v>0</v>
      </c>
      <c r="REZ6" s="88">
        <f t="shared" si="192"/>
        <v>0</v>
      </c>
      <c r="RFA6" s="88">
        <f t="shared" si="192"/>
        <v>0</v>
      </c>
      <c r="RFB6" s="88">
        <f t="shared" si="192"/>
        <v>0</v>
      </c>
      <c r="RFC6" s="88">
        <f t="shared" si="192"/>
        <v>0</v>
      </c>
      <c r="RFD6" s="88">
        <f t="shared" si="192"/>
        <v>0</v>
      </c>
      <c r="RFE6" s="88">
        <f t="shared" si="192"/>
        <v>0</v>
      </c>
      <c r="RFF6" s="88">
        <f t="shared" si="192"/>
        <v>0</v>
      </c>
      <c r="RFG6" s="88">
        <f t="shared" si="192"/>
        <v>0</v>
      </c>
      <c r="RFH6" s="88">
        <f t="shared" si="192"/>
        <v>0</v>
      </c>
      <c r="RFI6" s="88">
        <f t="shared" si="192"/>
        <v>0</v>
      </c>
      <c r="RFJ6" s="88">
        <f t="shared" si="192"/>
        <v>0</v>
      </c>
      <c r="RFK6" s="88">
        <f t="shared" si="192"/>
        <v>0</v>
      </c>
      <c r="RFL6" s="88">
        <f t="shared" si="192"/>
        <v>0</v>
      </c>
      <c r="RFM6" s="88">
        <f t="shared" si="192"/>
        <v>0</v>
      </c>
      <c r="RFN6" s="88">
        <f t="shared" si="192"/>
        <v>0</v>
      </c>
      <c r="RFO6" s="88">
        <f t="shared" si="192"/>
        <v>0</v>
      </c>
      <c r="RFP6" s="88">
        <f t="shared" si="192"/>
        <v>0</v>
      </c>
      <c r="RFQ6" s="88">
        <f t="shared" si="192"/>
        <v>0</v>
      </c>
      <c r="RFR6" s="88">
        <f t="shared" si="192"/>
        <v>0</v>
      </c>
      <c r="RFS6" s="88">
        <f t="shared" si="192"/>
        <v>0</v>
      </c>
      <c r="RFT6" s="88">
        <f t="shared" si="192"/>
        <v>0</v>
      </c>
      <c r="RFU6" s="88">
        <f t="shared" si="192"/>
        <v>0</v>
      </c>
      <c r="RFV6" s="88">
        <f t="shared" si="192"/>
        <v>0</v>
      </c>
      <c r="RFW6" s="88">
        <f t="shared" si="192"/>
        <v>0</v>
      </c>
      <c r="RFX6" s="88">
        <f t="shared" si="192"/>
        <v>0</v>
      </c>
      <c r="RFY6" s="88">
        <f t="shared" si="192"/>
        <v>0</v>
      </c>
      <c r="RFZ6" s="88">
        <f t="shared" si="192"/>
        <v>0</v>
      </c>
      <c r="RGA6" s="88">
        <f t="shared" si="192"/>
        <v>0</v>
      </c>
      <c r="RGB6" s="88">
        <f t="shared" si="192"/>
        <v>0</v>
      </c>
      <c r="RGC6" s="88">
        <f t="shared" si="192"/>
        <v>0</v>
      </c>
      <c r="RGD6" s="88">
        <f t="shared" si="192"/>
        <v>0</v>
      </c>
      <c r="RGE6" s="88">
        <f t="shared" si="192"/>
        <v>0</v>
      </c>
      <c r="RGF6" s="88">
        <f t="shared" si="192"/>
        <v>0</v>
      </c>
      <c r="RGG6" s="88">
        <f t="shared" si="192"/>
        <v>0</v>
      </c>
      <c r="RGH6" s="88">
        <f t="shared" si="192"/>
        <v>0</v>
      </c>
      <c r="RGI6" s="88">
        <f t="shared" si="192"/>
        <v>0</v>
      </c>
      <c r="RGJ6" s="88">
        <f t="shared" si="192"/>
        <v>0</v>
      </c>
      <c r="RGK6" s="88">
        <f t="shared" si="192"/>
        <v>0</v>
      </c>
      <c r="RGL6" s="88">
        <f t="shared" si="192"/>
        <v>0</v>
      </c>
      <c r="RGM6" s="88">
        <f t="shared" si="192"/>
        <v>0</v>
      </c>
      <c r="RGN6" s="88">
        <f t="shared" ref="RGN6:RIY6" si="193">SUM(RGO3:RGO5)</f>
        <v>0</v>
      </c>
      <c r="RGO6" s="88">
        <f t="shared" si="193"/>
        <v>0</v>
      </c>
      <c r="RGP6" s="88">
        <f t="shared" si="193"/>
        <v>0</v>
      </c>
      <c r="RGQ6" s="88">
        <f t="shared" si="193"/>
        <v>0</v>
      </c>
      <c r="RGR6" s="88">
        <f t="shared" si="193"/>
        <v>0</v>
      </c>
      <c r="RGS6" s="88">
        <f t="shared" si="193"/>
        <v>0</v>
      </c>
      <c r="RGT6" s="88">
        <f t="shared" si="193"/>
        <v>0</v>
      </c>
      <c r="RGU6" s="88">
        <f t="shared" si="193"/>
        <v>0</v>
      </c>
      <c r="RGV6" s="88">
        <f t="shared" si="193"/>
        <v>0</v>
      </c>
      <c r="RGW6" s="88">
        <f t="shared" si="193"/>
        <v>0</v>
      </c>
      <c r="RGX6" s="88">
        <f t="shared" si="193"/>
        <v>0</v>
      </c>
      <c r="RGY6" s="88">
        <f t="shared" si="193"/>
        <v>0</v>
      </c>
      <c r="RGZ6" s="88">
        <f t="shared" si="193"/>
        <v>0</v>
      </c>
      <c r="RHA6" s="88">
        <f t="shared" si="193"/>
        <v>0</v>
      </c>
      <c r="RHB6" s="88">
        <f t="shared" si="193"/>
        <v>0</v>
      </c>
      <c r="RHC6" s="88">
        <f t="shared" si="193"/>
        <v>0</v>
      </c>
      <c r="RHD6" s="88">
        <f t="shared" si="193"/>
        <v>0</v>
      </c>
      <c r="RHE6" s="88">
        <f t="shared" si="193"/>
        <v>0</v>
      </c>
      <c r="RHF6" s="88">
        <f t="shared" si="193"/>
        <v>0</v>
      </c>
      <c r="RHG6" s="88">
        <f t="shared" si="193"/>
        <v>0</v>
      </c>
      <c r="RHH6" s="88">
        <f t="shared" si="193"/>
        <v>0</v>
      </c>
      <c r="RHI6" s="88">
        <f t="shared" si="193"/>
        <v>0</v>
      </c>
      <c r="RHJ6" s="88">
        <f t="shared" si="193"/>
        <v>0</v>
      </c>
      <c r="RHK6" s="88">
        <f t="shared" si="193"/>
        <v>0</v>
      </c>
      <c r="RHL6" s="88">
        <f t="shared" si="193"/>
        <v>0</v>
      </c>
      <c r="RHM6" s="88">
        <f t="shared" si="193"/>
        <v>0</v>
      </c>
      <c r="RHN6" s="88">
        <f t="shared" si="193"/>
        <v>0</v>
      </c>
      <c r="RHO6" s="88">
        <f t="shared" si="193"/>
        <v>0</v>
      </c>
      <c r="RHP6" s="88">
        <f t="shared" si="193"/>
        <v>0</v>
      </c>
      <c r="RHQ6" s="88">
        <f t="shared" si="193"/>
        <v>0</v>
      </c>
      <c r="RHR6" s="88">
        <f t="shared" si="193"/>
        <v>0</v>
      </c>
      <c r="RHS6" s="88">
        <f t="shared" si="193"/>
        <v>0</v>
      </c>
      <c r="RHT6" s="88">
        <f t="shared" si="193"/>
        <v>0</v>
      </c>
      <c r="RHU6" s="88">
        <f t="shared" si="193"/>
        <v>0</v>
      </c>
      <c r="RHV6" s="88">
        <f t="shared" si="193"/>
        <v>0</v>
      </c>
      <c r="RHW6" s="88">
        <f t="shared" si="193"/>
        <v>0</v>
      </c>
      <c r="RHX6" s="88">
        <f t="shared" si="193"/>
        <v>0</v>
      </c>
      <c r="RHY6" s="88">
        <f t="shared" si="193"/>
        <v>0</v>
      </c>
      <c r="RHZ6" s="88">
        <f t="shared" si="193"/>
        <v>0</v>
      </c>
      <c r="RIA6" s="88">
        <f t="shared" si="193"/>
        <v>0</v>
      </c>
      <c r="RIB6" s="88">
        <f t="shared" si="193"/>
        <v>0</v>
      </c>
      <c r="RIC6" s="88">
        <f t="shared" si="193"/>
        <v>0</v>
      </c>
      <c r="RID6" s="88">
        <f t="shared" si="193"/>
        <v>0</v>
      </c>
      <c r="RIE6" s="88">
        <f t="shared" si="193"/>
        <v>0</v>
      </c>
      <c r="RIF6" s="88">
        <f t="shared" si="193"/>
        <v>0</v>
      </c>
      <c r="RIG6" s="88">
        <f t="shared" si="193"/>
        <v>0</v>
      </c>
      <c r="RIH6" s="88">
        <f t="shared" si="193"/>
        <v>0</v>
      </c>
      <c r="RII6" s="88">
        <f t="shared" si="193"/>
        <v>0</v>
      </c>
      <c r="RIJ6" s="88">
        <f t="shared" si="193"/>
        <v>0</v>
      </c>
      <c r="RIK6" s="88">
        <f t="shared" si="193"/>
        <v>0</v>
      </c>
      <c r="RIL6" s="88">
        <f t="shared" si="193"/>
        <v>0</v>
      </c>
      <c r="RIM6" s="88">
        <f t="shared" si="193"/>
        <v>0</v>
      </c>
      <c r="RIN6" s="88">
        <f t="shared" si="193"/>
        <v>0</v>
      </c>
      <c r="RIO6" s="88">
        <f t="shared" si="193"/>
        <v>0</v>
      </c>
      <c r="RIP6" s="88">
        <f t="shared" si="193"/>
        <v>0</v>
      </c>
      <c r="RIQ6" s="88">
        <f t="shared" si="193"/>
        <v>0</v>
      </c>
      <c r="RIR6" s="88">
        <f t="shared" si="193"/>
        <v>0</v>
      </c>
      <c r="RIS6" s="88">
        <f t="shared" si="193"/>
        <v>0</v>
      </c>
      <c r="RIT6" s="88">
        <f t="shared" si="193"/>
        <v>0</v>
      </c>
      <c r="RIU6" s="88">
        <f t="shared" si="193"/>
        <v>0</v>
      </c>
      <c r="RIV6" s="88">
        <f t="shared" si="193"/>
        <v>0</v>
      </c>
      <c r="RIW6" s="88">
        <f t="shared" si="193"/>
        <v>0</v>
      </c>
      <c r="RIX6" s="88">
        <f t="shared" si="193"/>
        <v>0</v>
      </c>
      <c r="RIY6" s="88">
        <f t="shared" si="193"/>
        <v>0</v>
      </c>
      <c r="RIZ6" s="88">
        <f t="shared" ref="RIZ6:RLK6" si="194">SUM(RJA3:RJA5)</f>
        <v>0</v>
      </c>
      <c r="RJA6" s="88">
        <f t="shared" si="194"/>
        <v>0</v>
      </c>
      <c r="RJB6" s="88">
        <f t="shared" si="194"/>
        <v>0</v>
      </c>
      <c r="RJC6" s="88">
        <f t="shared" si="194"/>
        <v>0</v>
      </c>
      <c r="RJD6" s="88">
        <f t="shared" si="194"/>
        <v>0</v>
      </c>
      <c r="RJE6" s="88">
        <f t="shared" si="194"/>
        <v>0</v>
      </c>
      <c r="RJF6" s="88">
        <f t="shared" si="194"/>
        <v>0</v>
      </c>
      <c r="RJG6" s="88">
        <f t="shared" si="194"/>
        <v>0</v>
      </c>
      <c r="RJH6" s="88">
        <f t="shared" si="194"/>
        <v>0</v>
      </c>
      <c r="RJI6" s="88">
        <f t="shared" si="194"/>
        <v>0</v>
      </c>
      <c r="RJJ6" s="88">
        <f t="shared" si="194"/>
        <v>0</v>
      </c>
      <c r="RJK6" s="88">
        <f t="shared" si="194"/>
        <v>0</v>
      </c>
      <c r="RJL6" s="88">
        <f t="shared" si="194"/>
        <v>0</v>
      </c>
      <c r="RJM6" s="88">
        <f t="shared" si="194"/>
        <v>0</v>
      </c>
      <c r="RJN6" s="88">
        <f t="shared" si="194"/>
        <v>0</v>
      </c>
      <c r="RJO6" s="88">
        <f t="shared" si="194"/>
        <v>0</v>
      </c>
      <c r="RJP6" s="88">
        <f t="shared" si="194"/>
        <v>0</v>
      </c>
      <c r="RJQ6" s="88">
        <f t="shared" si="194"/>
        <v>0</v>
      </c>
      <c r="RJR6" s="88">
        <f t="shared" si="194"/>
        <v>0</v>
      </c>
      <c r="RJS6" s="88">
        <f t="shared" si="194"/>
        <v>0</v>
      </c>
      <c r="RJT6" s="88">
        <f t="shared" si="194"/>
        <v>0</v>
      </c>
      <c r="RJU6" s="88">
        <f t="shared" si="194"/>
        <v>0</v>
      </c>
      <c r="RJV6" s="88">
        <f t="shared" si="194"/>
        <v>0</v>
      </c>
      <c r="RJW6" s="88">
        <f t="shared" si="194"/>
        <v>0</v>
      </c>
      <c r="RJX6" s="88">
        <f t="shared" si="194"/>
        <v>0</v>
      </c>
      <c r="RJY6" s="88">
        <f t="shared" si="194"/>
        <v>0</v>
      </c>
      <c r="RJZ6" s="88">
        <f t="shared" si="194"/>
        <v>0</v>
      </c>
      <c r="RKA6" s="88">
        <f t="shared" si="194"/>
        <v>0</v>
      </c>
      <c r="RKB6" s="88">
        <f t="shared" si="194"/>
        <v>0</v>
      </c>
      <c r="RKC6" s="88">
        <f t="shared" si="194"/>
        <v>0</v>
      </c>
      <c r="RKD6" s="88">
        <f t="shared" si="194"/>
        <v>0</v>
      </c>
      <c r="RKE6" s="88">
        <f t="shared" si="194"/>
        <v>0</v>
      </c>
      <c r="RKF6" s="88">
        <f t="shared" si="194"/>
        <v>0</v>
      </c>
      <c r="RKG6" s="88">
        <f t="shared" si="194"/>
        <v>0</v>
      </c>
      <c r="RKH6" s="88">
        <f t="shared" si="194"/>
        <v>0</v>
      </c>
      <c r="RKI6" s="88">
        <f t="shared" si="194"/>
        <v>0</v>
      </c>
      <c r="RKJ6" s="88">
        <f t="shared" si="194"/>
        <v>0</v>
      </c>
      <c r="RKK6" s="88">
        <f t="shared" si="194"/>
        <v>0</v>
      </c>
      <c r="RKL6" s="88">
        <f t="shared" si="194"/>
        <v>0</v>
      </c>
      <c r="RKM6" s="88">
        <f t="shared" si="194"/>
        <v>0</v>
      </c>
      <c r="RKN6" s="88">
        <f t="shared" si="194"/>
        <v>0</v>
      </c>
      <c r="RKO6" s="88">
        <f t="shared" si="194"/>
        <v>0</v>
      </c>
      <c r="RKP6" s="88">
        <f t="shared" si="194"/>
        <v>0</v>
      </c>
      <c r="RKQ6" s="88">
        <f t="shared" si="194"/>
        <v>0</v>
      </c>
      <c r="RKR6" s="88">
        <f t="shared" si="194"/>
        <v>0</v>
      </c>
      <c r="RKS6" s="88">
        <f t="shared" si="194"/>
        <v>0</v>
      </c>
      <c r="RKT6" s="88">
        <f t="shared" si="194"/>
        <v>0</v>
      </c>
      <c r="RKU6" s="88">
        <f t="shared" si="194"/>
        <v>0</v>
      </c>
      <c r="RKV6" s="88">
        <f t="shared" si="194"/>
        <v>0</v>
      </c>
      <c r="RKW6" s="88">
        <f t="shared" si="194"/>
        <v>0</v>
      </c>
      <c r="RKX6" s="88">
        <f t="shared" si="194"/>
        <v>0</v>
      </c>
      <c r="RKY6" s="88">
        <f t="shared" si="194"/>
        <v>0</v>
      </c>
      <c r="RKZ6" s="88">
        <f t="shared" si="194"/>
        <v>0</v>
      </c>
      <c r="RLA6" s="88">
        <f t="shared" si="194"/>
        <v>0</v>
      </c>
      <c r="RLB6" s="88">
        <f t="shared" si="194"/>
        <v>0</v>
      </c>
      <c r="RLC6" s="88">
        <f t="shared" si="194"/>
        <v>0</v>
      </c>
      <c r="RLD6" s="88">
        <f t="shared" si="194"/>
        <v>0</v>
      </c>
      <c r="RLE6" s="88">
        <f t="shared" si="194"/>
        <v>0</v>
      </c>
      <c r="RLF6" s="88">
        <f t="shared" si="194"/>
        <v>0</v>
      </c>
      <c r="RLG6" s="88">
        <f t="shared" si="194"/>
        <v>0</v>
      </c>
      <c r="RLH6" s="88">
        <f t="shared" si="194"/>
        <v>0</v>
      </c>
      <c r="RLI6" s="88">
        <f t="shared" si="194"/>
        <v>0</v>
      </c>
      <c r="RLJ6" s="88">
        <f t="shared" si="194"/>
        <v>0</v>
      </c>
      <c r="RLK6" s="88">
        <f t="shared" si="194"/>
        <v>0</v>
      </c>
      <c r="RLL6" s="88">
        <f t="shared" ref="RLL6:RNW6" si="195">SUM(RLM3:RLM5)</f>
        <v>0</v>
      </c>
      <c r="RLM6" s="88">
        <f t="shared" si="195"/>
        <v>0</v>
      </c>
      <c r="RLN6" s="88">
        <f t="shared" si="195"/>
        <v>0</v>
      </c>
      <c r="RLO6" s="88">
        <f t="shared" si="195"/>
        <v>0</v>
      </c>
      <c r="RLP6" s="88">
        <f t="shared" si="195"/>
        <v>0</v>
      </c>
      <c r="RLQ6" s="88">
        <f t="shared" si="195"/>
        <v>0</v>
      </c>
      <c r="RLR6" s="88">
        <f t="shared" si="195"/>
        <v>0</v>
      </c>
      <c r="RLS6" s="88">
        <f t="shared" si="195"/>
        <v>0</v>
      </c>
      <c r="RLT6" s="88">
        <f t="shared" si="195"/>
        <v>0</v>
      </c>
      <c r="RLU6" s="88">
        <f t="shared" si="195"/>
        <v>0</v>
      </c>
      <c r="RLV6" s="88">
        <f t="shared" si="195"/>
        <v>0</v>
      </c>
      <c r="RLW6" s="88">
        <f t="shared" si="195"/>
        <v>0</v>
      </c>
      <c r="RLX6" s="88">
        <f t="shared" si="195"/>
        <v>0</v>
      </c>
      <c r="RLY6" s="88">
        <f t="shared" si="195"/>
        <v>0</v>
      </c>
      <c r="RLZ6" s="88">
        <f t="shared" si="195"/>
        <v>0</v>
      </c>
      <c r="RMA6" s="88">
        <f t="shared" si="195"/>
        <v>0</v>
      </c>
      <c r="RMB6" s="88">
        <f t="shared" si="195"/>
        <v>0</v>
      </c>
      <c r="RMC6" s="88">
        <f t="shared" si="195"/>
        <v>0</v>
      </c>
      <c r="RMD6" s="88">
        <f t="shared" si="195"/>
        <v>0</v>
      </c>
      <c r="RME6" s="88">
        <f t="shared" si="195"/>
        <v>0</v>
      </c>
      <c r="RMF6" s="88">
        <f t="shared" si="195"/>
        <v>0</v>
      </c>
      <c r="RMG6" s="88">
        <f t="shared" si="195"/>
        <v>0</v>
      </c>
      <c r="RMH6" s="88">
        <f t="shared" si="195"/>
        <v>0</v>
      </c>
      <c r="RMI6" s="88">
        <f t="shared" si="195"/>
        <v>0</v>
      </c>
      <c r="RMJ6" s="88">
        <f t="shared" si="195"/>
        <v>0</v>
      </c>
      <c r="RMK6" s="88">
        <f t="shared" si="195"/>
        <v>0</v>
      </c>
      <c r="RML6" s="88">
        <f t="shared" si="195"/>
        <v>0</v>
      </c>
      <c r="RMM6" s="88">
        <f t="shared" si="195"/>
        <v>0</v>
      </c>
      <c r="RMN6" s="88">
        <f t="shared" si="195"/>
        <v>0</v>
      </c>
      <c r="RMO6" s="88">
        <f t="shared" si="195"/>
        <v>0</v>
      </c>
      <c r="RMP6" s="88">
        <f t="shared" si="195"/>
        <v>0</v>
      </c>
      <c r="RMQ6" s="88">
        <f t="shared" si="195"/>
        <v>0</v>
      </c>
      <c r="RMR6" s="88">
        <f t="shared" si="195"/>
        <v>0</v>
      </c>
      <c r="RMS6" s="88">
        <f t="shared" si="195"/>
        <v>0</v>
      </c>
      <c r="RMT6" s="88">
        <f t="shared" si="195"/>
        <v>0</v>
      </c>
      <c r="RMU6" s="88">
        <f t="shared" si="195"/>
        <v>0</v>
      </c>
      <c r="RMV6" s="88">
        <f t="shared" si="195"/>
        <v>0</v>
      </c>
      <c r="RMW6" s="88">
        <f t="shared" si="195"/>
        <v>0</v>
      </c>
      <c r="RMX6" s="88">
        <f t="shared" si="195"/>
        <v>0</v>
      </c>
      <c r="RMY6" s="88">
        <f t="shared" si="195"/>
        <v>0</v>
      </c>
      <c r="RMZ6" s="88">
        <f t="shared" si="195"/>
        <v>0</v>
      </c>
      <c r="RNA6" s="88">
        <f t="shared" si="195"/>
        <v>0</v>
      </c>
      <c r="RNB6" s="88">
        <f t="shared" si="195"/>
        <v>0</v>
      </c>
      <c r="RNC6" s="88">
        <f t="shared" si="195"/>
        <v>0</v>
      </c>
      <c r="RND6" s="88">
        <f t="shared" si="195"/>
        <v>0</v>
      </c>
      <c r="RNE6" s="88">
        <f t="shared" si="195"/>
        <v>0</v>
      </c>
      <c r="RNF6" s="88">
        <f t="shared" si="195"/>
        <v>0</v>
      </c>
      <c r="RNG6" s="88">
        <f t="shared" si="195"/>
        <v>0</v>
      </c>
      <c r="RNH6" s="88">
        <f t="shared" si="195"/>
        <v>0</v>
      </c>
      <c r="RNI6" s="88">
        <f t="shared" si="195"/>
        <v>0</v>
      </c>
      <c r="RNJ6" s="88">
        <f t="shared" si="195"/>
        <v>0</v>
      </c>
      <c r="RNK6" s="88">
        <f t="shared" si="195"/>
        <v>0</v>
      </c>
      <c r="RNL6" s="88">
        <f t="shared" si="195"/>
        <v>0</v>
      </c>
      <c r="RNM6" s="88">
        <f t="shared" si="195"/>
        <v>0</v>
      </c>
      <c r="RNN6" s="88">
        <f t="shared" si="195"/>
        <v>0</v>
      </c>
      <c r="RNO6" s="88">
        <f t="shared" si="195"/>
        <v>0</v>
      </c>
      <c r="RNP6" s="88">
        <f t="shared" si="195"/>
        <v>0</v>
      </c>
      <c r="RNQ6" s="88">
        <f t="shared" si="195"/>
        <v>0</v>
      </c>
      <c r="RNR6" s="88">
        <f t="shared" si="195"/>
        <v>0</v>
      </c>
      <c r="RNS6" s="88">
        <f t="shared" si="195"/>
        <v>0</v>
      </c>
      <c r="RNT6" s="88">
        <f t="shared" si="195"/>
        <v>0</v>
      </c>
      <c r="RNU6" s="88">
        <f t="shared" si="195"/>
        <v>0</v>
      </c>
      <c r="RNV6" s="88">
        <f t="shared" si="195"/>
        <v>0</v>
      </c>
      <c r="RNW6" s="88">
        <f t="shared" si="195"/>
        <v>0</v>
      </c>
      <c r="RNX6" s="88">
        <f t="shared" ref="RNX6:RQI6" si="196">SUM(RNY3:RNY5)</f>
        <v>0</v>
      </c>
      <c r="RNY6" s="88">
        <f t="shared" si="196"/>
        <v>0</v>
      </c>
      <c r="RNZ6" s="88">
        <f t="shared" si="196"/>
        <v>0</v>
      </c>
      <c r="ROA6" s="88">
        <f t="shared" si="196"/>
        <v>0</v>
      </c>
      <c r="ROB6" s="88">
        <f t="shared" si="196"/>
        <v>0</v>
      </c>
      <c r="ROC6" s="88">
        <f t="shared" si="196"/>
        <v>0</v>
      </c>
      <c r="ROD6" s="88">
        <f t="shared" si="196"/>
        <v>0</v>
      </c>
      <c r="ROE6" s="88">
        <f t="shared" si="196"/>
        <v>0</v>
      </c>
      <c r="ROF6" s="88">
        <f t="shared" si="196"/>
        <v>0</v>
      </c>
      <c r="ROG6" s="88">
        <f t="shared" si="196"/>
        <v>0</v>
      </c>
      <c r="ROH6" s="88">
        <f t="shared" si="196"/>
        <v>0</v>
      </c>
      <c r="ROI6" s="88">
        <f t="shared" si="196"/>
        <v>0</v>
      </c>
      <c r="ROJ6" s="88">
        <f t="shared" si="196"/>
        <v>0</v>
      </c>
      <c r="ROK6" s="88">
        <f t="shared" si="196"/>
        <v>0</v>
      </c>
      <c r="ROL6" s="88">
        <f t="shared" si="196"/>
        <v>0</v>
      </c>
      <c r="ROM6" s="88">
        <f t="shared" si="196"/>
        <v>0</v>
      </c>
      <c r="RON6" s="88">
        <f t="shared" si="196"/>
        <v>0</v>
      </c>
      <c r="ROO6" s="88">
        <f t="shared" si="196"/>
        <v>0</v>
      </c>
      <c r="ROP6" s="88">
        <f t="shared" si="196"/>
        <v>0</v>
      </c>
      <c r="ROQ6" s="88">
        <f t="shared" si="196"/>
        <v>0</v>
      </c>
      <c r="ROR6" s="88">
        <f t="shared" si="196"/>
        <v>0</v>
      </c>
      <c r="ROS6" s="88">
        <f t="shared" si="196"/>
        <v>0</v>
      </c>
      <c r="ROT6" s="88">
        <f t="shared" si="196"/>
        <v>0</v>
      </c>
      <c r="ROU6" s="88">
        <f t="shared" si="196"/>
        <v>0</v>
      </c>
      <c r="ROV6" s="88">
        <f t="shared" si="196"/>
        <v>0</v>
      </c>
      <c r="ROW6" s="88">
        <f t="shared" si="196"/>
        <v>0</v>
      </c>
      <c r="ROX6" s="88">
        <f t="shared" si="196"/>
        <v>0</v>
      </c>
      <c r="ROY6" s="88">
        <f t="shared" si="196"/>
        <v>0</v>
      </c>
      <c r="ROZ6" s="88">
        <f t="shared" si="196"/>
        <v>0</v>
      </c>
      <c r="RPA6" s="88">
        <f t="shared" si="196"/>
        <v>0</v>
      </c>
      <c r="RPB6" s="88">
        <f t="shared" si="196"/>
        <v>0</v>
      </c>
      <c r="RPC6" s="88">
        <f t="shared" si="196"/>
        <v>0</v>
      </c>
      <c r="RPD6" s="88">
        <f t="shared" si="196"/>
        <v>0</v>
      </c>
      <c r="RPE6" s="88">
        <f t="shared" si="196"/>
        <v>0</v>
      </c>
      <c r="RPF6" s="88">
        <f t="shared" si="196"/>
        <v>0</v>
      </c>
      <c r="RPG6" s="88">
        <f t="shared" si="196"/>
        <v>0</v>
      </c>
      <c r="RPH6" s="88">
        <f t="shared" si="196"/>
        <v>0</v>
      </c>
      <c r="RPI6" s="88">
        <f t="shared" si="196"/>
        <v>0</v>
      </c>
      <c r="RPJ6" s="88">
        <f t="shared" si="196"/>
        <v>0</v>
      </c>
      <c r="RPK6" s="88">
        <f t="shared" si="196"/>
        <v>0</v>
      </c>
      <c r="RPL6" s="88">
        <f t="shared" si="196"/>
        <v>0</v>
      </c>
      <c r="RPM6" s="88">
        <f t="shared" si="196"/>
        <v>0</v>
      </c>
      <c r="RPN6" s="88">
        <f t="shared" si="196"/>
        <v>0</v>
      </c>
      <c r="RPO6" s="88">
        <f t="shared" si="196"/>
        <v>0</v>
      </c>
      <c r="RPP6" s="88">
        <f t="shared" si="196"/>
        <v>0</v>
      </c>
      <c r="RPQ6" s="88">
        <f t="shared" si="196"/>
        <v>0</v>
      </c>
      <c r="RPR6" s="88">
        <f t="shared" si="196"/>
        <v>0</v>
      </c>
      <c r="RPS6" s="88">
        <f t="shared" si="196"/>
        <v>0</v>
      </c>
      <c r="RPT6" s="88">
        <f t="shared" si="196"/>
        <v>0</v>
      </c>
      <c r="RPU6" s="88">
        <f t="shared" si="196"/>
        <v>0</v>
      </c>
      <c r="RPV6" s="88">
        <f t="shared" si="196"/>
        <v>0</v>
      </c>
      <c r="RPW6" s="88">
        <f t="shared" si="196"/>
        <v>0</v>
      </c>
      <c r="RPX6" s="88">
        <f t="shared" si="196"/>
        <v>0</v>
      </c>
      <c r="RPY6" s="88">
        <f t="shared" si="196"/>
        <v>0</v>
      </c>
      <c r="RPZ6" s="88">
        <f t="shared" si="196"/>
        <v>0</v>
      </c>
      <c r="RQA6" s="88">
        <f t="shared" si="196"/>
        <v>0</v>
      </c>
      <c r="RQB6" s="88">
        <f t="shared" si="196"/>
        <v>0</v>
      </c>
      <c r="RQC6" s="88">
        <f t="shared" si="196"/>
        <v>0</v>
      </c>
      <c r="RQD6" s="88">
        <f t="shared" si="196"/>
        <v>0</v>
      </c>
      <c r="RQE6" s="88">
        <f t="shared" si="196"/>
        <v>0</v>
      </c>
      <c r="RQF6" s="88">
        <f t="shared" si="196"/>
        <v>0</v>
      </c>
      <c r="RQG6" s="88">
        <f t="shared" si="196"/>
        <v>0</v>
      </c>
      <c r="RQH6" s="88">
        <f t="shared" si="196"/>
        <v>0</v>
      </c>
      <c r="RQI6" s="88">
        <f t="shared" si="196"/>
        <v>0</v>
      </c>
      <c r="RQJ6" s="88">
        <f t="shared" ref="RQJ6:RSU6" si="197">SUM(RQK3:RQK5)</f>
        <v>0</v>
      </c>
      <c r="RQK6" s="88">
        <f t="shared" si="197"/>
        <v>0</v>
      </c>
      <c r="RQL6" s="88">
        <f t="shared" si="197"/>
        <v>0</v>
      </c>
      <c r="RQM6" s="88">
        <f t="shared" si="197"/>
        <v>0</v>
      </c>
      <c r="RQN6" s="88">
        <f t="shared" si="197"/>
        <v>0</v>
      </c>
      <c r="RQO6" s="88">
        <f t="shared" si="197"/>
        <v>0</v>
      </c>
      <c r="RQP6" s="88">
        <f t="shared" si="197"/>
        <v>0</v>
      </c>
      <c r="RQQ6" s="88">
        <f t="shared" si="197"/>
        <v>0</v>
      </c>
      <c r="RQR6" s="88">
        <f t="shared" si="197"/>
        <v>0</v>
      </c>
      <c r="RQS6" s="88">
        <f t="shared" si="197"/>
        <v>0</v>
      </c>
      <c r="RQT6" s="88">
        <f t="shared" si="197"/>
        <v>0</v>
      </c>
      <c r="RQU6" s="88">
        <f t="shared" si="197"/>
        <v>0</v>
      </c>
      <c r="RQV6" s="88">
        <f t="shared" si="197"/>
        <v>0</v>
      </c>
      <c r="RQW6" s="88">
        <f t="shared" si="197"/>
        <v>0</v>
      </c>
      <c r="RQX6" s="88">
        <f t="shared" si="197"/>
        <v>0</v>
      </c>
      <c r="RQY6" s="88">
        <f t="shared" si="197"/>
        <v>0</v>
      </c>
      <c r="RQZ6" s="88">
        <f t="shared" si="197"/>
        <v>0</v>
      </c>
      <c r="RRA6" s="88">
        <f t="shared" si="197"/>
        <v>0</v>
      </c>
      <c r="RRB6" s="88">
        <f t="shared" si="197"/>
        <v>0</v>
      </c>
      <c r="RRC6" s="88">
        <f t="shared" si="197"/>
        <v>0</v>
      </c>
      <c r="RRD6" s="88">
        <f t="shared" si="197"/>
        <v>0</v>
      </c>
      <c r="RRE6" s="88">
        <f t="shared" si="197"/>
        <v>0</v>
      </c>
      <c r="RRF6" s="88">
        <f t="shared" si="197"/>
        <v>0</v>
      </c>
      <c r="RRG6" s="88">
        <f t="shared" si="197"/>
        <v>0</v>
      </c>
      <c r="RRH6" s="88">
        <f t="shared" si="197"/>
        <v>0</v>
      </c>
      <c r="RRI6" s="88">
        <f t="shared" si="197"/>
        <v>0</v>
      </c>
      <c r="RRJ6" s="88">
        <f t="shared" si="197"/>
        <v>0</v>
      </c>
      <c r="RRK6" s="88">
        <f t="shared" si="197"/>
        <v>0</v>
      </c>
      <c r="RRL6" s="88">
        <f t="shared" si="197"/>
        <v>0</v>
      </c>
      <c r="RRM6" s="88">
        <f t="shared" si="197"/>
        <v>0</v>
      </c>
      <c r="RRN6" s="88">
        <f t="shared" si="197"/>
        <v>0</v>
      </c>
      <c r="RRO6" s="88">
        <f t="shared" si="197"/>
        <v>0</v>
      </c>
      <c r="RRP6" s="88">
        <f t="shared" si="197"/>
        <v>0</v>
      </c>
      <c r="RRQ6" s="88">
        <f t="shared" si="197"/>
        <v>0</v>
      </c>
      <c r="RRR6" s="88">
        <f t="shared" si="197"/>
        <v>0</v>
      </c>
      <c r="RRS6" s="88">
        <f t="shared" si="197"/>
        <v>0</v>
      </c>
      <c r="RRT6" s="88">
        <f t="shared" si="197"/>
        <v>0</v>
      </c>
      <c r="RRU6" s="88">
        <f t="shared" si="197"/>
        <v>0</v>
      </c>
      <c r="RRV6" s="88">
        <f t="shared" si="197"/>
        <v>0</v>
      </c>
      <c r="RRW6" s="88">
        <f t="shared" si="197"/>
        <v>0</v>
      </c>
      <c r="RRX6" s="88">
        <f t="shared" si="197"/>
        <v>0</v>
      </c>
      <c r="RRY6" s="88">
        <f t="shared" si="197"/>
        <v>0</v>
      </c>
      <c r="RRZ6" s="88">
        <f t="shared" si="197"/>
        <v>0</v>
      </c>
      <c r="RSA6" s="88">
        <f t="shared" si="197"/>
        <v>0</v>
      </c>
      <c r="RSB6" s="88">
        <f t="shared" si="197"/>
        <v>0</v>
      </c>
      <c r="RSC6" s="88">
        <f t="shared" si="197"/>
        <v>0</v>
      </c>
      <c r="RSD6" s="88">
        <f t="shared" si="197"/>
        <v>0</v>
      </c>
      <c r="RSE6" s="88">
        <f t="shared" si="197"/>
        <v>0</v>
      </c>
      <c r="RSF6" s="88">
        <f t="shared" si="197"/>
        <v>0</v>
      </c>
      <c r="RSG6" s="88">
        <f t="shared" si="197"/>
        <v>0</v>
      </c>
      <c r="RSH6" s="88">
        <f t="shared" si="197"/>
        <v>0</v>
      </c>
      <c r="RSI6" s="88">
        <f t="shared" si="197"/>
        <v>0</v>
      </c>
      <c r="RSJ6" s="88">
        <f t="shared" si="197"/>
        <v>0</v>
      </c>
      <c r="RSK6" s="88">
        <f t="shared" si="197"/>
        <v>0</v>
      </c>
      <c r="RSL6" s="88">
        <f t="shared" si="197"/>
        <v>0</v>
      </c>
      <c r="RSM6" s="88">
        <f t="shared" si="197"/>
        <v>0</v>
      </c>
      <c r="RSN6" s="88">
        <f t="shared" si="197"/>
        <v>0</v>
      </c>
      <c r="RSO6" s="88">
        <f t="shared" si="197"/>
        <v>0</v>
      </c>
      <c r="RSP6" s="88">
        <f t="shared" si="197"/>
        <v>0</v>
      </c>
      <c r="RSQ6" s="88">
        <f t="shared" si="197"/>
        <v>0</v>
      </c>
      <c r="RSR6" s="88">
        <f t="shared" si="197"/>
        <v>0</v>
      </c>
      <c r="RSS6" s="88">
        <f t="shared" si="197"/>
        <v>0</v>
      </c>
      <c r="RST6" s="88">
        <f t="shared" si="197"/>
        <v>0</v>
      </c>
      <c r="RSU6" s="88">
        <f t="shared" si="197"/>
        <v>0</v>
      </c>
      <c r="RSV6" s="88">
        <f t="shared" ref="RSV6:RVG6" si="198">SUM(RSW3:RSW5)</f>
        <v>0</v>
      </c>
      <c r="RSW6" s="88">
        <f t="shared" si="198"/>
        <v>0</v>
      </c>
      <c r="RSX6" s="88">
        <f t="shared" si="198"/>
        <v>0</v>
      </c>
      <c r="RSY6" s="88">
        <f t="shared" si="198"/>
        <v>0</v>
      </c>
      <c r="RSZ6" s="88">
        <f t="shared" si="198"/>
        <v>0</v>
      </c>
      <c r="RTA6" s="88">
        <f t="shared" si="198"/>
        <v>0</v>
      </c>
      <c r="RTB6" s="88">
        <f t="shared" si="198"/>
        <v>0</v>
      </c>
      <c r="RTC6" s="88">
        <f t="shared" si="198"/>
        <v>0</v>
      </c>
      <c r="RTD6" s="88">
        <f t="shared" si="198"/>
        <v>0</v>
      </c>
      <c r="RTE6" s="88">
        <f t="shared" si="198"/>
        <v>0</v>
      </c>
      <c r="RTF6" s="88">
        <f t="shared" si="198"/>
        <v>0</v>
      </c>
      <c r="RTG6" s="88">
        <f t="shared" si="198"/>
        <v>0</v>
      </c>
      <c r="RTH6" s="88">
        <f t="shared" si="198"/>
        <v>0</v>
      </c>
      <c r="RTI6" s="88">
        <f t="shared" si="198"/>
        <v>0</v>
      </c>
      <c r="RTJ6" s="88">
        <f t="shared" si="198"/>
        <v>0</v>
      </c>
      <c r="RTK6" s="88">
        <f t="shared" si="198"/>
        <v>0</v>
      </c>
      <c r="RTL6" s="88">
        <f t="shared" si="198"/>
        <v>0</v>
      </c>
      <c r="RTM6" s="88">
        <f t="shared" si="198"/>
        <v>0</v>
      </c>
      <c r="RTN6" s="88">
        <f t="shared" si="198"/>
        <v>0</v>
      </c>
      <c r="RTO6" s="88">
        <f t="shared" si="198"/>
        <v>0</v>
      </c>
      <c r="RTP6" s="88">
        <f t="shared" si="198"/>
        <v>0</v>
      </c>
      <c r="RTQ6" s="88">
        <f t="shared" si="198"/>
        <v>0</v>
      </c>
      <c r="RTR6" s="88">
        <f t="shared" si="198"/>
        <v>0</v>
      </c>
      <c r="RTS6" s="88">
        <f t="shared" si="198"/>
        <v>0</v>
      </c>
      <c r="RTT6" s="88">
        <f t="shared" si="198"/>
        <v>0</v>
      </c>
      <c r="RTU6" s="88">
        <f t="shared" si="198"/>
        <v>0</v>
      </c>
      <c r="RTV6" s="88">
        <f t="shared" si="198"/>
        <v>0</v>
      </c>
      <c r="RTW6" s="88">
        <f t="shared" si="198"/>
        <v>0</v>
      </c>
      <c r="RTX6" s="88">
        <f t="shared" si="198"/>
        <v>0</v>
      </c>
      <c r="RTY6" s="88">
        <f t="shared" si="198"/>
        <v>0</v>
      </c>
      <c r="RTZ6" s="88">
        <f t="shared" si="198"/>
        <v>0</v>
      </c>
      <c r="RUA6" s="88">
        <f t="shared" si="198"/>
        <v>0</v>
      </c>
      <c r="RUB6" s="88">
        <f t="shared" si="198"/>
        <v>0</v>
      </c>
      <c r="RUC6" s="88">
        <f t="shared" si="198"/>
        <v>0</v>
      </c>
      <c r="RUD6" s="88">
        <f t="shared" si="198"/>
        <v>0</v>
      </c>
      <c r="RUE6" s="88">
        <f t="shared" si="198"/>
        <v>0</v>
      </c>
      <c r="RUF6" s="88">
        <f t="shared" si="198"/>
        <v>0</v>
      </c>
      <c r="RUG6" s="88">
        <f t="shared" si="198"/>
        <v>0</v>
      </c>
      <c r="RUH6" s="88">
        <f t="shared" si="198"/>
        <v>0</v>
      </c>
      <c r="RUI6" s="88">
        <f t="shared" si="198"/>
        <v>0</v>
      </c>
      <c r="RUJ6" s="88">
        <f t="shared" si="198"/>
        <v>0</v>
      </c>
      <c r="RUK6" s="88">
        <f t="shared" si="198"/>
        <v>0</v>
      </c>
      <c r="RUL6" s="88">
        <f t="shared" si="198"/>
        <v>0</v>
      </c>
      <c r="RUM6" s="88">
        <f t="shared" si="198"/>
        <v>0</v>
      </c>
      <c r="RUN6" s="88">
        <f t="shared" si="198"/>
        <v>0</v>
      </c>
      <c r="RUO6" s="88">
        <f t="shared" si="198"/>
        <v>0</v>
      </c>
      <c r="RUP6" s="88">
        <f t="shared" si="198"/>
        <v>0</v>
      </c>
      <c r="RUQ6" s="88">
        <f t="shared" si="198"/>
        <v>0</v>
      </c>
      <c r="RUR6" s="88">
        <f t="shared" si="198"/>
        <v>0</v>
      </c>
      <c r="RUS6" s="88">
        <f t="shared" si="198"/>
        <v>0</v>
      </c>
      <c r="RUT6" s="88">
        <f t="shared" si="198"/>
        <v>0</v>
      </c>
      <c r="RUU6" s="88">
        <f t="shared" si="198"/>
        <v>0</v>
      </c>
      <c r="RUV6" s="88">
        <f t="shared" si="198"/>
        <v>0</v>
      </c>
      <c r="RUW6" s="88">
        <f t="shared" si="198"/>
        <v>0</v>
      </c>
      <c r="RUX6" s="88">
        <f t="shared" si="198"/>
        <v>0</v>
      </c>
      <c r="RUY6" s="88">
        <f t="shared" si="198"/>
        <v>0</v>
      </c>
      <c r="RUZ6" s="88">
        <f t="shared" si="198"/>
        <v>0</v>
      </c>
      <c r="RVA6" s="88">
        <f t="shared" si="198"/>
        <v>0</v>
      </c>
      <c r="RVB6" s="88">
        <f t="shared" si="198"/>
        <v>0</v>
      </c>
      <c r="RVC6" s="88">
        <f t="shared" si="198"/>
        <v>0</v>
      </c>
      <c r="RVD6" s="88">
        <f t="shared" si="198"/>
        <v>0</v>
      </c>
      <c r="RVE6" s="88">
        <f t="shared" si="198"/>
        <v>0</v>
      </c>
      <c r="RVF6" s="88">
        <f t="shared" si="198"/>
        <v>0</v>
      </c>
      <c r="RVG6" s="88">
        <f t="shared" si="198"/>
        <v>0</v>
      </c>
      <c r="RVH6" s="88">
        <f t="shared" ref="RVH6:RXS6" si="199">SUM(RVI3:RVI5)</f>
        <v>0</v>
      </c>
      <c r="RVI6" s="88">
        <f t="shared" si="199"/>
        <v>0</v>
      </c>
      <c r="RVJ6" s="88">
        <f t="shared" si="199"/>
        <v>0</v>
      </c>
      <c r="RVK6" s="88">
        <f t="shared" si="199"/>
        <v>0</v>
      </c>
      <c r="RVL6" s="88">
        <f t="shared" si="199"/>
        <v>0</v>
      </c>
      <c r="RVM6" s="88">
        <f t="shared" si="199"/>
        <v>0</v>
      </c>
      <c r="RVN6" s="88">
        <f t="shared" si="199"/>
        <v>0</v>
      </c>
      <c r="RVO6" s="88">
        <f t="shared" si="199"/>
        <v>0</v>
      </c>
      <c r="RVP6" s="88">
        <f t="shared" si="199"/>
        <v>0</v>
      </c>
      <c r="RVQ6" s="88">
        <f t="shared" si="199"/>
        <v>0</v>
      </c>
      <c r="RVR6" s="88">
        <f t="shared" si="199"/>
        <v>0</v>
      </c>
      <c r="RVS6" s="88">
        <f t="shared" si="199"/>
        <v>0</v>
      </c>
      <c r="RVT6" s="88">
        <f t="shared" si="199"/>
        <v>0</v>
      </c>
      <c r="RVU6" s="88">
        <f t="shared" si="199"/>
        <v>0</v>
      </c>
      <c r="RVV6" s="88">
        <f t="shared" si="199"/>
        <v>0</v>
      </c>
      <c r="RVW6" s="88">
        <f t="shared" si="199"/>
        <v>0</v>
      </c>
      <c r="RVX6" s="88">
        <f t="shared" si="199"/>
        <v>0</v>
      </c>
      <c r="RVY6" s="88">
        <f t="shared" si="199"/>
        <v>0</v>
      </c>
      <c r="RVZ6" s="88">
        <f t="shared" si="199"/>
        <v>0</v>
      </c>
      <c r="RWA6" s="88">
        <f t="shared" si="199"/>
        <v>0</v>
      </c>
      <c r="RWB6" s="88">
        <f t="shared" si="199"/>
        <v>0</v>
      </c>
      <c r="RWC6" s="88">
        <f t="shared" si="199"/>
        <v>0</v>
      </c>
      <c r="RWD6" s="88">
        <f t="shared" si="199"/>
        <v>0</v>
      </c>
      <c r="RWE6" s="88">
        <f t="shared" si="199"/>
        <v>0</v>
      </c>
      <c r="RWF6" s="88">
        <f t="shared" si="199"/>
        <v>0</v>
      </c>
      <c r="RWG6" s="88">
        <f t="shared" si="199"/>
        <v>0</v>
      </c>
      <c r="RWH6" s="88">
        <f t="shared" si="199"/>
        <v>0</v>
      </c>
      <c r="RWI6" s="88">
        <f t="shared" si="199"/>
        <v>0</v>
      </c>
      <c r="RWJ6" s="88">
        <f t="shared" si="199"/>
        <v>0</v>
      </c>
      <c r="RWK6" s="88">
        <f t="shared" si="199"/>
        <v>0</v>
      </c>
      <c r="RWL6" s="88">
        <f t="shared" si="199"/>
        <v>0</v>
      </c>
      <c r="RWM6" s="88">
        <f t="shared" si="199"/>
        <v>0</v>
      </c>
      <c r="RWN6" s="88">
        <f t="shared" si="199"/>
        <v>0</v>
      </c>
      <c r="RWO6" s="88">
        <f t="shared" si="199"/>
        <v>0</v>
      </c>
      <c r="RWP6" s="88">
        <f t="shared" si="199"/>
        <v>0</v>
      </c>
      <c r="RWQ6" s="88">
        <f t="shared" si="199"/>
        <v>0</v>
      </c>
      <c r="RWR6" s="88">
        <f t="shared" si="199"/>
        <v>0</v>
      </c>
      <c r="RWS6" s="88">
        <f t="shared" si="199"/>
        <v>0</v>
      </c>
      <c r="RWT6" s="88">
        <f t="shared" si="199"/>
        <v>0</v>
      </c>
      <c r="RWU6" s="88">
        <f t="shared" si="199"/>
        <v>0</v>
      </c>
      <c r="RWV6" s="88">
        <f t="shared" si="199"/>
        <v>0</v>
      </c>
      <c r="RWW6" s="88">
        <f t="shared" si="199"/>
        <v>0</v>
      </c>
      <c r="RWX6" s="88">
        <f t="shared" si="199"/>
        <v>0</v>
      </c>
      <c r="RWY6" s="88">
        <f t="shared" si="199"/>
        <v>0</v>
      </c>
      <c r="RWZ6" s="88">
        <f t="shared" si="199"/>
        <v>0</v>
      </c>
      <c r="RXA6" s="88">
        <f t="shared" si="199"/>
        <v>0</v>
      </c>
      <c r="RXB6" s="88">
        <f t="shared" si="199"/>
        <v>0</v>
      </c>
      <c r="RXC6" s="88">
        <f t="shared" si="199"/>
        <v>0</v>
      </c>
      <c r="RXD6" s="88">
        <f t="shared" si="199"/>
        <v>0</v>
      </c>
      <c r="RXE6" s="88">
        <f t="shared" si="199"/>
        <v>0</v>
      </c>
      <c r="RXF6" s="88">
        <f t="shared" si="199"/>
        <v>0</v>
      </c>
      <c r="RXG6" s="88">
        <f t="shared" si="199"/>
        <v>0</v>
      </c>
      <c r="RXH6" s="88">
        <f t="shared" si="199"/>
        <v>0</v>
      </c>
      <c r="RXI6" s="88">
        <f t="shared" si="199"/>
        <v>0</v>
      </c>
      <c r="RXJ6" s="88">
        <f t="shared" si="199"/>
        <v>0</v>
      </c>
      <c r="RXK6" s="88">
        <f t="shared" si="199"/>
        <v>0</v>
      </c>
      <c r="RXL6" s="88">
        <f t="shared" si="199"/>
        <v>0</v>
      </c>
      <c r="RXM6" s="88">
        <f t="shared" si="199"/>
        <v>0</v>
      </c>
      <c r="RXN6" s="88">
        <f t="shared" si="199"/>
        <v>0</v>
      </c>
      <c r="RXO6" s="88">
        <f t="shared" si="199"/>
        <v>0</v>
      </c>
      <c r="RXP6" s="88">
        <f t="shared" si="199"/>
        <v>0</v>
      </c>
      <c r="RXQ6" s="88">
        <f t="shared" si="199"/>
        <v>0</v>
      </c>
      <c r="RXR6" s="88">
        <f t="shared" si="199"/>
        <v>0</v>
      </c>
      <c r="RXS6" s="88">
        <f t="shared" si="199"/>
        <v>0</v>
      </c>
      <c r="RXT6" s="88">
        <f t="shared" ref="RXT6:SAE6" si="200">SUM(RXU3:RXU5)</f>
        <v>0</v>
      </c>
      <c r="RXU6" s="88">
        <f t="shared" si="200"/>
        <v>0</v>
      </c>
      <c r="RXV6" s="88">
        <f t="shared" si="200"/>
        <v>0</v>
      </c>
      <c r="RXW6" s="88">
        <f t="shared" si="200"/>
        <v>0</v>
      </c>
      <c r="RXX6" s="88">
        <f t="shared" si="200"/>
        <v>0</v>
      </c>
      <c r="RXY6" s="88">
        <f t="shared" si="200"/>
        <v>0</v>
      </c>
      <c r="RXZ6" s="88">
        <f t="shared" si="200"/>
        <v>0</v>
      </c>
      <c r="RYA6" s="88">
        <f t="shared" si="200"/>
        <v>0</v>
      </c>
      <c r="RYB6" s="88">
        <f t="shared" si="200"/>
        <v>0</v>
      </c>
      <c r="RYC6" s="88">
        <f t="shared" si="200"/>
        <v>0</v>
      </c>
      <c r="RYD6" s="88">
        <f t="shared" si="200"/>
        <v>0</v>
      </c>
      <c r="RYE6" s="88">
        <f t="shared" si="200"/>
        <v>0</v>
      </c>
      <c r="RYF6" s="88">
        <f t="shared" si="200"/>
        <v>0</v>
      </c>
      <c r="RYG6" s="88">
        <f t="shared" si="200"/>
        <v>0</v>
      </c>
      <c r="RYH6" s="88">
        <f t="shared" si="200"/>
        <v>0</v>
      </c>
      <c r="RYI6" s="88">
        <f t="shared" si="200"/>
        <v>0</v>
      </c>
      <c r="RYJ6" s="88">
        <f t="shared" si="200"/>
        <v>0</v>
      </c>
      <c r="RYK6" s="88">
        <f t="shared" si="200"/>
        <v>0</v>
      </c>
      <c r="RYL6" s="88">
        <f t="shared" si="200"/>
        <v>0</v>
      </c>
      <c r="RYM6" s="88">
        <f t="shared" si="200"/>
        <v>0</v>
      </c>
      <c r="RYN6" s="88">
        <f t="shared" si="200"/>
        <v>0</v>
      </c>
      <c r="RYO6" s="88">
        <f t="shared" si="200"/>
        <v>0</v>
      </c>
      <c r="RYP6" s="88">
        <f t="shared" si="200"/>
        <v>0</v>
      </c>
      <c r="RYQ6" s="88">
        <f t="shared" si="200"/>
        <v>0</v>
      </c>
      <c r="RYR6" s="88">
        <f t="shared" si="200"/>
        <v>0</v>
      </c>
      <c r="RYS6" s="88">
        <f t="shared" si="200"/>
        <v>0</v>
      </c>
      <c r="RYT6" s="88">
        <f t="shared" si="200"/>
        <v>0</v>
      </c>
      <c r="RYU6" s="88">
        <f t="shared" si="200"/>
        <v>0</v>
      </c>
      <c r="RYV6" s="88">
        <f t="shared" si="200"/>
        <v>0</v>
      </c>
      <c r="RYW6" s="88">
        <f t="shared" si="200"/>
        <v>0</v>
      </c>
      <c r="RYX6" s="88">
        <f t="shared" si="200"/>
        <v>0</v>
      </c>
      <c r="RYY6" s="88">
        <f t="shared" si="200"/>
        <v>0</v>
      </c>
      <c r="RYZ6" s="88">
        <f t="shared" si="200"/>
        <v>0</v>
      </c>
      <c r="RZA6" s="88">
        <f t="shared" si="200"/>
        <v>0</v>
      </c>
      <c r="RZB6" s="88">
        <f t="shared" si="200"/>
        <v>0</v>
      </c>
      <c r="RZC6" s="88">
        <f t="shared" si="200"/>
        <v>0</v>
      </c>
      <c r="RZD6" s="88">
        <f t="shared" si="200"/>
        <v>0</v>
      </c>
      <c r="RZE6" s="88">
        <f t="shared" si="200"/>
        <v>0</v>
      </c>
      <c r="RZF6" s="88">
        <f t="shared" si="200"/>
        <v>0</v>
      </c>
      <c r="RZG6" s="88">
        <f t="shared" si="200"/>
        <v>0</v>
      </c>
      <c r="RZH6" s="88">
        <f t="shared" si="200"/>
        <v>0</v>
      </c>
      <c r="RZI6" s="88">
        <f t="shared" si="200"/>
        <v>0</v>
      </c>
      <c r="RZJ6" s="88">
        <f t="shared" si="200"/>
        <v>0</v>
      </c>
      <c r="RZK6" s="88">
        <f t="shared" si="200"/>
        <v>0</v>
      </c>
      <c r="RZL6" s="88">
        <f t="shared" si="200"/>
        <v>0</v>
      </c>
      <c r="RZM6" s="88">
        <f t="shared" si="200"/>
        <v>0</v>
      </c>
      <c r="RZN6" s="88">
        <f t="shared" si="200"/>
        <v>0</v>
      </c>
      <c r="RZO6" s="88">
        <f t="shared" si="200"/>
        <v>0</v>
      </c>
      <c r="RZP6" s="88">
        <f t="shared" si="200"/>
        <v>0</v>
      </c>
      <c r="RZQ6" s="88">
        <f t="shared" si="200"/>
        <v>0</v>
      </c>
      <c r="RZR6" s="88">
        <f t="shared" si="200"/>
        <v>0</v>
      </c>
      <c r="RZS6" s="88">
        <f t="shared" si="200"/>
        <v>0</v>
      </c>
      <c r="RZT6" s="88">
        <f t="shared" si="200"/>
        <v>0</v>
      </c>
      <c r="RZU6" s="88">
        <f t="shared" si="200"/>
        <v>0</v>
      </c>
      <c r="RZV6" s="88">
        <f t="shared" si="200"/>
        <v>0</v>
      </c>
      <c r="RZW6" s="88">
        <f t="shared" si="200"/>
        <v>0</v>
      </c>
      <c r="RZX6" s="88">
        <f t="shared" si="200"/>
        <v>0</v>
      </c>
      <c r="RZY6" s="88">
        <f t="shared" si="200"/>
        <v>0</v>
      </c>
      <c r="RZZ6" s="88">
        <f t="shared" si="200"/>
        <v>0</v>
      </c>
      <c r="SAA6" s="88">
        <f t="shared" si="200"/>
        <v>0</v>
      </c>
      <c r="SAB6" s="88">
        <f t="shared" si="200"/>
        <v>0</v>
      </c>
      <c r="SAC6" s="88">
        <f t="shared" si="200"/>
        <v>0</v>
      </c>
      <c r="SAD6" s="88">
        <f t="shared" si="200"/>
        <v>0</v>
      </c>
      <c r="SAE6" s="88">
        <f t="shared" si="200"/>
        <v>0</v>
      </c>
      <c r="SAF6" s="88">
        <f t="shared" ref="SAF6:SCQ6" si="201">SUM(SAG3:SAG5)</f>
        <v>0</v>
      </c>
      <c r="SAG6" s="88">
        <f t="shared" si="201"/>
        <v>0</v>
      </c>
      <c r="SAH6" s="88">
        <f t="shared" si="201"/>
        <v>0</v>
      </c>
      <c r="SAI6" s="88">
        <f t="shared" si="201"/>
        <v>0</v>
      </c>
      <c r="SAJ6" s="88">
        <f t="shared" si="201"/>
        <v>0</v>
      </c>
      <c r="SAK6" s="88">
        <f t="shared" si="201"/>
        <v>0</v>
      </c>
      <c r="SAL6" s="88">
        <f t="shared" si="201"/>
        <v>0</v>
      </c>
      <c r="SAM6" s="88">
        <f t="shared" si="201"/>
        <v>0</v>
      </c>
      <c r="SAN6" s="88">
        <f t="shared" si="201"/>
        <v>0</v>
      </c>
      <c r="SAO6" s="88">
        <f t="shared" si="201"/>
        <v>0</v>
      </c>
      <c r="SAP6" s="88">
        <f t="shared" si="201"/>
        <v>0</v>
      </c>
      <c r="SAQ6" s="88">
        <f t="shared" si="201"/>
        <v>0</v>
      </c>
      <c r="SAR6" s="88">
        <f t="shared" si="201"/>
        <v>0</v>
      </c>
      <c r="SAS6" s="88">
        <f t="shared" si="201"/>
        <v>0</v>
      </c>
      <c r="SAT6" s="88">
        <f t="shared" si="201"/>
        <v>0</v>
      </c>
      <c r="SAU6" s="88">
        <f t="shared" si="201"/>
        <v>0</v>
      </c>
      <c r="SAV6" s="88">
        <f t="shared" si="201"/>
        <v>0</v>
      </c>
      <c r="SAW6" s="88">
        <f t="shared" si="201"/>
        <v>0</v>
      </c>
      <c r="SAX6" s="88">
        <f t="shared" si="201"/>
        <v>0</v>
      </c>
      <c r="SAY6" s="88">
        <f t="shared" si="201"/>
        <v>0</v>
      </c>
      <c r="SAZ6" s="88">
        <f t="shared" si="201"/>
        <v>0</v>
      </c>
      <c r="SBA6" s="88">
        <f t="shared" si="201"/>
        <v>0</v>
      </c>
      <c r="SBB6" s="88">
        <f t="shared" si="201"/>
        <v>0</v>
      </c>
      <c r="SBC6" s="88">
        <f t="shared" si="201"/>
        <v>0</v>
      </c>
      <c r="SBD6" s="88">
        <f t="shared" si="201"/>
        <v>0</v>
      </c>
      <c r="SBE6" s="88">
        <f t="shared" si="201"/>
        <v>0</v>
      </c>
      <c r="SBF6" s="88">
        <f t="shared" si="201"/>
        <v>0</v>
      </c>
      <c r="SBG6" s="88">
        <f t="shared" si="201"/>
        <v>0</v>
      </c>
      <c r="SBH6" s="88">
        <f t="shared" si="201"/>
        <v>0</v>
      </c>
      <c r="SBI6" s="88">
        <f t="shared" si="201"/>
        <v>0</v>
      </c>
      <c r="SBJ6" s="88">
        <f t="shared" si="201"/>
        <v>0</v>
      </c>
      <c r="SBK6" s="88">
        <f t="shared" si="201"/>
        <v>0</v>
      </c>
      <c r="SBL6" s="88">
        <f t="shared" si="201"/>
        <v>0</v>
      </c>
      <c r="SBM6" s="88">
        <f t="shared" si="201"/>
        <v>0</v>
      </c>
      <c r="SBN6" s="88">
        <f t="shared" si="201"/>
        <v>0</v>
      </c>
      <c r="SBO6" s="88">
        <f t="shared" si="201"/>
        <v>0</v>
      </c>
      <c r="SBP6" s="88">
        <f t="shared" si="201"/>
        <v>0</v>
      </c>
      <c r="SBQ6" s="88">
        <f t="shared" si="201"/>
        <v>0</v>
      </c>
      <c r="SBR6" s="88">
        <f t="shared" si="201"/>
        <v>0</v>
      </c>
      <c r="SBS6" s="88">
        <f t="shared" si="201"/>
        <v>0</v>
      </c>
      <c r="SBT6" s="88">
        <f t="shared" si="201"/>
        <v>0</v>
      </c>
      <c r="SBU6" s="88">
        <f t="shared" si="201"/>
        <v>0</v>
      </c>
      <c r="SBV6" s="88">
        <f t="shared" si="201"/>
        <v>0</v>
      </c>
      <c r="SBW6" s="88">
        <f t="shared" si="201"/>
        <v>0</v>
      </c>
      <c r="SBX6" s="88">
        <f t="shared" si="201"/>
        <v>0</v>
      </c>
      <c r="SBY6" s="88">
        <f t="shared" si="201"/>
        <v>0</v>
      </c>
      <c r="SBZ6" s="88">
        <f t="shared" si="201"/>
        <v>0</v>
      </c>
      <c r="SCA6" s="88">
        <f t="shared" si="201"/>
        <v>0</v>
      </c>
      <c r="SCB6" s="88">
        <f t="shared" si="201"/>
        <v>0</v>
      </c>
      <c r="SCC6" s="88">
        <f t="shared" si="201"/>
        <v>0</v>
      </c>
      <c r="SCD6" s="88">
        <f t="shared" si="201"/>
        <v>0</v>
      </c>
      <c r="SCE6" s="88">
        <f t="shared" si="201"/>
        <v>0</v>
      </c>
      <c r="SCF6" s="88">
        <f t="shared" si="201"/>
        <v>0</v>
      </c>
      <c r="SCG6" s="88">
        <f t="shared" si="201"/>
        <v>0</v>
      </c>
      <c r="SCH6" s="88">
        <f t="shared" si="201"/>
        <v>0</v>
      </c>
      <c r="SCI6" s="88">
        <f t="shared" si="201"/>
        <v>0</v>
      </c>
      <c r="SCJ6" s="88">
        <f t="shared" si="201"/>
        <v>0</v>
      </c>
      <c r="SCK6" s="88">
        <f t="shared" si="201"/>
        <v>0</v>
      </c>
      <c r="SCL6" s="88">
        <f t="shared" si="201"/>
        <v>0</v>
      </c>
      <c r="SCM6" s="88">
        <f t="shared" si="201"/>
        <v>0</v>
      </c>
      <c r="SCN6" s="88">
        <f t="shared" si="201"/>
        <v>0</v>
      </c>
      <c r="SCO6" s="88">
        <f t="shared" si="201"/>
        <v>0</v>
      </c>
      <c r="SCP6" s="88">
        <f t="shared" si="201"/>
        <v>0</v>
      </c>
      <c r="SCQ6" s="88">
        <f t="shared" si="201"/>
        <v>0</v>
      </c>
      <c r="SCR6" s="88">
        <f t="shared" ref="SCR6:SFC6" si="202">SUM(SCS3:SCS5)</f>
        <v>0</v>
      </c>
      <c r="SCS6" s="88">
        <f t="shared" si="202"/>
        <v>0</v>
      </c>
      <c r="SCT6" s="88">
        <f t="shared" si="202"/>
        <v>0</v>
      </c>
      <c r="SCU6" s="88">
        <f t="shared" si="202"/>
        <v>0</v>
      </c>
      <c r="SCV6" s="88">
        <f t="shared" si="202"/>
        <v>0</v>
      </c>
      <c r="SCW6" s="88">
        <f t="shared" si="202"/>
        <v>0</v>
      </c>
      <c r="SCX6" s="88">
        <f t="shared" si="202"/>
        <v>0</v>
      </c>
      <c r="SCY6" s="88">
        <f t="shared" si="202"/>
        <v>0</v>
      </c>
      <c r="SCZ6" s="88">
        <f t="shared" si="202"/>
        <v>0</v>
      </c>
      <c r="SDA6" s="88">
        <f t="shared" si="202"/>
        <v>0</v>
      </c>
      <c r="SDB6" s="88">
        <f t="shared" si="202"/>
        <v>0</v>
      </c>
      <c r="SDC6" s="88">
        <f t="shared" si="202"/>
        <v>0</v>
      </c>
      <c r="SDD6" s="88">
        <f t="shared" si="202"/>
        <v>0</v>
      </c>
      <c r="SDE6" s="88">
        <f t="shared" si="202"/>
        <v>0</v>
      </c>
      <c r="SDF6" s="88">
        <f t="shared" si="202"/>
        <v>0</v>
      </c>
      <c r="SDG6" s="88">
        <f t="shared" si="202"/>
        <v>0</v>
      </c>
      <c r="SDH6" s="88">
        <f t="shared" si="202"/>
        <v>0</v>
      </c>
      <c r="SDI6" s="88">
        <f t="shared" si="202"/>
        <v>0</v>
      </c>
      <c r="SDJ6" s="88">
        <f t="shared" si="202"/>
        <v>0</v>
      </c>
      <c r="SDK6" s="88">
        <f t="shared" si="202"/>
        <v>0</v>
      </c>
      <c r="SDL6" s="88">
        <f t="shared" si="202"/>
        <v>0</v>
      </c>
      <c r="SDM6" s="88">
        <f t="shared" si="202"/>
        <v>0</v>
      </c>
      <c r="SDN6" s="88">
        <f t="shared" si="202"/>
        <v>0</v>
      </c>
      <c r="SDO6" s="88">
        <f t="shared" si="202"/>
        <v>0</v>
      </c>
      <c r="SDP6" s="88">
        <f t="shared" si="202"/>
        <v>0</v>
      </c>
      <c r="SDQ6" s="88">
        <f t="shared" si="202"/>
        <v>0</v>
      </c>
      <c r="SDR6" s="88">
        <f t="shared" si="202"/>
        <v>0</v>
      </c>
      <c r="SDS6" s="88">
        <f t="shared" si="202"/>
        <v>0</v>
      </c>
      <c r="SDT6" s="88">
        <f t="shared" si="202"/>
        <v>0</v>
      </c>
      <c r="SDU6" s="88">
        <f t="shared" si="202"/>
        <v>0</v>
      </c>
      <c r="SDV6" s="88">
        <f t="shared" si="202"/>
        <v>0</v>
      </c>
      <c r="SDW6" s="88">
        <f t="shared" si="202"/>
        <v>0</v>
      </c>
      <c r="SDX6" s="88">
        <f t="shared" si="202"/>
        <v>0</v>
      </c>
      <c r="SDY6" s="88">
        <f t="shared" si="202"/>
        <v>0</v>
      </c>
      <c r="SDZ6" s="88">
        <f t="shared" si="202"/>
        <v>0</v>
      </c>
      <c r="SEA6" s="88">
        <f t="shared" si="202"/>
        <v>0</v>
      </c>
      <c r="SEB6" s="88">
        <f t="shared" si="202"/>
        <v>0</v>
      </c>
      <c r="SEC6" s="88">
        <f t="shared" si="202"/>
        <v>0</v>
      </c>
      <c r="SED6" s="88">
        <f t="shared" si="202"/>
        <v>0</v>
      </c>
      <c r="SEE6" s="88">
        <f t="shared" si="202"/>
        <v>0</v>
      </c>
      <c r="SEF6" s="88">
        <f t="shared" si="202"/>
        <v>0</v>
      </c>
      <c r="SEG6" s="88">
        <f t="shared" si="202"/>
        <v>0</v>
      </c>
      <c r="SEH6" s="88">
        <f t="shared" si="202"/>
        <v>0</v>
      </c>
      <c r="SEI6" s="88">
        <f t="shared" si="202"/>
        <v>0</v>
      </c>
      <c r="SEJ6" s="88">
        <f t="shared" si="202"/>
        <v>0</v>
      </c>
      <c r="SEK6" s="88">
        <f t="shared" si="202"/>
        <v>0</v>
      </c>
      <c r="SEL6" s="88">
        <f t="shared" si="202"/>
        <v>0</v>
      </c>
      <c r="SEM6" s="88">
        <f t="shared" si="202"/>
        <v>0</v>
      </c>
      <c r="SEN6" s="88">
        <f t="shared" si="202"/>
        <v>0</v>
      </c>
      <c r="SEO6" s="88">
        <f t="shared" si="202"/>
        <v>0</v>
      </c>
      <c r="SEP6" s="88">
        <f t="shared" si="202"/>
        <v>0</v>
      </c>
      <c r="SEQ6" s="88">
        <f t="shared" si="202"/>
        <v>0</v>
      </c>
      <c r="SER6" s="88">
        <f t="shared" si="202"/>
        <v>0</v>
      </c>
      <c r="SES6" s="88">
        <f t="shared" si="202"/>
        <v>0</v>
      </c>
      <c r="SET6" s="88">
        <f t="shared" si="202"/>
        <v>0</v>
      </c>
      <c r="SEU6" s="88">
        <f t="shared" si="202"/>
        <v>0</v>
      </c>
      <c r="SEV6" s="88">
        <f t="shared" si="202"/>
        <v>0</v>
      </c>
      <c r="SEW6" s="88">
        <f t="shared" si="202"/>
        <v>0</v>
      </c>
      <c r="SEX6" s="88">
        <f t="shared" si="202"/>
        <v>0</v>
      </c>
      <c r="SEY6" s="88">
        <f t="shared" si="202"/>
        <v>0</v>
      </c>
      <c r="SEZ6" s="88">
        <f t="shared" si="202"/>
        <v>0</v>
      </c>
      <c r="SFA6" s="88">
        <f t="shared" si="202"/>
        <v>0</v>
      </c>
      <c r="SFB6" s="88">
        <f t="shared" si="202"/>
        <v>0</v>
      </c>
      <c r="SFC6" s="88">
        <f t="shared" si="202"/>
        <v>0</v>
      </c>
      <c r="SFD6" s="88">
        <f t="shared" ref="SFD6:SHO6" si="203">SUM(SFE3:SFE5)</f>
        <v>0</v>
      </c>
      <c r="SFE6" s="88">
        <f t="shared" si="203"/>
        <v>0</v>
      </c>
      <c r="SFF6" s="88">
        <f t="shared" si="203"/>
        <v>0</v>
      </c>
      <c r="SFG6" s="88">
        <f t="shared" si="203"/>
        <v>0</v>
      </c>
      <c r="SFH6" s="88">
        <f t="shared" si="203"/>
        <v>0</v>
      </c>
      <c r="SFI6" s="88">
        <f t="shared" si="203"/>
        <v>0</v>
      </c>
      <c r="SFJ6" s="88">
        <f t="shared" si="203"/>
        <v>0</v>
      </c>
      <c r="SFK6" s="88">
        <f t="shared" si="203"/>
        <v>0</v>
      </c>
      <c r="SFL6" s="88">
        <f t="shared" si="203"/>
        <v>0</v>
      </c>
      <c r="SFM6" s="88">
        <f t="shared" si="203"/>
        <v>0</v>
      </c>
      <c r="SFN6" s="88">
        <f t="shared" si="203"/>
        <v>0</v>
      </c>
      <c r="SFO6" s="88">
        <f t="shared" si="203"/>
        <v>0</v>
      </c>
      <c r="SFP6" s="88">
        <f t="shared" si="203"/>
        <v>0</v>
      </c>
      <c r="SFQ6" s="88">
        <f t="shared" si="203"/>
        <v>0</v>
      </c>
      <c r="SFR6" s="88">
        <f t="shared" si="203"/>
        <v>0</v>
      </c>
      <c r="SFS6" s="88">
        <f t="shared" si="203"/>
        <v>0</v>
      </c>
      <c r="SFT6" s="88">
        <f t="shared" si="203"/>
        <v>0</v>
      </c>
      <c r="SFU6" s="88">
        <f t="shared" si="203"/>
        <v>0</v>
      </c>
      <c r="SFV6" s="88">
        <f t="shared" si="203"/>
        <v>0</v>
      </c>
      <c r="SFW6" s="88">
        <f t="shared" si="203"/>
        <v>0</v>
      </c>
      <c r="SFX6" s="88">
        <f t="shared" si="203"/>
        <v>0</v>
      </c>
      <c r="SFY6" s="88">
        <f t="shared" si="203"/>
        <v>0</v>
      </c>
      <c r="SFZ6" s="88">
        <f t="shared" si="203"/>
        <v>0</v>
      </c>
      <c r="SGA6" s="88">
        <f t="shared" si="203"/>
        <v>0</v>
      </c>
      <c r="SGB6" s="88">
        <f t="shared" si="203"/>
        <v>0</v>
      </c>
      <c r="SGC6" s="88">
        <f t="shared" si="203"/>
        <v>0</v>
      </c>
      <c r="SGD6" s="88">
        <f t="shared" si="203"/>
        <v>0</v>
      </c>
      <c r="SGE6" s="88">
        <f t="shared" si="203"/>
        <v>0</v>
      </c>
      <c r="SGF6" s="88">
        <f t="shared" si="203"/>
        <v>0</v>
      </c>
      <c r="SGG6" s="88">
        <f t="shared" si="203"/>
        <v>0</v>
      </c>
      <c r="SGH6" s="88">
        <f t="shared" si="203"/>
        <v>0</v>
      </c>
      <c r="SGI6" s="88">
        <f t="shared" si="203"/>
        <v>0</v>
      </c>
      <c r="SGJ6" s="88">
        <f t="shared" si="203"/>
        <v>0</v>
      </c>
      <c r="SGK6" s="88">
        <f t="shared" si="203"/>
        <v>0</v>
      </c>
      <c r="SGL6" s="88">
        <f t="shared" si="203"/>
        <v>0</v>
      </c>
      <c r="SGM6" s="88">
        <f t="shared" si="203"/>
        <v>0</v>
      </c>
      <c r="SGN6" s="88">
        <f t="shared" si="203"/>
        <v>0</v>
      </c>
      <c r="SGO6" s="88">
        <f t="shared" si="203"/>
        <v>0</v>
      </c>
      <c r="SGP6" s="88">
        <f t="shared" si="203"/>
        <v>0</v>
      </c>
      <c r="SGQ6" s="88">
        <f t="shared" si="203"/>
        <v>0</v>
      </c>
      <c r="SGR6" s="88">
        <f t="shared" si="203"/>
        <v>0</v>
      </c>
      <c r="SGS6" s="88">
        <f t="shared" si="203"/>
        <v>0</v>
      </c>
      <c r="SGT6" s="88">
        <f t="shared" si="203"/>
        <v>0</v>
      </c>
      <c r="SGU6" s="88">
        <f t="shared" si="203"/>
        <v>0</v>
      </c>
      <c r="SGV6" s="88">
        <f t="shared" si="203"/>
        <v>0</v>
      </c>
      <c r="SGW6" s="88">
        <f t="shared" si="203"/>
        <v>0</v>
      </c>
      <c r="SGX6" s="88">
        <f t="shared" si="203"/>
        <v>0</v>
      </c>
      <c r="SGY6" s="88">
        <f t="shared" si="203"/>
        <v>0</v>
      </c>
      <c r="SGZ6" s="88">
        <f t="shared" si="203"/>
        <v>0</v>
      </c>
      <c r="SHA6" s="88">
        <f t="shared" si="203"/>
        <v>0</v>
      </c>
      <c r="SHB6" s="88">
        <f t="shared" si="203"/>
        <v>0</v>
      </c>
      <c r="SHC6" s="88">
        <f t="shared" si="203"/>
        <v>0</v>
      </c>
      <c r="SHD6" s="88">
        <f t="shared" si="203"/>
        <v>0</v>
      </c>
      <c r="SHE6" s="88">
        <f t="shared" si="203"/>
        <v>0</v>
      </c>
      <c r="SHF6" s="88">
        <f t="shared" si="203"/>
        <v>0</v>
      </c>
      <c r="SHG6" s="88">
        <f t="shared" si="203"/>
        <v>0</v>
      </c>
      <c r="SHH6" s="88">
        <f t="shared" si="203"/>
        <v>0</v>
      </c>
      <c r="SHI6" s="88">
        <f t="shared" si="203"/>
        <v>0</v>
      </c>
      <c r="SHJ6" s="88">
        <f t="shared" si="203"/>
        <v>0</v>
      </c>
      <c r="SHK6" s="88">
        <f t="shared" si="203"/>
        <v>0</v>
      </c>
      <c r="SHL6" s="88">
        <f t="shared" si="203"/>
        <v>0</v>
      </c>
      <c r="SHM6" s="88">
        <f t="shared" si="203"/>
        <v>0</v>
      </c>
      <c r="SHN6" s="88">
        <f t="shared" si="203"/>
        <v>0</v>
      </c>
      <c r="SHO6" s="88">
        <f t="shared" si="203"/>
        <v>0</v>
      </c>
      <c r="SHP6" s="88">
        <f t="shared" ref="SHP6:SKA6" si="204">SUM(SHQ3:SHQ5)</f>
        <v>0</v>
      </c>
      <c r="SHQ6" s="88">
        <f t="shared" si="204"/>
        <v>0</v>
      </c>
      <c r="SHR6" s="88">
        <f t="shared" si="204"/>
        <v>0</v>
      </c>
      <c r="SHS6" s="88">
        <f t="shared" si="204"/>
        <v>0</v>
      </c>
      <c r="SHT6" s="88">
        <f t="shared" si="204"/>
        <v>0</v>
      </c>
      <c r="SHU6" s="88">
        <f t="shared" si="204"/>
        <v>0</v>
      </c>
      <c r="SHV6" s="88">
        <f t="shared" si="204"/>
        <v>0</v>
      </c>
      <c r="SHW6" s="88">
        <f t="shared" si="204"/>
        <v>0</v>
      </c>
      <c r="SHX6" s="88">
        <f t="shared" si="204"/>
        <v>0</v>
      </c>
      <c r="SHY6" s="88">
        <f t="shared" si="204"/>
        <v>0</v>
      </c>
      <c r="SHZ6" s="88">
        <f t="shared" si="204"/>
        <v>0</v>
      </c>
      <c r="SIA6" s="88">
        <f t="shared" si="204"/>
        <v>0</v>
      </c>
      <c r="SIB6" s="88">
        <f t="shared" si="204"/>
        <v>0</v>
      </c>
      <c r="SIC6" s="88">
        <f t="shared" si="204"/>
        <v>0</v>
      </c>
      <c r="SID6" s="88">
        <f t="shared" si="204"/>
        <v>0</v>
      </c>
      <c r="SIE6" s="88">
        <f t="shared" si="204"/>
        <v>0</v>
      </c>
      <c r="SIF6" s="88">
        <f t="shared" si="204"/>
        <v>0</v>
      </c>
      <c r="SIG6" s="88">
        <f t="shared" si="204"/>
        <v>0</v>
      </c>
      <c r="SIH6" s="88">
        <f t="shared" si="204"/>
        <v>0</v>
      </c>
      <c r="SII6" s="88">
        <f t="shared" si="204"/>
        <v>0</v>
      </c>
      <c r="SIJ6" s="88">
        <f t="shared" si="204"/>
        <v>0</v>
      </c>
      <c r="SIK6" s="88">
        <f t="shared" si="204"/>
        <v>0</v>
      </c>
      <c r="SIL6" s="88">
        <f t="shared" si="204"/>
        <v>0</v>
      </c>
      <c r="SIM6" s="88">
        <f t="shared" si="204"/>
        <v>0</v>
      </c>
      <c r="SIN6" s="88">
        <f t="shared" si="204"/>
        <v>0</v>
      </c>
      <c r="SIO6" s="88">
        <f t="shared" si="204"/>
        <v>0</v>
      </c>
      <c r="SIP6" s="88">
        <f t="shared" si="204"/>
        <v>0</v>
      </c>
      <c r="SIQ6" s="88">
        <f t="shared" si="204"/>
        <v>0</v>
      </c>
      <c r="SIR6" s="88">
        <f t="shared" si="204"/>
        <v>0</v>
      </c>
      <c r="SIS6" s="88">
        <f t="shared" si="204"/>
        <v>0</v>
      </c>
      <c r="SIT6" s="88">
        <f t="shared" si="204"/>
        <v>0</v>
      </c>
      <c r="SIU6" s="88">
        <f t="shared" si="204"/>
        <v>0</v>
      </c>
      <c r="SIV6" s="88">
        <f t="shared" si="204"/>
        <v>0</v>
      </c>
      <c r="SIW6" s="88">
        <f t="shared" si="204"/>
        <v>0</v>
      </c>
      <c r="SIX6" s="88">
        <f t="shared" si="204"/>
        <v>0</v>
      </c>
      <c r="SIY6" s="88">
        <f t="shared" si="204"/>
        <v>0</v>
      </c>
      <c r="SIZ6" s="88">
        <f t="shared" si="204"/>
        <v>0</v>
      </c>
      <c r="SJA6" s="88">
        <f t="shared" si="204"/>
        <v>0</v>
      </c>
      <c r="SJB6" s="88">
        <f t="shared" si="204"/>
        <v>0</v>
      </c>
      <c r="SJC6" s="88">
        <f t="shared" si="204"/>
        <v>0</v>
      </c>
      <c r="SJD6" s="88">
        <f t="shared" si="204"/>
        <v>0</v>
      </c>
      <c r="SJE6" s="88">
        <f t="shared" si="204"/>
        <v>0</v>
      </c>
      <c r="SJF6" s="88">
        <f t="shared" si="204"/>
        <v>0</v>
      </c>
      <c r="SJG6" s="88">
        <f t="shared" si="204"/>
        <v>0</v>
      </c>
      <c r="SJH6" s="88">
        <f t="shared" si="204"/>
        <v>0</v>
      </c>
      <c r="SJI6" s="88">
        <f t="shared" si="204"/>
        <v>0</v>
      </c>
      <c r="SJJ6" s="88">
        <f t="shared" si="204"/>
        <v>0</v>
      </c>
      <c r="SJK6" s="88">
        <f t="shared" si="204"/>
        <v>0</v>
      </c>
      <c r="SJL6" s="88">
        <f t="shared" si="204"/>
        <v>0</v>
      </c>
      <c r="SJM6" s="88">
        <f t="shared" si="204"/>
        <v>0</v>
      </c>
      <c r="SJN6" s="88">
        <f t="shared" si="204"/>
        <v>0</v>
      </c>
      <c r="SJO6" s="88">
        <f t="shared" si="204"/>
        <v>0</v>
      </c>
      <c r="SJP6" s="88">
        <f t="shared" si="204"/>
        <v>0</v>
      </c>
      <c r="SJQ6" s="88">
        <f t="shared" si="204"/>
        <v>0</v>
      </c>
      <c r="SJR6" s="88">
        <f t="shared" si="204"/>
        <v>0</v>
      </c>
      <c r="SJS6" s="88">
        <f t="shared" si="204"/>
        <v>0</v>
      </c>
      <c r="SJT6" s="88">
        <f t="shared" si="204"/>
        <v>0</v>
      </c>
      <c r="SJU6" s="88">
        <f t="shared" si="204"/>
        <v>0</v>
      </c>
      <c r="SJV6" s="88">
        <f t="shared" si="204"/>
        <v>0</v>
      </c>
      <c r="SJW6" s="88">
        <f t="shared" si="204"/>
        <v>0</v>
      </c>
      <c r="SJX6" s="88">
        <f t="shared" si="204"/>
        <v>0</v>
      </c>
      <c r="SJY6" s="88">
        <f t="shared" si="204"/>
        <v>0</v>
      </c>
      <c r="SJZ6" s="88">
        <f t="shared" si="204"/>
        <v>0</v>
      </c>
      <c r="SKA6" s="88">
        <f t="shared" si="204"/>
        <v>0</v>
      </c>
      <c r="SKB6" s="88">
        <f t="shared" ref="SKB6:SMM6" si="205">SUM(SKC3:SKC5)</f>
        <v>0</v>
      </c>
      <c r="SKC6" s="88">
        <f t="shared" si="205"/>
        <v>0</v>
      </c>
      <c r="SKD6" s="88">
        <f t="shared" si="205"/>
        <v>0</v>
      </c>
      <c r="SKE6" s="88">
        <f t="shared" si="205"/>
        <v>0</v>
      </c>
      <c r="SKF6" s="88">
        <f t="shared" si="205"/>
        <v>0</v>
      </c>
      <c r="SKG6" s="88">
        <f t="shared" si="205"/>
        <v>0</v>
      </c>
      <c r="SKH6" s="88">
        <f t="shared" si="205"/>
        <v>0</v>
      </c>
      <c r="SKI6" s="88">
        <f t="shared" si="205"/>
        <v>0</v>
      </c>
      <c r="SKJ6" s="88">
        <f t="shared" si="205"/>
        <v>0</v>
      </c>
      <c r="SKK6" s="88">
        <f t="shared" si="205"/>
        <v>0</v>
      </c>
      <c r="SKL6" s="88">
        <f t="shared" si="205"/>
        <v>0</v>
      </c>
      <c r="SKM6" s="88">
        <f t="shared" si="205"/>
        <v>0</v>
      </c>
      <c r="SKN6" s="88">
        <f t="shared" si="205"/>
        <v>0</v>
      </c>
      <c r="SKO6" s="88">
        <f t="shared" si="205"/>
        <v>0</v>
      </c>
      <c r="SKP6" s="88">
        <f t="shared" si="205"/>
        <v>0</v>
      </c>
      <c r="SKQ6" s="88">
        <f t="shared" si="205"/>
        <v>0</v>
      </c>
      <c r="SKR6" s="88">
        <f t="shared" si="205"/>
        <v>0</v>
      </c>
      <c r="SKS6" s="88">
        <f t="shared" si="205"/>
        <v>0</v>
      </c>
      <c r="SKT6" s="88">
        <f t="shared" si="205"/>
        <v>0</v>
      </c>
      <c r="SKU6" s="88">
        <f t="shared" si="205"/>
        <v>0</v>
      </c>
      <c r="SKV6" s="88">
        <f t="shared" si="205"/>
        <v>0</v>
      </c>
      <c r="SKW6" s="88">
        <f t="shared" si="205"/>
        <v>0</v>
      </c>
      <c r="SKX6" s="88">
        <f t="shared" si="205"/>
        <v>0</v>
      </c>
      <c r="SKY6" s="88">
        <f t="shared" si="205"/>
        <v>0</v>
      </c>
      <c r="SKZ6" s="88">
        <f t="shared" si="205"/>
        <v>0</v>
      </c>
      <c r="SLA6" s="88">
        <f t="shared" si="205"/>
        <v>0</v>
      </c>
      <c r="SLB6" s="88">
        <f t="shared" si="205"/>
        <v>0</v>
      </c>
      <c r="SLC6" s="88">
        <f t="shared" si="205"/>
        <v>0</v>
      </c>
      <c r="SLD6" s="88">
        <f t="shared" si="205"/>
        <v>0</v>
      </c>
      <c r="SLE6" s="88">
        <f t="shared" si="205"/>
        <v>0</v>
      </c>
      <c r="SLF6" s="88">
        <f t="shared" si="205"/>
        <v>0</v>
      </c>
      <c r="SLG6" s="88">
        <f t="shared" si="205"/>
        <v>0</v>
      </c>
      <c r="SLH6" s="88">
        <f t="shared" si="205"/>
        <v>0</v>
      </c>
      <c r="SLI6" s="88">
        <f t="shared" si="205"/>
        <v>0</v>
      </c>
      <c r="SLJ6" s="88">
        <f t="shared" si="205"/>
        <v>0</v>
      </c>
      <c r="SLK6" s="88">
        <f t="shared" si="205"/>
        <v>0</v>
      </c>
      <c r="SLL6" s="88">
        <f t="shared" si="205"/>
        <v>0</v>
      </c>
      <c r="SLM6" s="88">
        <f t="shared" si="205"/>
        <v>0</v>
      </c>
      <c r="SLN6" s="88">
        <f t="shared" si="205"/>
        <v>0</v>
      </c>
      <c r="SLO6" s="88">
        <f t="shared" si="205"/>
        <v>0</v>
      </c>
      <c r="SLP6" s="88">
        <f t="shared" si="205"/>
        <v>0</v>
      </c>
      <c r="SLQ6" s="88">
        <f t="shared" si="205"/>
        <v>0</v>
      </c>
      <c r="SLR6" s="88">
        <f t="shared" si="205"/>
        <v>0</v>
      </c>
      <c r="SLS6" s="88">
        <f t="shared" si="205"/>
        <v>0</v>
      </c>
      <c r="SLT6" s="88">
        <f t="shared" si="205"/>
        <v>0</v>
      </c>
      <c r="SLU6" s="88">
        <f t="shared" si="205"/>
        <v>0</v>
      </c>
      <c r="SLV6" s="88">
        <f t="shared" si="205"/>
        <v>0</v>
      </c>
      <c r="SLW6" s="88">
        <f t="shared" si="205"/>
        <v>0</v>
      </c>
      <c r="SLX6" s="88">
        <f t="shared" si="205"/>
        <v>0</v>
      </c>
      <c r="SLY6" s="88">
        <f t="shared" si="205"/>
        <v>0</v>
      </c>
      <c r="SLZ6" s="88">
        <f t="shared" si="205"/>
        <v>0</v>
      </c>
      <c r="SMA6" s="88">
        <f t="shared" si="205"/>
        <v>0</v>
      </c>
      <c r="SMB6" s="88">
        <f t="shared" si="205"/>
        <v>0</v>
      </c>
      <c r="SMC6" s="88">
        <f t="shared" si="205"/>
        <v>0</v>
      </c>
      <c r="SMD6" s="88">
        <f t="shared" si="205"/>
        <v>0</v>
      </c>
      <c r="SME6" s="88">
        <f t="shared" si="205"/>
        <v>0</v>
      </c>
      <c r="SMF6" s="88">
        <f t="shared" si="205"/>
        <v>0</v>
      </c>
      <c r="SMG6" s="88">
        <f t="shared" si="205"/>
        <v>0</v>
      </c>
      <c r="SMH6" s="88">
        <f t="shared" si="205"/>
        <v>0</v>
      </c>
      <c r="SMI6" s="88">
        <f t="shared" si="205"/>
        <v>0</v>
      </c>
      <c r="SMJ6" s="88">
        <f t="shared" si="205"/>
        <v>0</v>
      </c>
      <c r="SMK6" s="88">
        <f t="shared" si="205"/>
        <v>0</v>
      </c>
      <c r="SML6" s="88">
        <f t="shared" si="205"/>
        <v>0</v>
      </c>
      <c r="SMM6" s="88">
        <f t="shared" si="205"/>
        <v>0</v>
      </c>
      <c r="SMN6" s="88">
        <f t="shared" ref="SMN6:SOY6" si="206">SUM(SMO3:SMO5)</f>
        <v>0</v>
      </c>
      <c r="SMO6" s="88">
        <f t="shared" si="206"/>
        <v>0</v>
      </c>
      <c r="SMP6" s="88">
        <f t="shared" si="206"/>
        <v>0</v>
      </c>
      <c r="SMQ6" s="88">
        <f t="shared" si="206"/>
        <v>0</v>
      </c>
      <c r="SMR6" s="88">
        <f t="shared" si="206"/>
        <v>0</v>
      </c>
      <c r="SMS6" s="88">
        <f t="shared" si="206"/>
        <v>0</v>
      </c>
      <c r="SMT6" s="88">
        <f t="shared" si="206"/>
        <v>0</v>
      </c>
      <c r="SMU6" s="88">
        <f t="shared" si="206"/>
        <v>0</v>
      </c>
      <c r="SMV6" s="88">
        <f t="shared" si="206"/>
        <v>0</v>
      </c>
      <c r="SMW6" s="88">
        <f t="shared" si="206"/>
        <v>0</v>
      </c>
      <c r="SMX6" s="88">
        <f t="shared" si="206"/>
        <v>0</v>
      </c>
      <c r="SMY6" s="88">
        <f t="shared" si="206"/>
        <v>0</v>
      </c>
      <c r="SMZ6" s="88">
        <f t="shared" si="206"/>
        <v>0</v>
      </c>
      <c r="SNA6" s="88">
        <f t="shared" si="206"/>
        <v>0</v>
      </c>
      <c r="SNB6" s="88">
        <f t="shared" si="206"/>
        <v>0</v>
      </c>
      <c r="SNC6" s="88">
        <f t="shared" si="206"/>
        <v>0</v>
      </c>
      <c r="SND6" s="88">
        <f t="shared" si="206"/>
        <v>0</v>
      </c>
      <c r="SNE6" s="88">
        <f t="shared" si="206"/>
        <v>0</v>
      </c>
      <c r="SNF6" s="88">
        <f t="shared" si="206"/>
        <v>0</v>
      </c>
      <c r="SNG6" s="88">
        <f t="shared" si="206"/>
        <v>0</v>
      </c>
      <c r="SNH6" s="88">
        <f t="shared" si="206"/>
        <v>0</v>
      </c>
      <c r="SNI6" s="88">
        <f t="shared" si="206"/>
        <v>0</v>
      </c>
      <c r="SNJ6" s="88">
        <f t="shared" si="206"/>
        <v>0</v>
      </c>
      <c r="SNK6" s="88">
        <f t="shared" si="206"/>
        <v>0</v>
      </c>
      <c r="SNL6" s="88">
        <f t="shared" si="206"/>
        <v>0</v>
      </c>
      <c r="SNM6" s="88">
        <f t="shared" si="206"/>
        <v>0</v>
      </c>
      <c r="SNN6" s="88">
        <f t="shared" si="206"/>
        <v>0</v>
      </c>
      <c r="SNO6" s="88">
        <f t="shared" si="206"/>
        <v>0</v>
      </c>
      <c r="SNP6" s="88">
        <f t="shared" si="206"/>
        <v>0</v>
      </c>
      <c r="SNQ6" s="88">
        <f t="shared" si="206"/>
        <v>0</v>
      </c>
      <c r="SNR6" s="88">
        <f t="shared" si="206"/>
        <v>0</v>
      </c>
      <c r="SNS6" s="88">
        <f t="shared" si="206"/>
        <v>0</v>
      </c>
      <c r="SNT6" s="88">
        <f t="shared" si="206"/>
        <v>0</v>
      </c>
      <c r="SNU6" s="88">
        <f t="shared" si="206"/>
        <v>0</v>
      </c>
      <c r="SNV6" s="88">
        <f t="shared" si="206"/>
        <v>0</v>
      </c>
      <c r="SNW6" s="88">
        <f t="shared" si="206"/>
        <v>0</v>
      </c>
      <c r="SNX6" s="88">
        <f t="shared" si="206"/>
        <v>0</v>
      </c>
      <c r="SNY6" s="88">
        <f t="shared" si="206"/>
        <v>0</v>
      </c>
      <c r="SNZ6" s="88">
        <f t="shared" si="206"/>
        <v>0</v>
      </c>
      <c r="SOA6" s="88">
        <f t="shared" si="206"/>
        <v>0</v>
      </c>
      <c r="SOB6" s="88">
        <f t="shared" si="206"/>
        <v>0</v>
      </c>
      <c r="SOC6" s="88">
        <f t="shared" si="206"/>
        <v>0</v>
      </c>
      <c r="SOD6" s="88">
        <f t="shared" si="206"/>
        <v>0</v>
      </c>
      <c r="SOE6" s="88">
        <f t="shared" si="206"/>
        <v>0</v>
      </c>
      <c r="SOF6" s="88">
        <f t="shared" si="206"/>
        <v>0</v>
      </c>
      <c r="SOG6" s="88">
        <f t="shared" si="206"/>
        <v>0</v>
      </c>
      <c r="SOH6" s="88">
        <f t="shared" si="206"/>
        <v>0</v>
      </c>
      <c r="SOI6" s="88">
        <f t="shared" si="206"/>
        <v>0</v>
      </c>
      <c r="SOJ6" s="88">
        <f t="shared" si="206"/>
        <v>0</v>
      </c>
      <c r="SOK6" s="88">
        <f t="shared" si="206"/>
        <v>0</v>
      </c>
      <c r="SOL6" s="88">
        <f t="shared" si="206"/>
        <v>0</v>
      </c>
      <c r="SOM6" s="88">
        <f t="shared" si="206"/>
        <v>0</v>
      </c>
      <c r="SON6" s="88">
        <f t="shared" si="206"/>
        <v>0</v>
      </c>
      <c r="SOO6" s="88">
        <f t="shared" si="206"/>
        <v>0</v>
      </c>
      <c r="SOP6" s="88">
        <f t="shared" si="206"/>
        <v>0</v>
      </c>
      <c r="SOQ6" s="88">
        <f t="shared" si="206"/>
        <v>0</v>
      </c>
      <c r="SOR6" s="88">
        <f t="shared" si="206"/>
        <v>0</v>
      </c>
      <c r="SOS6" s="88">
        <f t="shared" si="206"/>
        <v>0</v>
      </c>
      <c r="SOT6" s="88">
        <f t="shared" si="206"/>
        <v>0</v>
      </c>
      <c r="SOU6" s="88">
        <f t="shared" si="206"/>
        <v>0</v>
      </c>
      <c r="SOV6" s="88">
        <f t="shared" si="206"/>
        <v>0</v>
      </c>
      <c r="SOW6" s="88">
        <f t="shared" si="206"/>
        <v>0</v>
      </c>
      <c r="SOX6" s="88">
        <f t="shared" si="206"/>
        <v>0</v>
      </c>
      <c r="SOY6" s="88">
        <f t="shared" si="206"/>
        <v>0</v>
      </c>
      <c r="SOZ6" s="88">
        <f t="shared" ref="SOZ6:SRK6" si="207">SUM(SPA3:SPA5)</f>
        <v>0</v>
      </c>
      <c r="SPA6" s="88">
        <f t="shared" si="207"/>
        <v>0</v>
      </c>
      <c r="SPB6" s="88">
        <f t="shared" si="207"/>
        <v>0</v>
      </c>
      <c r="SPC6" s="88">
        <f t="shared" si="207"/>
        <v>0</v>
      </c>
      <c r="SPD6" s="88">
        <f t="shared" si="207"/>
        <v>0</v>
      </c>
      <c r="SPE6" s="88">
        <f t="shared" si="207"/>
        <v>0</v>
      </c>
      <c r="SPF6" s="88">
        <f t="shared" si="207"/>
        <v>0</v>
      </c>
      <c r="SPG6" s="88">
        <f t="shared" si="207"/>
        <v>0</v>
      </c>
      <c r="SPH6" s="88">
        <f t="shared" si="207"/>
        <v>0</v>
      </c>
      <c r="SPI6" s="88">
        <f t="shared" si="207"/>
        <v>0</v>
      </c>
      <c r="SPJ6" s="88">
        <f t="shared" si="207"/>
        <v>0</v>
      </c>
      <c r="SPK6" s="88">
        <f t="shared" si="207"/>
        <v>0</v>
      </c>
      <c r="SPL6" s="88">
        <f t="shared" si="207"/>
        <v>0</v>
      </c>
      <c r="SPM6" s="88">
        <f t="shared" si="207"/>
        <v>0</v>
      </c>
      <c r="SPN6" s="88">
        <f t="shared" si="207"/>
        <v>0</v>
      </c>
      <c r="SPO6" s="88">
        <f t="shared" si="207"/>
        <v>0</v>
      </c>
      <c r="SPP6" s="88">
        <f t="shared" si="207"/>
        <v>0</v>
      </c>
      <c r="SPQ6" s="88">
        <f t="shared" si="207"/>
        <v>0</v>
      </c>
      <c r="SPR6" s="88">
        <f t="shared" si="207"/>
        <v>0</v>
      </c>
      <c r="SPS6" s="88">
        <f t="shared" si="207"/>
        <v>0</v>
      </c>
      <c r="SPT6" s="88">
        <f t="shared" si="207"/>
        <v>0</v>
      </c>
      <c r="SPU6" s="88">
        <f t="shared" si="207"/>
        <v>0</v>
      </c>
      <c r="SPV6" s="88">
        <f t="shared" si="207"/>
        <v>0</v>
      </c>
      <c r="SPW6" s="88">
        <f t="shared" si="207"/>
        <v>0</v>
      </c>
      <c r="SPX6" s="88">
        <f t="shared" si="207"/>
        <v>0</v>
      </c>
      <c r="SPY6" s="88">
        <f t="shared" si="207"/>
        <v>0</v>
      </c>
      <c r="SPZ6" s="88">
        <f t="shared" si="207"/>
        <v>0</v>
      </c>
      <c r="SQA6" s="88">
        <f t="shared" si="207"/>
        <v>0</v>
      </c>
      <c r="SQB6" s="88">
        <f t="shared" si="207"/>
        <v>0</v>
      </c>
      <c r="SQC6" s="88">
        <f t="shared" si="207"/>
        <v>0</v>
      </c>
      <c r="SQD6" s="88">
        <f t="shared" si="207"/>
        <v>0</v>
      </c>
      <c r="SQE6" s="88">
        <f t="shared" si="207"/>
        <v>0</v>
      </c>
      <c r="SQF6" s="88">
        <f t="shared" si="207"/>
        <v>0</v>
      </c>
      <c r="SQG6" s="88">
        <f t="shared" si="207"/>
        <v>0</v>
      </c>
      <c r="SQH6" s="88">
        <f t="shared" si="207"/>
        <v>0</v>
      </c>
      <c r="SQI6" s="88">
        <f t="shared" si="207"/>
        <v>0</v>
      </c>
      <c r="SQJ6" s="88">
        <f t="shared" si="207"/>
        <v>0</v>
      </c>
      <c r="SQK6" s="88">
        <f t="shared" si="207"/>
        <v>0</v>
      </c>
      <c r="SQL6" s="88">
        <f t="shared" si="207"/>
        <v>0</v>
      </c>
      <c r="SQM6" s="88">
        <f t="shared" si="207"/>
        <v>0</v>
      </c>
      <c r="SQN6" s="88">
        <f t="shared" si="207"/>
        <v>0</v>
      </c>
      <c r="SQO6" s="88">
        <f t="shared" si="207"/>
        <v>0</v>
      </c>
      <c r="SQP6" s="88">
        <f t="shared" si="207"/>
        <v>0</v>
      </c>
      <c r="SQQ6" s="88">
        <f t="shared" si="207"/>
        <v>0</v>
      </c>
      <c r="SQR6" s="88">
        <f t="shared" si="207"/>
        <v>0</v>
      </c>
      <c r="SQS6" s="88">
        <f t="shared" si="207"/>
        <v>0</v>
      </c>
      <c r="SQT6" s="88">
        <f t="shared" si="207"/>
        <v>0</v>
      </c>
      <c r="SQU6" s="88">
        <f t="shared" si="207"/>
        <v>0</v>
      </c>
      <c r="SQV6" s="88">
        <f t="shared" si="207"/>
        <v>0</v>
      </c>
      <c r="SQW6" s="88">
        <f t="shared" si="207"/>
        <v>0</v>
      </c>
      <c r="SQX6" s="88">
        <f t="shared" si="207"/>
        <v>0</v>
      </c>
      <c r="SQY6" s="88">
        <f t="shared" si="207"/>
        <v>0</v>
      </c>
      <c r="SQZ6" s="88">
        <f t="shared" si="207"/>
        <v>0</v>
      </c>
      <c r="SRA6" s="88">
        <f t="shared" si="207"/>
        <v>0</v>
      </c>
      <c r="SRB6" s="88">
        <f t="shared" si="207"/>
        <v>0</v>
      </c>
      <c r="SRC6" s="88">
        <f t="shared" si="207"/>
        <v>0</v>
      </c>
      <c r="SRD6" s="88">
        <f t="shared" si="207"/>
        <v>0</v>
      </c>
      <c r="SRE6" s="88">
        <f t="shared" si="207"/>
        <v>0</v>
      </c>
      <c r="SRF6" s="88">
        <f t="shared" si="207"/>
        <v>0</v>
      </c>
      <c r="SRG6" s="88">
        <f t="shared" si="207"/>
        <v>0</v>
      </c>
      <c r="SRH6" s="88">
        <f t="shared" si="207"/>
        <v>0</v>
      </c>
      <c r="SRI6" s="88">
        <f t="shared" si="207"/>
        <v>0</v>
      </c>
      <c r="SRJ6" s="88">
        <f t="shared" si="207"/>
        <v>0</v>
      </c>
      <c r="SRK6" s="88">
        <f t="shared" si="207"/>
        <v>0</v>
      </c>
      <c r="SRL6" s="88">
        <f t="shared" ref="SRL6:STW6" si="208">SUM(SRM3:SRM5)</f>
        <v>0</v>
      </c>
      <c r="SRM6" s="88">
        <f t="shared" si="208"/>
        <v>0</v>
      </c>
      <c r="SRN6" s="88">
        <f t="shared" si="208"/>
        <v>0</v>
      </c>
      <c r="SRO6" s="88">
        <f t="shared" si="208"/>
        <v>0</v>
      </c>
      <c r="SRP6" s="88">
        <f t="shared" si="208"/>
        <v>0</v>
      </c>
      <c r="SRQ6" s="88">
        <f t="shared" si="208"/>
        <v>0</v>
      </c>
      <c r="SRR6" s="88">
        <f t="shared" si="208"/>
        <v>0</v>
      </c>
      <c r="SRS6" s="88">
        <f t="shared" si="208"/>
        <v>0</v>
      </c>
      <c r="SRT6" s="88">
        <f t="shared" si="208"/>
        <v>0</v>
      </c>
      <c r="SRU6" s="88">
        <f t="shared" si="208"/>
        <v>0</v>
      </c>
      <c r="SRV6" s="88">
        <f t="shared" si="208"/>
        <v>0</v>
      </c>
      <c r="SRW6" s="88">
        <f t="shared" si="208"/>
        <v>0</v>
      </c>
      <c r="SRX6" s="88">
        <f t="shared" si="208"/>
        <v>0</v>
      </c>
      <c r="SRY6" s="88">
        <f t="shared" si="208"/>
        <v>0</v>
      </c>
      <c r="SRZ6" s="88">
        <f t="shared" si="208"/>
        <v>0</v>
      </c>
      <c r="SSA6" s="88">
        <f t="shared" si="208"/>
        <v>0</v>
      </c>
      <c r="SSB6" s="88">
        <f t="shared" si="208"/>
        <v>0</v>
      </c>
      <c r="SSC6" s="88">
        <f t="shared" si="208"/>
        <v>0</v>
      </c>
      <c r="SSD6" s="88">
        <f t="shared" si="208"/>
        <v>0</v>
      </c>
      <c r="SSE6" s="88">
        <f t="shared" si="208"/>
        <v>0</v>
      </c>
      <c r="SSF6" s="88">
        <f t="shared" si="208"/>
        <v>0</v>
      </c>
      <c r="SSG6" s="88">
        <f t="shared" si="208"/>
        <v>0</v>
      </c>
      <c r="SSH6" s="88">
        <f t="shared" si="208"/>
        <v>0</v>
      </c>
      <c r="SSI6" s="88">
        <f t="shared" si="208"/>
        <v>0</v>
      </c>
      <c r="SSJ6" s="88">
        <f t="shared" si="208"/>
        <v>0</v>
      </c>
      <c r="SSK6" s="88">
        <f t="shared" si="208"/>
        <v>0</v>
      </c>
      <c r="SSL6" s="88">
        <f t="shared" si="208"/>
        <v>0</v>
      </c>
      <c r="SSM6" s="88">
        <f t="shared" si="208"/>
        <v>0</v>
      </c>
      <c r="SSN6" s="88">
        <f t="shared" si="208"/>
        <v>0</v>
      </c>
      <c r="SSO6" s="88">
        <f t="shared" si="208"/>
        <v>0</v>
      </c>
      <c r="SSP6" s="88">
        <f t="shared" si="208"/>
        <v>0</v>
      </c>
      <c r="SSQ6" s="88">
        <f t="shared" si="208"/>
        <v>0</v>
      </c>
      <c r="SSR6" s="88">
        <f t="shared" si="208"/>
        <v>0</v>
      </c>
      <c r="SSS6" s="88">
        <f t="shared" si="208"/>
        <v>0</v>
      </c>
      <c r="SST6" s="88">
        <f t="shared" si="208"/>
        <v>0</v>
      </c>
      <c r="SSU6" s="88">
        <f t="shared" si="208"/>
        <v>0</v>
      </c>
      <c r="SSV6" s="88">
        <f t="shared" si="208"/>
        <v>0</v>
      </c>
      <c r="SSW6" s="88">
        <f t="shared" si="208"/>
        <v>0</v>
      </c>
      <c r="SSX6" s="88">
        <f t="shared" si="208"/>
        <v>0</v>
      </c>
      <c r="SSY6" s="88">
        <f t="shared" si="208"/>
        <v>0</v>
      </c>
      <c r="SSZ6" s="88">
        <f t="shared" si="208"/>
        <v>0</v>
      </c>
      <c r="STA6" s="88">
        <f t="shared" si="208"/>
        <v>0</v>
      </c>
      <c r="STB6" s="88">
        <f t="shared" si="208"/>
        <v>0</v>
      </c>
      <c r="STC6" s="88">
        <f t="shared" si="208"/>
        <v>0</v>
      </c>
      <c r="STD6" s="88">
        <f t="shared" si="208"/>
        <v>0</v>
      </c>
      <c r="STE6" s="88">
        <f t="shared" si="208"/>
        <v>0</v>
      </c>
      <c r="STF6" s="88">
        <f t="shared" si="208"/>
        <v>0</v>
      </c>
      <c r="STG6" s="88">
        <f t="shared" si="208"/>
        <v>0</v>
      </c>
      <c r="STH6" s="88">
        <f t="shared" si="208"/>
        <v>0</v>
      </c>
      <c r="STI6" s="88">
        <f t="shared" si="208"/>
        <v>0</v>
      </c>
      <c r="STJ6" s="88">
        <f t="shared" si="208"/>
        <v>0</v>
      </c>
      <c r="STK6" s="88">
        <f t="shared" si="208"/>
        <v>0</v>
      </c>
      <c r="STL6" s="88">
        <f t="shared" si="208"/>
        <v>0</v>
      </c>
      <c r="STM6" s="88">
        <f t="shared" si="208"/>
        <v>0</v>
      </c>
      <c r="STN6" s="88">
        <f t="shared" si="208"/>
        <v>0</v>
      </c>
      <c r="STO6" s="88">
        <f t="shared" si="208"/>
        <v>0</v>
      </c>
      <c r="STP6" s="88">
        <f t="shared" si="208"/>
        <v>0</v>
      </c>
      <c r="STQ6" s="88">
        <f t="shared" si="208"/>
        <v>0</v>
      </c>
      <c r="STR6" s="88">
        <f t="shared" si="208"/>
        <v>0</v>
      </c>
      <c r="STS6" s="88">
        <f t="shared" si="208"/>
        <v>0</v>
      </c>
      <c r="STT6" s="88">
        <f t="shared" si="208"/>
        <v>0</v>
      </c>
      <c r="STU6" s="88">
        <f t="shared" si="208"/>
        <v>0</v>
      </c>
      <c r="STV6" s="88">
        <f t="shared" si="208"/>
        <v>0</v>
      </c>
      <c r="STW6" s="88">
        <f t="shared" si="208"/>
        <v>0</v>
      </c>
      <c r="STX6" s="88">
        <f t="shared" ref="STX6:SWI6" si="209">SUM(STY3:STY5)</f>
        <v>0</v>
      </c>
      <c r="STY6" s="88">
        <f t="shared" si="209"/>
        <v>0</v>
      </c>
      <c r="STZ6" s="88">
        <f t="shared" si="209"/>
        <v>0</v>
      </c>
      <c r="SUA6" s="88">
        <f t="shared" si="209"/>
        <v>0</v>
      </c>
      <c r="SUB6" s="88">
        <f t="shared" si="209"/>
        <v>0</v>
      </c>
      <c r="SUC6" s="88">
        <f t="shared" si="209"/>
        <v>0</v>
      </c>
      <c r="SUD6" s="88">
        <f t="shared" si="209"/>
        <v>0</v>
      </c>
      <c r="SUE6" s="88">
        <f t="shared" si="209"/>
        <v>0</v>
      </c>
      <c r="SUF6" s="88">
        <f t="shared" si="209"/>
        <v>0</v>
      </c>
      <c r="SUG6" s="88">
        <f t="shared" si="209"/>
        <v>0</v>
      </c>
      <c r="SUH6" s="88">
        <f t="shared" si="209"/>
        <v>0</v>
      </c>
      <c r="SUI6" s="88">
        <f t="shared" si="209"/>
        <v>0</v>
      </c>
      <c r="SUJ6" s="88">
        <f t="shared" si="209"/>
        <v>0</v>
      </c>
      <c r="SUK6" s="88">
        <f t="shared" si="209"/>
        <v>0</v>
      </c>
      <c r="SUL6" s="88">
        <f t="shared" si="209"/>
        <v>0</v>
      </c>
      <c r="SUM6" s="88">
        <f t="shared" si="209"/>
        <v>0</v>
      </c>
      <c r="SUN6" s="88">
        <f t="shared" si="209"/>
        <v>0</v>
      </c>
      <c r="SUO6" s="88">
        <f t="shared" si="209"/>
        <v>0</v>
      </c>
      <c r="SUP6" s="88">
        <f t="shared" si="209"/>
        <v>0</v>
      </c>
      <c r="SUQ6" s="88">
        <f t="shared" si="209"/>
        <v>0</v>
      </c>
      <c r="SUR6" s="88">
        <f t="shared" si="209"/>
        <v>0</v>
      </c>
      <c r="SUS6" s="88">
        <f t="shared" si="209"/>
        <v>0</v>
      </c>
      <c r="SUT6" s="88">
        <f t="shared" si="209"/>
        <v>0</v>
      </c>
      <c r="SUU6" s="88">
        <f t="shared" si="209"/>
        <v>0</v>
      </c>
      <c r="SUV6" s="88">
        <f t="shared" si="209"/>
        <v>0</v>
      </c>
      <c r="SUW6" s="88">
        <f t="shared" si="209"/>
        <v>0</v>
      </c>
      <c r="SUX6" s="88">
        <f t="shared" si="209"/>
        <v>0</v>
      </c>
      <c r="SUY6" s="88">
        <f t="shared" si="209"/>
        <v>0</v>
      </c>
      <c r="SUZ6" s="88">
        <f t="shared" si="209"/>
        <v>0</v>
      </c>
      <c r="SVA6" s="88">
        <f t="shared" si="209"/>
        <v>0</v>
      </c>
      <c r="SVB6" s="88">
        <f t="shared" si="209"/>
        <v>0</v>
      </c>
      <c r="SVC6" s="88">
        <f t="shared" si="209"/>
        <v>0</v>
      </c>
      <c r="SVD6" s="88">
        <f t="shared" si="209"/>
        <v>0</v>
      </c>
      <c r="SVE6" s="88">
        <f t="shared" si="209"/>
        <v>0</v>
      </c>
      <c r="SVF6" s="88">
        <f t="shared" si="209"/>
        <v>0</v>
      </c>
      <c r="SVG6" s="88">
        <f t="shared" si="209"/>
        <v>0</v>
      </c>
      <c r="SVH6" s="88">
        <f t="shared" si="209"/>
        <v>0</v>
      </c>
      <c r="SVI6" s="88">
        <f t="shared" si="209"/>
        <v>0</v>
      </c>
      <c r="SVJ6" s="88">
        <f t="shared" si="209"/>
        <v>0</v>
      </c>
      <c r="SVK6" s="88">
        <f t="shared" si="209"/>
        <v>0</v>
      </c>
      <c r="SVL6" s="88">
        <f t="shared" si="209"/>
        <v>0</v>
      </c>
      <c r="SVM6" s="88">
        <f t="shared" si="209"/>
        <v>0</v>
      </c>
      <c r="SVN6" s="88">
        <f t="shared" si="209"/>
        <v>0</v>
      </c>
      <c r="SVO6" s="88">
        <f t="shared" si="209"/>
        <v>0</v>
      </c>
      <c r="SVP6" s="88">
        <f t="shared" si="209"/>
        <v>0</v>
      </c>
      <c r="SVQ6" s="88">
        <f t="shared" si="209"/>
        <v>0</v>
      </c>
      <c r="SVR6" s="88">
        <f t="shared" si="209"/>
        <v>0</v>
      </c>
      <c r="SVS6" s="88">
        <f t="shared" si="209"/>
        <v>0</v>
      </c>
      <c r="SVT6" s="88">
        <f t="shared" si="209"/>
        <v>0</v>
      </c>
      <c r="SVU6" s="88">
        <f t="shared" si="209"/>
        <v>0</v>
      </c>
      <c r="SVV6" s="88">
        <f t="shared" si="209"/>
        <v>0</v>
      </c>
      <c r="SVW6" s="88">
        <f t="shared" si="209"/>
        <v>0</v>
      </c>
      <c r="SVX6" s="88">
        <f t="shared" si="209"/>
        <v>0</v>
      </c>
      <c r="SVY6" s="88">
        <f t="shared" si="209"/>
        <v>0</v>
      </c>
      <c r="SVZ6" s="88">
        <f t="shared" si="209"/>
        <v>0</v>
      </c>
      <c r="SWA6" s="88">
        <f t="shared" si="209"/>
        <v>0</v>
      </c>
      <c r="SWB6" s="88">
        <f t="shared" si="209"/>
        <v>0</v>
      </c>
      <c r="SWC6" s="88">
        <f t="shared" si="209"/>
        <v>0</v>
      </c>
      <c r="SWD6" s="88">
        <f t="shared" si="209"/>
        <v>0</v>
      </c>
      <c r="SWE6" s="88">
        <f t="shared" si="209"/>
        <v>0</v>
      </c>
      <c r="SWF6" s="88">
        <f t="shared" si="209"/>
        <v>0</v>
      </c>
      <c r="SWG6" s="88">
        <f t="shared" si="209"/>
        <v>0</v>
      </c>
      <c r="SWH6" s="88">
        <f t="shared" si="209"/>
        <v>0</v>
      </c>
      <c r="SWI6" s="88">
        <f t="shared" si="209"/>
        <v>0</v>
      </c>
      <c r="SWJ6" s="88">
        <f t="shared" ref="SWJ6:SYU6" si="210">SUM(SWK3:SWK5)</f>
        <v>0</v>
      </c>
      <c r="SWK6" s="88">
        <f t="shared" si="210"/>
        <v>0</v>
      </c>
      <c r="SWL6" s="88">
        <f t="shared" si="210"/>
        <v>0</v>
      </c>
      <c r="SWM6" s="88">
        <f t="shared" si="210"/>
        <v>0</v>
      </c>
      <c r="SWN6" s="88">
        <f t="shared" si="210"/>
        <v>0</v>
      </c>
      <c r="SWO6" s="88">
        <f t="shared" si="210"/>
        <v>0</v>
      </c>
      <c r="SWP6" s="88">
        <f t="shared" si="210"/>
        <v>0</v>
      </c>
      <c r="SWQ6" s="88">
        <f t="shared" si="210"/>
        <v>0</v>
      </c>
      <c r="SWR6" s="88">
        <f t="shared" si="210"/>
        <v>0</v>
      </c>
      <c r="SWS6" s="88">
        <f t="shared" si="210"/>
        <v>0</v>
      </c>
      <c r="SWT6" s="88">
        <f t="shared" si="210"/>
        <v>0</v>
      </c>
      <c r="SWU6" s="88">
        <f t="shared" si="210"/>
        <v>0</v>
      </c>
      <c r="SWV6" s="88">
        <f t="shared" si="210"/>
        <v>0</v>
      </c>
      <c r="SWW6" s="88">
        <f t="shared" si="210"/>
        <v>0</v>
      </c>
      <c r="SWX6" s="88">
        <f t="shared" si="210"/>
        <v>0</v>
      </c>
      <c r="SWY6" s="88">
        <f t="shared" si="210"/>
        <v>0</v>
      </c>
      <c r="SWZ6" s="88">
        <f t="shared" si="210"/>
        <v>0</v>
      </c>
      <c r="SXA6" s="88">
        <f t="shared" si="210"/>
        <v>0</v>
      </c>
      <c r="SXB6" s="88">
        <f t="shared" si="210"/>
        <v>0</v>
      </c>
      <c r="SXC6" s="88">
        <f t="shared" si="210"/>
        <v>0</v>
      </c>
      <c r="SXD6" s="88">
        <f t="shared" si="210"/>
        <v>0</v>
      </c>
      <c r="SXE6" s="88">
        <f t="shared" si="210"/>
        <v>0</v>
      </c>
      <c r="SXF6" s="88">
        <f t="shared" si="210"/>
        <v>0</v>
      </c>
      <c r="SXG6" s="88">
        <f t="shared" si="210"/>
        <v>0</v>
      </c>
      <c r="SXH6" s="88">
        <f t="shared" si="210"/>
        <v>0</v>
      </c>
      <c r="SXI6" s="88">
        <f t="shared" si="210"/>
        <v>0</v>
      </c>
      <c r="SXJ6" s="88">
        <f t="shared" si="210"/>
        <v>0</v>
      </c>
      <c r="SXK6" s="88">
        <f t="shared" si="210"/>
        <v>0</v>
      </c>
      <c r="SXL6" s="88">
        <f t="shared" si="210"/>
        <v>0</v>
      </c>
      <c r="SXM6" s="88">
        <f t="shared" si="210"/>
        <v>0</v>
      </c>
      <c r="SXN6" s="88">
        <f t="shared" si="210"/>
        <v>0</v>
      </c>
      <c r="SXO6" s="88">
        <f t="shared" si="210"/>
        <v>0</v>
      </c>
      <c r="SXP6" s="88">
        <f t="shared" si="210"/>
        <v>0</v>
      </c>
      <c r="SXQ6" s="88">
        <f t="shared" si="210"/>
        <v>0</v>
      </c>
      <c r="SXR6" s="88">
        <f t="shared" si="210"/>
        <v>0</v>
      </c>
      <c r="SXS6" s="88">
        <f t="shared" si="210"/>
        <v>0</v>
      </c>
      <c r="SXT6" s="88">
        <f t="shared" si="210"/>
        <v>0</v>
      </c>
      <c r="SXU6" s="88">
        <f t="shared" si="210"/>
        <v>0</v>
      </c>
      <c r="SXV6" s="88">
        <f t="shared" si="210"/>
        <v>0</v>
      </c>
      <c r="SXW6" s="88">
        <f t="shared" si="210"/>
        <v>0</v>
      </c>
      <c r="SXX6" s="88">
        <f t="shared" si="210"/>
        <v>0</v>
      </c>
      <c r="SXY6" s="88">
        <f t="shared" si="210"/>
        <v>0</v>
      </c>
      <c r="SXZ6" s="88">
        <f t="shared" si="210"/>
        <v>0</v>
      </c>
      <c r="SYA6" s="88">
        <f t="shared" si="210"/>
        <v>0</v>
      </c>
      <c r="SYB6" s="88">
        <f t="shared" si="210"/>
        <v>0</v>
      </c>
      <c r="SYC6" s="88">
        <f t="shared" si="210"/>
        <v>0</v>
      </c>
      <c r="SYD6" s="88">
        <f t="shared" si="210"/>
        <v>0</v>
      </c>
      <c r="SYE6" s="88">
        <f t="shared" si="210"/>
        <v>0</v>
      </c>
      <c r="SYF6" s="88">
        <f t="shared" si="210"/>
        <v>0</v>
      </c>
      <c r="SYG6" s="88">
        <f t="shared" si="210"/>
        <v>0</v>
      </c>
      <c r="SYH6" s="88">
        <f t="shared" si="210"/>
        <v>0</v>
      </c>
      <c r="SYI6" s="88">
        <f t="shared" si="210"/>
        <v>0</v>
      </c>
      <c r="SYJ6" s="88">
        <f t="shared" si="210"/>
        <v>0</v>
      </c>
      <c r="SYK6" s="88">
        <f t="shared" si="210"/>
        <v>0</v>
      </c>
      <c r="SYL6" s="88">
        <f t="shared" si="210"/>
        <v>0</v>
      </c>
      <c r="SYM6" s="88">
        <f t="shared" si="210"/>
        <v>0</v>
      </c>
      <c r="SYN6" s="88">
        <f t="shared" si="210"/>
        <v>0</v>
      </c>
      <c r="SYO6" s="88">
        <f t="shared" si="210"/>
        <v>0</v>
      </c>
      <c r="SYP6" s="88">
        <f t="shared" si="210"/>
        <v>0</v>
      </c>
      <c r="SYQ6" s="88">
        <f t="shared" si="210"/>
        <v>0</v>
      </c>
      <c r="SYR6" s="88">
        <f t="shared" si="210"/>
        <v>0</v>
      </c>
      <c r="SYS6" s="88">
        <f t="shared" si="210"/>
        <v>0</v>
      </c>
      <c r="SYT6" s="88">
        <f t="shared" si="210"/>
        <v>0</v>
      </c>
      <c r="SYU6" s="88">
        <f t="shared" si="210"/>
        <v>0</v>
      </c>
      <c r="SYV6" s="88">
        <f t="shared" ref="SYV6:TBG6" si="211">SUM(SYW3:SYW5)</f>
        <v>0</v>
      </c>
      <c r="SYW6" s="88">
        <f t="shared" si="211"/>
        <v>0</v>
      </c>
      <c r="SYX6" s="88">
        <f t="shared" si="211"/>
        <v>0</v>
      </c>
      <c r="SYY6" s="88">
        <f t="shared" si="211"/>
        <v>0</v>
      </c>
      <c r="SYZ6" s="88">
        <f t="shared" si="211"/>
        <v>0</v>
      </c>
      <c r="SZA6" s="88">
        <f t="shared" si="211"/>
        <v>0</v>
      </c>
      <c r="SZB6" s="88">
        <f t="shared" si="211"/>
        <v>0</v>
      </c>
      <c r="SZC6" s="88">
        <f t="shared" si="211"/>
        <v>0</v>
      </c>
      <c r="SZD6" s="88">
        <f t="shared" si="211"/>
        <v>0</v>
      </c>
      <c r="SZE6" s="88">
        <f t="shared" si="211"/>
        <v>0</v>
      </c>
      <c r="SZF6" s="88">
        <f t="shared" si="211"/>
        <v>0</v>
      </c>
      <c r="SZG6" s="88">
        <f t="shared" si="211"/>
        <v>0</v>
      </c>
      <c r="SZH6" s="88">
        <f t="shared" si="211"/>
        <v>0</v>
      </c>
      <c r="SZI6" s="88">
        <f t="shared" si="211"/>
        <v>0</v>
      </c>
      <c r="SZJ6" s="88">
        <f t="shared" si="211"/>
        <v>0</v>
      </c>
      <c r="SZK6" s="88">
        <f t="shared" si="211"/>
        <v>0</v>
      </c>
      <c r="SZL6" s="88">
        <f t="shared" si="211"/>
        <v>0</v>
      </c>
      <c r="SZM6" s="88">
        <f t="shared" si="211"/>
        <v>0</v>
      </c>
      <c r="SZN6" s="88">
        <f t="shared" si="211"/>
        <v>0</v>
      </c>
      <c r="SZO6" s="88">
        <f t="shared" si="211"/>
        <v>0</v>
      </c>
      <c r="SZP6" s="88">
        <f t="shared" si="211"/>
        <v>0</v>
      </c>
      <c r="SZQ6" s="88">
        <f t="shared" si="211"/>
        <v>0</v>
      </c>
      <c r="SZR6" s="88">
        <f t="shared" si="211"/>
        <v>0</v>
      </c>
      <c r="SZS6" s="88">
        <f t="shared" si="211"/>
        <v>0</v>
      </c>
      <c r="SZT6" s="88">
        <f t="shared" si="211"/>
        <v>0</v>
      </c>
      <c r="SZU6" s="88">
        <f t="shared" si="211"/>
        <v>0</v>
      </c>
      <c r="SZV6" s="88">
        <f t="shared" si="211"/>
        <v>0</v>
      </c>
      <c r="SZW6" s="88">
        <f t="shared" si="211"/>
        <v>0</v>
      </c>
      <c r="SZX6" s="88">
        <f t="shared" si="211"/>
        <v>0</v>
      </c>
      <c r="SZY6" s="88">
        <f t="shared" si="211"/>
        <v>0</v>
      </c>
      <c r="SZZ6" s="88">
        <f t="shared" si="211"/>
        <v>0</v>
      </c>
      <c r="TAA6" s="88">
        <f t="shared" si="211"/>
        <v>0</v>
      </c>
      <c r="TAB6" s="88">
        <f t="shared" si="211"/>
        <v>0</v>
      </c>
      <c r="TAC6" s="88">
        <f t="shared" si="211"/>
        <v>0</v>
      </c>
      <c r="TAD6" s="88">
        <f t="shared" si="211"/>
        <v>0</v>
      </c>
      <c r="TAE6" s="88">
        <f t="shared" si="211"/>
        <v>0</v>
      </c>
      <c r="TAF6" s="88">
        <f t="shared" si="211"/>
        <v>0</v>
      </c>
      <c r="TAG6" s="88">
        <f t="shared" si="211"/>
        <v>0</v>
      </c>
      <c r="TAH6" s="88">
        <f t="shared" si="211"/>
        <v>0</v>
      </c>
      <c r="TAI6" s="88">
        <f t="shared" si="211"/>
        <v>0</v>
      </c>
      <c r="TAJ6" s="88">
        <f t="shared" si="211"/>
        <v>0</v>
      </c>
      <c r="TAK6" s="88">
        <f t="shared" si="211"/>
        <v>0</v>
      </c>
      <c r="TAL6" s="88">
        <f t="shared" si="211"/>
        <v>0</v>
      </c>
      <c r="TAM6" s="88">
        <f t="shared" si="211"/>
        <v>0</v>
      </c>
      <c r="TAN6" s="88">
        <f t="shared" si="211"/>
        <v>0</v>
      </c>
      <c r="TAO6" s="88">
        <f t="shared" si="211"/>
        <v>0</v>
      </c>
      <c r="TAP6" s="88">
        <f t="shared" si="211"/>
        <v>0</v>
      </c>
      <c r="TAQ6" s="88">
        <f t="shared" si="211"/>
        <v>0</v>
      </c>
      <c r="TAR6" s="88">
        <f t="shared" si="211"/>
        <v>0</v>
      </c>
      <c r="TAS6" s="88">
        <f t="shared" si="211"/>
        <v>0</v>
      </c>
      <c r="TAT6" s="88">
        <f t="shared" si="211"/>
        <v>0</v>
      </c>
      <c r="TAU6" s="88">
        <f t="shared" si="211"/>
        <v>0</v>
      </c>
      <c r="TAV6" s="88">
        <f t="shared" si="211"/>
        <v>0</v>
      </c>
      <c r="TAW6" s="88">
        <f t="shared" si="211"/>
        <v>0</v>
      </c>
      <c r="TAX6" s="88">
        <f t="shared" si="211"/>
        <v>0</v>
      </c>
      <c r="TAY6" s="88">
        <f t="shared" si="211"/>
        <v>0</v>
      </c>
      <c r="TAZ6" s="88">
        <f t="shared" si="211"/>
        <v>0</v>
      </c>
      <c r="TBA6" s="88">
        <f t="shared" si="211"/>
        <v>0</v>
      </c>
      <c r="TBB6" s="88">
        <f t="shared" si="211"/>
        <v>0</v>
      </c>
      <c r="TBC6" s="88">
        <f t="shared" si="211"/>
        <v>0</v>
      </c>
      <c r="TBD6" s="88">
        <f t="shared" si="211"/>
        <v>0</v>
      </c>
      <c r="TBE6" s="88">
        <f t="shared" si="211"/>
        <v>0</v>
      </c>
      <c r="TBF6" s="88">
        <f t="shared" si="211"/>
        <v>0</v>
      </c>
      <c r="TBG6" s="88">
        <f t="shared" si="211"/>
        <v>0</v>
      </c>
      <c r="TBH6" s="88">
        <f t="shared" ref="TBH6:TDS6" si="212">SUM(TBI3:TBI5)</f>
        <v>0</v>
      </c>
      <c r="TBI6" s="88">
        <f t="shared" si="212"/>
        <v>0</v>
      </c>
      <c r="TBJ6" s="88">
        <f t="shared" si="212"/>
        <v>0</v>
      </c>
      <c r="TBK6" s="88">
        <f t="shared" si="212"/>
        <v>0</v>
      </c>
      <c r="TBL6" s="88">
        <f t="shared" si="212"/>
        <v>0</v>
      </c>
      <c r="TBM6" s="88">
        <f t="shared" si="212"/>
        <v>0</v>
      </c>
      <c r="TBN6" s="88">
        <f t="shared" si="212"/>
        <v>0</v>
      </c>
      <c r="TBO6" s="88">
        <f t="shared" si="212"/>
        <v>0</v>
      </c>
      <c r="TBP6" s="88">
        <f t="shared" si="212"/>
        <v>0</v>
      </c>
      <c r="TBQ6" s="88">
        <f t="shared" si="212"/>
        <v>0</v>
      </c>
      <c r="TBR6" s="88">
        <f t="shared" si="212"/>
        <v>0</v>
      </c>
      <c r="TBS6" s="88">
        <f t="shared" si="212"/>
        <v>0</v>
      </c>
      <c r="TBT6" s="88">
        <f t="shared" si="212"/>
        <v>0</v>
      </c>
      <c r="TBU6" s="88">
        <f t="shared" si="212"/>
        <v>0</v>
      </c>
      <c r="TBV6" s="88">
        <f t="shared" si="212"/>
        <v>0</v>
      </c>
      <c r="TBW6" s="88">
        <f t="shared" si="212"/>
        <v>0</v>
      </c>
      <c r="TBX6" s="88">
        <f t="shared" si="212"/>
        <v>0</v>
      </c>
      <c r="TBY6" s="88">
        <f t="shared" si="212"/>
        <v>0</v>
      </c>
      <c r="TBZ6" s="88">
        <f t="shared" si="212"/>
        <v>0</v>
      </c>
      <c r="TCA6" s="88">
        <f t="shared" si="212"/>
        <v>0</v>
      </c>
      <c r="TCB6" s="88">
        <f t="shared" si="212"/>
        <v>0</v>
      </c>
      <c r="TCC6" s="88">
        <f t="shared" si="212"/>
        <v>0</v>
      </c>
      <c r="TCD6" s="88">
        <f t="shared" si="212"/>
        <v>0</v>
      </c>
      <c r="TCE6" s="88">
        <f t="shared" si="212"/>
        <v>0</v>
      </c>
      <c r="TCF6" s="88">
        <f t="shared" si="212"/>
        <v>0</v>
      </c>
      <c r="TCG6" s="88">
        <f t="shared" si="212"/>
        <v>0</v>
      </c>
      <c r="TCH6" s="88">
        <f t="shared" si="212"/>
        <v>0</v>
      </c>
      <c r="TCI6" s="88">
        <f t="shared" si="212"/>
        <v>0</v>
      </c>
      <c r="TCJ6" s="88">
        <f t="shared" si="212"/>
        <v>0</v>
      </c>
      <c r="TCK6" s="88">
        <f t="shared" si="212"/>
        <v>0</v>
      </c>
      <c r="TCL6" s="88">
        <f t="shared" si="212"/>
        <v>0</v>
      </c>
      <c r="TCM6" s="88">
        <f t="shared" si="212"/>
        <v>0</v>
      </c>
      <c r="TCN6" s="88">
        <f t="shared" si="212"/>
        <v>0</v>
      </c>
      <c r="TCO6" s="88">
        <f t="shared" si="212"/>
        <v>0</v>
      </c>
      <c r="TCP6" s="88">
        <f t="shared" si="212"/>
        <v>0</v>
      </c>
      <c r="TCQ6" s="88">
        <f t="shared" si="212"/>
        <v>0</v>
      </c>
      <c r="TCR6" s="88">
        <f t="shared" si="212"/>
        <v>0</v>
      </c>
      <c r="TCS6" s="88">
        <f t="shared" si="212"/>
        <v>0</v>
      </c>
      <c r="TCT6" s="88">
        <f t="shared" si="212"/>
        <v>0</v>
      </c>
      <c r="TCU6" s="88">
        <f t="shared" si="212"/>
        <v>0</v>
      </c>
      <c r="TCV6" s="88">
        <f t="shared" si="212"/>
        <v>0</v>
      </c>
      <c r="TCW6" s="88">
        <f t="shared" si="212"/>
        <v>0</v>
      </c>
      <c r="TCX6" s="88">
        <f t="shared" si="212"/>
        <v>0</v>
      </c>
      <c r="TCY6" s="88">
        <f t="shared" si="212"/>
        <v>0</v>
      </c>
      <c r="TCZ6" s="88">
        <f t="shared" si="212"/>
        <v>0</v>
      </c>
      <c r="TDA6" s="88">
        <f t="shared" si="212"/>
        <v>0</v>
      </c>
      <c r="TDB6" s="88">
        <f t="shared" si="212"/>
        <v>0</v>
      </c>
      <c r="TDC6" s="88">
        <f t="shared" si="212"/>
        <v>0</v>
      </c>
      <c r="TDD6" s="88">
        <f t="shared" si="212"/>
        <v>0</v>
      </c>
      <c r="TDE6" s="88">
        <f t="shared" si="212"/>
        <v>0</v>
      </c>
      <c r="TDF6" s="88">
        <f t="shared" si="212"/>
        <v>0</v>
      </c>
      <c r="TDG6" s="88">
        <f t="shared" si="212"/>
        <v>0</v>
      </c>
      <c r="TDH6" s="88">
        <f t="shared" si="212"/>
        <v>0</v>
      </c>
      <c r="TDI6" s="88">
        <f t="shared" si="212"/>
        <v>0</v>
      </c>
      <c r="TDJ6" s="88">
        <f t="shared" si="212"/>
        <v>0</v>
      </c>
      <c r="TDK6" s="88">
        <f t="shared" si="212"/>
        <v>0</v>
      </c>
      <c r="TDL6" s="88">
        <f t="shared" si="212"/>
        <v>0</v>
      </c>
      <c r="TDM6" s="88">
        <f t="shared" si="212"/>
        <v>0</v>
      </c>
      <c r="TDN6" s="88">
        <f t="shared" si="212"/>
        <v>0</v>
      </c>
      <c r="TDO6" s="88">
        <f t="shared" si="212"/>
        <v>0</v>
      </c>
      <c r="TDP6" s="88">
        <f t="shared" si="212"/>
        <v>0</v>
      </c>
      <c r="TDQ6" s="88">
        <f t="shared" si="212"/>
        <v>0</v>
      </c>
      <c r="TDR6" s="88">
        <f t="shared" si="212"/>
        <v>0</v>
      </c>
      <c r="TDS6" s="88">
        <f t="shared" si="212"/>
        <v>0</v>
      </c>
      <c r="TDT6" s="88">
        <f t="shared" ref="TDT6:TGE6" si="213">SUM(TDU3:TDU5)</f>
        <v>0</v>
      </c>
      <c r="TDU6" s="88">
        <f t="shared" si="213"/>
        <v>0</v>
      </c>
      <c r="TDV6" s="88">
        <f t="shared" si="213"/>
        <v>0</v>
      </c>
      <c r="TDW6" s="88">
        <f t="shared" si="213"/>
        <v>0</v>
      </c>
      <c r="TDX6" s="88">
        <f t="shared" si="213"/>
        <v>0</v>
      </c>
      <c r="TDY6" s="88">
        <f t="shared" si="213"/>
        <v>0</v>
      </c>
      <c r="TDZ6" s="88">
        <f t="shared" si="213"/>
        <v>0</v>
      </c>
      <c r="TEA6" s="88">
        <f t="shared" si="213"/>
        <v>0</v>
      </c>
      <c r="TEB6" s="88">
        <f t="shared" si="213"/>
        <v>0</v>
      </c>
      <c r="TEC6" s="88">
        <f t="shared" si="213"/>
        <v>0</v>
      </c>
      <c r="TED6" s="88">
        <f t="shared" si="213"/>
        <v>0</v>
      </c>
      <c r="TEE6" s="88">
        <f t="shared" si="213"/>
        <v>0</v>
      </c>
      <c r="TEF6" s="88">
        <f t="shared" si="213"/>
        <v>0</v>
      </c>
      <c r="TEG6" s="88">
        <f t="shared" si="213"/>
        <v>0</v>
      </c>
      <c r="TEH6" s="88">
        <f t="shared" si="213"/>
        <v>0</v>
      </c>
      <c r="TEI6" s="88">
        <f t="shared" si="213"/>
        <v>0</v>
      </c>
      <c r="TEJ6" s="88">
        <f t="shared" si="213"/>
        <v>0</v>
      </c>
      <c r="TEK6" s="88">
        <f t="shared" si="213"/>
        <v>0</v>
      </c>
      <c r="TEL6" s="88">
        <f t="shared" si="213"/>
        <v>0</v>
      </c>
      <c r="TEM6" s="88">
        <f t="shared" si="213"/>
        <v>0</v>
      </c>
      <c r="TEN6" s="88">
        <f t="shared" si="213"/>
        <v>0</v>
      </c>
      <c r="TEO6" s="88">
        <f t="shared" si="213"/>
        <v>0</v>
      </c>
      <c r="TEP6" s="88">
        <f t="shared" si="213"/>
        <v>0</v>
      </c>
      <c r="TEQ6" s="88">
        <f t="shared" si="213"/>
        <v>0</v>
      </c>
      <c r="TER6" s="88">
        <f t="shared" si="213"/>
        <v>0</v>
      </c>
      <c r="TES6" s="88">
        <f t="shared" si="213"/>
        <v>0</v>
      </c>
      <c r="TET6" s="88">
        <f t="shared" si="213"/>
        <v>0</v>
      </c>
      <c r="TEU6" s="88">
        <f t="shared" si="213"/>
        <v>0</v>
      </c>
      <c r="TEV6" s="88">
        <f t="shared" si="213"/>
        <v>0</v>
      </c>
      <c r="TEW6" s="88">
        <f t="shared" si="213"/>
        <v>0</v>
      </c>
      <c r="TEX6" s="88">
        <f t="shared" si="213"/>
        <v>0</v>
      </c>
      <c r="TEY6" s="88">
        <f t="shared" si="213"/>
        <v>0</v>
      </c>
      <c r="TEZ6" s="88">
        <f t="shared" si="213"/>
        <v>0</v>
      </c>
      <c r="TFA6" s="88">
        <f t="shared" si="213"/>
        <v>0</v>
      </c>
      <c r="TFB6" s="88">
        <f t="shared" si="213"/>
        <v>0</v>
      </c>
      <c r="TFC6" s="88">
        <f t="shared" si="213"/>
        <v>0</v>
      </c>
      <c r="TFD6" s="88">
        <f t="shared" si="213"/>
        <v>0</v>
      </c>
      <c r="TFE6" s="88">
        <f t="shared" si="213"/>
        <v>0</v>
      </c>
      <c r="TFF6" s="88">
        <f t="shared" si="213"/>
        <v>0</v>
      </c>
      <c r="TFG6" s="88">
        <f t="shared" si="213"/>
        <v>0</v>
      </c>
      <c r="TFH6" s="88">
        <f t="shared" si="213"/>
        <v>0</v>
      </c>
      <c r="TFI6" s="88">
        <f t="shared" si="213"/>
        <v>0</v>
      </c>
      <c r="TFJ6" s="88">
        <f t="shared" si="213"/>
        <v>0</v>
      </c>
      <c r="TFK6" s="88">
        <f t="shared" si="213"/>
        <v>0</v>
      </c>
      <c r="TFL6" s="88">
        <f t="shared" si="213"/>
        <v>0</v>
      </c>
      <c r="TFM6" s="88">
        <f t="shared" si="213"/>
        <v>0</v>
      </c>
      <c r="TFN6" s="88">
        <f t="shared" si="213"/>
        <v>0</v>
      </c>
      <c r="TFO6" s="88">
        <f t="shared" si="213"/>
        <v>0</v>
      </c>
      <c r="TFP6" s="88">
        <f t="shared" si="213"/>
        <v>0</v>
      </c>
      <c r="TFQ6" s="88">
        <f t="shared" si="213"/>
        <v>0</v>
      </c>
      <c r="TFR6" s="88">
        <f t="shared" si="213"/>
        <v>0</v>
      </c>
      <c r="TFS6" s="88">
        <f t="shared" si="213"/>
        <v>0</v>
      </c>
      <c r="TFT6" s="88">
        <f t="shared" si="213"/>
        <v>0</v>
      </c>
      <c r="TFU6" s="88">
        <f t="shared" si="213"/>
        <v>0</v>
      </c>
      <c r="TFV6" s="88">
        <f t="shared" si="213"/>
        <v>0</v>
      </c>
      <c r="TFW6" s="88">
        <f t="shared" si="213"/>
        <v>0</v>
      </c>
      <c r="TFX6" s="88">
        <f t="shared" si="213"/>
        <v>0</v>
      </c>
      <c r="TFY6" s="88">
        <f t="shared" si="213"/>
        <v>0</v>
      </c>
      <c r="TFZ6" s="88">
        <f t="shared" si="213"/>
        <v>0</v>
      </c>
      <c r="TGA6" s="88">
        <f t="shared" si="213"/>
        <v>0</v>
      </c>
      <c r="TGB6" s="88">
        <f t="shared" si="213"/>
        <v>0</v>
      </c>
      <c r="TGC6" s="88">
        <f t="shared" si="213"/>
        <v>0</v>
      </c>
      <c r="TGD6" s="88">
        <f t="shared" si="213"/>
        <v>0</v>
      </c>
      <c r="TGE6" s="88">
        <f t="shared" si="213"/>
        <v>0</v>
      </c>
      <c r="TGF6" s="88">
        <f t="shared" ref="TGF6:TIQ6" si="214">SUM(TGG3:TGG5)</f>
        <v>0</v>
      </c>
      <c r="TGG6" s="88">
        <f t="shared" si="214"/>
        <v>0</v>
      </c>
      <c r="TGH6" s="88">
        <f t="shared" si="214"/>
        <v>0</v>
      </c>
      <c r="TGI6" s="88">
        <f t="shared" si="214"/>
        <v>0</v>
      </c>
      <c r="TGJ6" s="88">
        <f t="shared" si="214"/>
        <v>0</v>
      </c>
      <c r="TGK6" s="88">
        <f t="shared" si="214"/>
        <v>0</v>
      </c>
      <c r="TGL6" s="88">
        <f t="shared" si="214"/>
        <v>0</v>
      </c>
      <c r="TGM6" s="88">
        <f t="shared" si="214"/>
        <v>0</v>
      </c>
      <c r="TGN6" s="88">
        <f t="shared" si="214"/>
        <v>0</v>
      </c>
      <c r="TGO6" s="88">
        <f t="shared" si="214"/>
        <v>0</v>
      </c>
      <c r="TGP6" s="88">
        <f t="shared" si="214"/>
        <v>0</v>
      </c>
      <c r="TGQ6" s="88">
        <f t="shared" si="214"/>
        <v>0</v>
      </c>
      <c r="TGR6" s="88">
        <f t="shared" si="214"/>
        <v>0</v>
      </c>
      <c r="TGS6" s="88">
        <f t="shared" si="214"/>
        <v>0</v>
      </c>
      <c r="TGT6" s="88">
        <f t="shared" si="214"/>
        <v>0</v>
      </c>
      <c r="TGU6" s="88">
        <f t="shared" si="214"/>
        <v>0</v>
      </c>
      <c r="TGV6" s="88">
        <f t="shared" si="214"/>
        <v>0</v>
      </c>
      <c r="TGW6" s="88">
        <f t="shared" si="214"/>
        <v>0</v>
      </c>
      <c r="TGX6" s="88">
        <f t="shared" si="214"/>
        <v>0</v>
      </c>
      <c r="TGY6" s="88">
        <f t="shared" si="214"/>
        <v>0</v>
      </c>
      <c r="TGZ6" s="88">
        <f t="shared" si="214"/>
        <v>0</v>
      </c>
      <c r="THA6" s="88">
        <f t="shared" si="214"/>
        <v>0</v>
      </c>
      <c r="THB6" s="88">
        <f t="shared" si="214"/>
        <v>0</v>
      </c>
      <c r="THC6" s="88">
        <f t="shared" si="214"/>
        <v>0</v>
      </c>
      <c r="THD6" s="88">
        <f t="shared" si="214"/>
        <v>0</v>
      </c>
      <c r="THE6" s="88">
        <f t="shared" si="214"/>
        <v>0</v>
      </c>
      <c r="THF6" s="88">
        <f t="shared" si="214"/>
        <v>0</v>
      </c>
      <c r="THG6" s="88">
        <f t="shared" si="214"/>
        <v>0</v>
      </c>
      <c r="THH6" s="88">
        <f t="shared" si="214"/>
        <v>0</v>
      </c>
      <c r="THI6" s="88">
        <f t="shared" si="214"/>
        <v>0</v>
      </c>
      <c r="THJ6" s="88">
        <f t="shared" si="214"/>
        <v>0</v>
      </c>
      <c r="THK6" s="88">
        <f t="shared" si="214"/>
        <v>0</v>
      </c>
      <c r="THL6" s="88">
        <f t="shared" si="214"/>
        <v>0</v>
      </c>
      <c r="THM6" s="88">
        <f t="shared" si="214"/>
        <v>0</v>
      </c>
      <c r="THN6" s="88">
        <f t="shared" si="214"/>
        <v>0</v>
      </c>
      <c r="THO6" s="88">
        <f t="shared" si="214"/>
        <v>0</v>
      </c>
      <c r="THP6" s="88">
        <f t="shared" si="214"/>
        <v>0</v>
      </c>
      <c r="THQ6" s="88">
        <f t="shared" si="214"/>
        <v>0</v>
      </c>
      <c r="THR6" s="88">
        <f t="shared" si="214"/>
        <v>0</v>
      </c>
      <c r="THS6" s="88">
        <f t="shared" si="214"/>
        <v>0</v>
      </c>
      <c r="THT6" s="88">
        <f t="shared" si="214"/>
        <v>0</v>
      </c>
      <c r="THU6" s="88">
        <f t="shared" si="214"/>
        <v>0</v>
      </c>
      <c r="THV6" s="88">
        <f t="shared" si="214"/>
        <v>0</v>
      </c>
      <c r="THW6" s="88">
        <f t="shared" si="214"/>
        <v>0</v>
      </c>
      <c r="THX6" s="88">
        <f t="shared" si="214"/>
        <v>0</v>
      </c>
      <c r="THY6" s="88">
        <f t="shared" si="214"/>
        <v>0</v>
      </c>
      <c r="THZ6" s="88">
        <f t="shared" si="214"/>
        <v>0</v>
      </c>
      <c r="TIA6" s="88">
        <f t="shared" si="214"/>
        <v>0</v>
      </c>
      <c r="TIB6" s="88">
        <f t="shared" si="214"/>
        <v>0</v>
      </c>
      <c r="TIC6" s="88">
        <f t="shared" si="214"/>
        <v>0</v>
      </c>
      <c r="TID6" s="88">
        <f t="shared" si="214"/>
        <v>0</v>
      </c>
      <c r="TIE6" s="88">
        <f t="shared" si="214"/>
        <v>0</v>
      </c>
      <c r="TIF6" s="88">
        <f t="shared" si="214"/>
        <v>0</v>
      </c>
      <c r="TIG6" s="88">
        <f t="shared" si="214"/>
        <v>0</v>
      </c>
      <c r="TIH6" s="88">
        <f t="shared" si="214"/>
        <v>0</v>
      </c>
      <c r="TII6" s="88">
        <f t="shared" si="214"/>
        <v>0</v>
      </c>
      <c r="TIJ6" s="88">
        <f t="shared" si="214"/>
        <v>0</v>
      </c>
      <c r="TIK6" s="88">
        <f t="shared" si="214"/>
        <v>0</v>
      </c>
      <c r="TIL6" s="88">
        <f t="shared" si="214"/>
        <v>0</v>
      </c>
      <c r="TIM6" s="88">
        <f t="shared" si="214"/>
        <v>0</v>
      </c>
      <c r="TIN6" s="88">
        <f t="shared" si="214"/>
        <v>0</v>
      </c>
      <c r="TIO6" s="88">
        <f t="shared" si="214"/>
        <v>0</v>
      </c>
      <c r="TIP6" s="88">
        <f t="shared" si="214"/>
        <v>0</v>
      </c>
      <c r="TIQ6" s="88">
        <f t="shared" si="214"/>
        <v>0</v>
      </c>
      <c r="TIR6" s="88">
        <f t="shared" ref="TIR6:TLC6" si="215">SUM(TIS3:TIS5)</f>
        <v>0</v>
      </c>
      <c r="TIS6" s="88">
        <f t="shared" si="215"/>
        <v>0</v>
      </c>
      <c r="TIT6" s="88">
        <f t="shared" si="215"/>
        <v>0</v>
      </c>
      <c r="TIU6" s="88">
        <f t="shared" si="215"/>
        <v>0</v>
      </c>
      <c r="TIV6" s="88">
        <f t="shared" si="215"/>
        <v>0</v>
      </c>
      <c r="TIW6" s="88">
        <f t="shared" si="215"/>
        <v>0</v>
      </c>
      <c r="TIX6" s="88">
        <f t="shared" si="215"/>
        <v>0</v>
      </c>
      <c r="TIY6" s="88">
        <f t="shared" si="215"/>
        <v>0</v>
      </c>
      <c r="TIZ6" s="88">
        <f t="shared" si="215"/>
        <v>0</v>
      </c>
      <c r="TJA6" s="88">
        <f t="shared" si="215"/>
        <v>0</v>
      </c>
      <c r="TJB6" s="88">
        <f t="shared" si="215"/>
        <v>0</v>
      </c>
      <c r="TJC6" s="88">
        <f t="shared" si="215"/>
        <v>0</v>
      </c>
      <c r="TJD6" s="88">
        <f t="shared" si="215"/>
        <v>0</v>
      </c>
      <c r="TJE6" s="88">
        <f t="shared" si="215"/>
        <v>0</v>
      </c>
      <c r="TJF6" s="88">
        <f t="shared" si="215"/>
        <v>0</v>
      </c>
      <c r="TJG6" s="88">
        <f t="shared" si="215"/>
        <v>0</v>
      </c>
      <c r="TJH6" s="88">
        <f t="shared" si="215"/>
        <v>0</v>
      </c>
      <c r="TJI6" s="88">
        <f t="shared" si="215"/>
        <v>0</v>
      </c>
      <c r="TJJ6" s="88">
        <f t="shared" si="215"/>
        <v>0</v>
      </c>
      <c r="TJK6" s="88">
        <f t="shared" si="215"/>
        <v>0</v>
      </c>
      <c r="TJL6" s="88">
        <f t="shared" si="215"/>
        <v>0</v>
      </c>
      <c r="TJM6" s="88">
        <f t="shared" si="215"/>
        <v>0</v>
      </c>
      <c r="TJN6" s="88">
        <f t="shared" si="215"/>
        <v>0</v>
      </c>
      <c r="TJO6" s="88">
        <f t="shared" si="215"/>
        <v>0</v>
      </c>
      <c r="TJP6" s="88">
        <f t="shared" si="215"/>
        <v>0</v>
      </c>
      <c r="TJQ6" s="88">
        <f t="shared" si="215"/>
        <v>0</v>
      </c>
      <c r="TJR6" s="88">
        <f t="shared" si="215"/>
        <v>0</v>
      </c>
      <c r="TJS6" s="88">
        <f t="shared" si="215"/>
        <v>0</v>
      </c>
      <c r="TJT6" s="88">
        <f t="shared" si="215"/>
        <v>0</v>
      </c>
      <c r="TJU6" s="88">
        <f t="shared" si="215"/>
        <v>0</v>
      </c>
      <c r="TJV6" s="88">
        <f t="shared" si="215"/>
        <v>0</v>
      </c>
      <c r="TJW6" s="88">
        <f t="shared" si="215"/>
        <v>0</v>
      </c>
      <c r="TJX6" s="88">
        <f t="shared" si="215"/>
        <v>0</v>
      </c>
      <c r="TJY6" s="88">
        <f t="shared" si="215"/>
        <v>0</v>
      </c>
      <c r="TJZ6" s="88">
        <f t="shared" si="215"/>
        <v>0</v>
      </c>
      <c r="TKA6" s="88">
        <f t="shared" si="215"/>
        <v>0</v>
      </c>
      <c r="TKB6" s="88">
        <f t="shared" si="215"/>
        <v>0</v>
      </c>
      <c r="TKC6" s="88">
        <f t="shared" si="215"/>
        <v>0</v>
      </c>
      <c r="TKD6" s="88">
        <f t="shared" si="215"/>
        <v>0</v>
      </c>
      <c r="TKE6" s="88">
        <f t="shared" si="215"/>
        <v>0</v>
      </c>
      <c r="TKF6" s="88">
        <f t="shared" si="215"/>
        <v>0</v>
      </c>
      <c r="TKG6" s="88">
        <f t="shared" si="215"/>
        <v>0</v>
      </c>
      <c r="TKH6" s="88">
        <f t="shared" si="215"/>
        <v>0</v>
      </c>
      <c r="TKI6" s="88">
        <f t="shared" si="215"/>
        <v>0</v>
      </c>
      <c r="TKJ6" s="88">
        <f t="shared" si="215"/>
        <v>0</v>
      </c>
      <c r="TKK6" s="88">
        <f t="shared" si="215"/>
        <v>0</v>
      </c>
      <c r="TKL6" s="88">
        <f t="shared" si="215"/>
        <v>0</v>
      </c>
      <c r="TKM6" s="88">
        <f t="shared" si="215"/>
        <v>0</v>
      </c>
      <c r="TKN6" s="88">
        <f t="shared" si="215"/>
        <v>0</v>
      </c>
      <c r="TKO6" s="88">
        <f t="shared" si="215"/>
        <v>0</v>
      </c>
      <c r="TKP6" s="88">
        <f t="shared" si="215"/>
        <v>0</v>
      </c>
      <c r="TKQ6" s="88">
        <f t="shared" si="215"/>
        <v>0</v>
      </c>
      <c r="TKR6" s="88">
        <f t="shared" si="215"/>
        <v>0</v>
      </c>
      <c r="TKS6" s="88">
        <f t="shared" si="215"/>
        <v>0</v>
      </c>
      <c r="TKT6" s="88">
        <f t="shared" si="215"/>
        <v>0</v>
      </c>
      <c r="TKU6" s="88">
        <f t="shared" si="215"/>
        <v>0</v>
      </c>
      <c r="TKV6" s="88">
        <f t="shared" si="215"/>
        <v>0</v>
      </c>
      <c r="TKW6" s="88">
        <f t="shared" si="215"/>
        <v>0</v>
      </c>
      <c r="TKX6" s="88">
        <f t="shared" si="215"/>
        <v>0</v>
      </c>
      <c r="TKY6" s="88">
        <f t="shared" si="215"/>
        <v>0</v>
      </c>
      <c r="TKZ6" s="88">
        <f t="shared" si="215"/>
        <v>0</v>
      </c>
      <c r="TLA6" s="88">
        <f t="shared" si="215"/>
        <v>0</v>
      </c>
      <c r="TLB6" s="88">
        <f t="shared" si="215"/>
        <v>0</v>
      </c>
      <c r="TLC6" s="88">
        <f t="shared" si="215"/>
        <v>0</v>
      </c>
      <c r="TLD6" s="88">
        <f t="shared" ref="TLD6:TNO6" si="216">SUM(TLE3:TLE5)</f>
        <v>0</v>
      </c>
      <c r="TLE6" s="88">
        <f t="shared" si="216"/>
        <v>0</v>
      </c>
      <c r="TLF6" s="88">
        <f t="shared" si="216"/>
        <v>0</v>
      </c>
      <c r="TLG6" s="88">
        <f t="shared" si="216"/>
        <v>0</v>
      </c>
      <c r="TLH6" s="88">
        <f t="shared" si="216"/>
        <v>0</v>
      </c>
      <c r="TLI6" s="88">
        <f t="shared" si="216"/>
        <v>0</v>
      </c>
      <c r="TLJ6" s="88">
        <f t="shared" si="216"/>
        <v>0</v>
      </c>
      <c r="TLK6" s="88">
        <f t="shared" si="216"/>
        <v>0</v>
      </c>
      <c r="TLL6" s="88">
        <f t="shared" si="216"/>
        <v>0</v>
      </c>
      <c r="TLM6" s="88">
        <f t="shared" si="216"/>
        <v>0</v>
      </c>
      <c r="TLN6" s="88">
        <f t="shared" si="216"/>
        <v>0</v>
      </c>
      <c r="TLO6" s="88">
        <f t="shared" si="216"/>
        <v>0</v>
      </c>
      <c r="TLP6" s="88">
        <f t="shared" si="216"/>
        <v>0</v>
      </c>
      <c r="TLQ6" s="88">
        <f t="shared" si="216"/>
        <v>0</v>
      </c>
      <c r="TLR6" s="88">
        <f t="shared" si="216"/>
        <v>0</v>
      </c>
      <c r="TLS6" s="88">
        <f t="shared" si="216"/>
        <v>0</v>
      </c>
      <c r="TLT6" s="88">
        <f t="shared" si="216"/>
        <v>0</v>
      </c>
      <c r="TLU6" s="88">
        <f t="shared" si="216"/>
        <v>0</v>
      </c>
      <c r="TLV6" s="88">
        <f t="shared" si="216"/>
        <v>0</v>
      </c>
      <c r="TLW6" s="88">
        <f t="shared" si="216"/>
        <v>0</v>
      </c>
      <c r="TLX6" s="88">
        <f t="shared" si="216"/>
        <v>0</v>
      </c>
      <c r="TLY6" s="88">
        <f t="shared" si="216"/>
        <v>0</v>
      </c>
      <c r="TLZ6" s="88">
        <f t="shared" si="216"/>
        <v>0</v>
      </c>
      <c r="TMA6" s="88">
        <f t="shared" si="216"/>
        <v>0</v>
      </c>
      <c r="TMB6" s="88">
        <f t="shared" si="216"/>
        <v>0</v>
      </c>
      <c r="TMC6" s="88">
        <f t="shared" si="216"/>
        <v>0</v>
      </c>
      <c r="TMD6" s="88">
        <f t="shared" si="216"/>
        <v>0</v>
      </c>
      <c r="TME6" s="88">
        <f t="shared" si="216"/>
        <v>0</v>
      </c>
      <c r="TMF6" s="88">
        <f t="shared" si="216"/>
        <v>0</v>
      </c>
      <c r="TMG6" s="88">
        <f t="shared" si="216"/>
        <v>0</v>
      </c>
      <c r="TMH6" s="88">
        <f t="shared" si="216"/>
        <v>0</v>
      </c>
      <c r="TMI6" s="88">
        <f t="shared" si="216"/>
        <v>0</v>
      </c>
      <c r="TMJ6" s="88">
        <f t="shared" si="216"/>
        <v>0</v>
      </c>
      <c r="TMK6" s="88">
        <f t="shared" si="216"/>
        <v>0</v>
      </c>
      <c r="TML6" s="88">
        <f t="shared" si="216"/>
        <v>0</v>
      </c>
      <c r="TMM6" s="88">
        <f t="shared" si="216"/>
        <v>0</v>
      </c>
      <c r="TMN6" s="88">
        <f t="shared" si="216"/>
        <v>0</v>
      </c>
      <c r="TMO6" s="88">
        <f t="shared" si="216"/>
        <v>0</v>
      </c>
      <c r="TMP6" s="88">
        <f t="shared" si="216"/>
        <v>0</v>
      </c>
      <c r="TMQ6" s="88">
        <f t="shared" si="216"/>
        <v>0</v>
      </c>
      <c r="TMR6" s="88">
        <f t="shared" si="216"/>
        <v>0</v>
      </c>
      <c r="TMS6" s="88">
        <f t="shared" si="216"/>
        <v>0</v>
      </c>
      <c r="TMT6" s="88">
        <f t="shared" si="216"/>
        <v>0</v>
      </c>
      <c r="TMU6" s="88">
        <f t="shared" si="216"/>
        <v>0</v>
      </c>
      <c r="TMV6" s="88">
        <f t="shared" si="216"/>
        <v>0</v>
      </c>
      <c r="TMW6" s="88">
        <f t="shared" si="216"/>
        <v>0</v>
      </c>
      <c r="TMX6" s="88">
        <f t="shared" si="216"/>
        <v>0</v>
      </c>
      <c r="TMY6" s="88">
        <f t="shared" si="216"/>
        <v>0</v>
      </c>
      <c r="TMZ6" s="88">
        <f t="shared" si="216"/>
        <v>0</v>
      </c>
      <c r="TNA6" s="88">
        <f t="shared" si="216"/>
        <v>0</v>
      </c>
      <c r="TNB6" s="88">
        <f t="shared" si="216"/>
        <v>0</v>
      </c>
      <c r="TNC6" s="88">
        <f t="shared" si="216"/>
        <v>0</v>
      </c>
      <c r="TND6" s="88">
        <f t="shared" si="216"/>
        <v>0</v>
      </c>
      <c r="TNE6" s="88">
        <f t="shared" si="216"/>
        <v>0</v>
      </c>
      <c r="TNF6" s="88">
        <f t="shared" si="216"/>
        <v>0</v>
      </c>
      <c r="TNG6" s="88">
        <f t="shared" si="216"/>
        <v>0</v>
      </c>
      <c r="TNH6" s="88">
        <f t="shared" si="216"/>
        <v>0</v>
      </c>
      <c r="TNI6" s="88">
        <f t="shared" si="216"/>
        <v>0</v>
      </c>
      <c r="TNJ6" s="88">
        <f t="shared" si="216"/>
        <v>0</v>
      </c>
      <c r="TNK6" s="88">
        <f t="shared" si="216"/>
        <v>0</v>
      </c>
      <c r="TNL6" s="88">
        <f t="shared" si="216"/>
        <v>0</v>
      </c>
      <c r="TNM6" s="88">
        <f t="shared" si="216"/>
        <v>0</v>
      </c>
      <c r="TNN6" s="88">
        <f t="shared" si="216"/>
        <v>0</v>
      </c>
      <c r="TNO6" s="88">
        <f t="shared" si="216"/>
        <v>0</v>
      </c>
      <c r="TNP6" s="88">
        <f t="shared" ref="TNP6:TQA6" si="217">SUM(TNQ3:TNQ5)</f>
        <v>0</v>
      </c>
      <c r="TNQ6" s="88">
        <f t="shared" si="217"/>
        <v>0</v>
      </c>
      <c r="TNR6" s="88">
        <f t="shared" si="217"/>
        <v>0</v>
      </c>
      <c r="TNS6" s="88">
        <f t="shared" si="217"/>
        <v>0</v>
      </c>
      <c r="TNT6" s="88">
        <f t="shared" si="217"/>
        <v>0</v>
      </c>
      <c r="TNU6" s="88">
        <f t="shared" si="217"/>
        <v>0</v>
      </c>
      <c r="TNV6" s="88">
        <f t="shared" si="217"/>
        <v>0</v>
      </c>
      <c r="TNW6" s="88">
        <f t="shared" si="217"/>
        <v>0</v>
      </c>
      <c r="TNX6" s="88">
        <f t="shared" si="217"/>
        <v>0</v>
      </c>
      <c r="TNY6" s="88">
        <f t="shared" si="217"/>
        <v>0</v>
      </c>
      <c r="TNZ6" s="88">
        <f t="shared" si="217"/>
        <v>0</v>
      </c>
      <c r="TOA6" s="88">
        <f t="shared" si="217"/>
        <v>0</v>
      </c>
      <c r="TOB6" s="88">
        <f t="shared" si="217"/>
        <v>0</v>
      </c>
      <c r="TOC6" s="88">
        <f t="shared" si="217"/>
        <v>0</v>
      </c>
      <c r="TOD6" s="88">
        <f t="shared" si="217"/>
        <v>0</v>
      </c>
      <c r="TOE6" s="88">
        <f t="shared" si="217"/>
        <v>0</v>
      </c>
      <c r="TOF6" s="88">
        <f t="shared" si="217"/>
        <v>0</v>
      </c>
      <c r="TOG6" s="88">
        <f t="shared" si="217"/>
        <v>0</v>
      </c>
      <c r="TOH6" s="88">
        <f t="shared" si="217"/>
        <v>0</v>
      </c>
      <c r="TOI6" s="88">
        <f t="shared" si="217"/>
        <v>0</v>
      </c>
      <c r="TOJ6" s="88">
        <f t="shared" si="217"/>
        <v>0</v>
      </c>
      <c r="TOK6" s="88">
        <f t="shared" si="217"/>
        <v>0</v>
      </c>
      <c r="TOL6" s="88">
        <f t="shared" si="217"/>
        <v>0</v>
      </c>
      <c r="TOM6" s="88">
        <f t="shared" si="217"/>
        <v>0</v>
      </c>
      <c r="TON6" s="88">
        <f t="shared" si="217"/>
        <v>0</v>
      </c>
      <c r="TOO6" s="88">
        <f t="shared" si="217"/>
        <v>0</v>
      </c>
      <c r="TOP6" s="88">
        <f t="shared" si="217"/>
        <v>0</v>
      </c>
      <c r="TOQ6" s="88">
        <f t="shared" si="217"/>
        <v>0</v>
      </c>
      <c r="TOR6" s="88">
        <f t="shared" si="217"/>
        <v>0</v>
      </c>
      <c r="TOS6" s="88">
        <f t="shared" si="217"/>
        <v>0</v>
      </c>
      <c r="TOT6" s="88">
        <f t="shared" si="217"/>
        <v>0</v>
      </c>
      <c r="TOU6" s="88">
        <f t="shared" si="217"/>
        <v>0</v>
      </c>
      <c r="TOV6" s="88">
        <f t="shared" si="217"/>
        <v>0</v>
      </c>
      <c r="TOW6" s="88">
        <f t="shared" si="217"/>
        <v>0</v>
      </c>
      <c r="TOX6" s="88">
        <f t="shared" si="217"/>
        <v>0</v>
      </c>
      <c r="TOY6" s="88">
        <f t="shared" si="217"/>
        <v>0</v>
      </c>
      <c r="TOZ6" s="88">
        <f t="shared" si="217"/>
        <v>0</v>
      </c>
      <c r="TPA6" s="88">
        <f t="shared" si="217"/>
        <v>0</v>
      </c>
      <c r="TPB6" s="88">
        <f t="shared" si="217"/>
        <v>0</v>
      </c>
      <c r="TPC6" s="88">
        <f t="shared" si="217"/>
        <v>0</v>
      </c>
      <c r="TPD6" s="88">
        <f t="shared" si="217"/>
        <v>0</v>
      </c>
      <c r="TPE6" s="88">
        <f t="shared" si="217"/>
        <v>0</v>
      </c>
      <c r="TPF6" s="88">
        <f t="shared" si="217"/>
        <v>0</v>
      </c>
      <c r="TPG6" s="88">
        <f t="shared" si="217"/>
        <v>0</v>
      </c>
      <c r="TPH6" s="88">
        <f t="shared" si="217"/>
        <v>0</v>
      </c>
      <c r="TPI6" s="88">
        <f t="shared" si="217"/>
        <v>0</v>
      </c>
      <c r="TPJ6" s="88">
        <f t="shared" si="217"/>
        <v>0</v>
      </c>
      <c r="TPK6" s="88">
        <f t="shared" si="217"/>
        <v>0</v>
      </c>
      <c r="TPL6" s="88">
        <f t="shared" si="217"/>
        <v>0</v>
      </c>
      <c r="TPM6" s="88">
        <f t="shared" si="217"/>
        <v>0</v>
      </c>
      <c r="TPN6" s="88">
        <f t="shared" si="217"/>
        <v>0</v>
      </c>
      <c r="TPO6" s="88">
        <f t="shared" si="217"/>
        <v>0</v>
      </c>
      <c r="TPP6" s="88">
        <f t="shared" si="217"/>
        <v>0</v>
      </c>
      <c r="TPQ6" s="88">
        <f t="shared" si="217"/>
        <v>0</v>
      </c>
      <c r="TPR6" s="88">
        <f t="shared" si="217"/>
        <v>0</v>
      </c>
      <c r="TPS6" s="88">
        <f t="shared" si="217"/>
        <v>0</v>
      </c>
      <c r="TPT6" s="88">
        <f t="shared" si="217"/>
        <v>0</v>
      </c>
      <c r="TPU6" s="88">
        <f t="shared" si="217"/>
        <v>0</v>
      </c>
      <c r="TPV6" s="88">
        <f t="shared" si="217"/>
        <v>0</v>
      </c>
      <c r="TPW6" s="88">
        <f t="shared" si="217"/>
        <v>0</v>
      </c>
      <c r="TPX6" s="88">
        <f t="shared" si="217"/>
        <v>0</v>
      </c>
      <c r="TPY6" s="88">
        <f t="shared" si="217"/>
        <v>0</v>
      </c>
      <c r="TPZ6" s="88">
        <f t="shared" si="217"/>
        <v>0</v>
      </c>
      <c r="TQA6" s="88">
        <f t="shared" si="217"/>
        <v>0</v>
      </c>
      <c r="TQB6" s="88">
        <f t="shared" ref="TQB6:TSM6" si="218">SUM(TQC3:TQC5)</f>
        <v>0</v>
      </c>
      <c r="TQC6" s="88">
        <f t="shared" si="218"/>
        <v>0</v>
      </c>
      <c r="TQD6" s="88">
        <f t="shared" si="218"/>
        <v>0</v>
      </c>
      <c r="TQE6" s="88">
        <f t="shared" si="218"/>
        <v>0</v>
      </c>
      <c r="TQF6" s="88">
        <f t="shared" si="218"/>
        <v>0</v>
      </c>
      <c r="TQG6" s="88">
        <f t="shared" si="218"/>
        <v>0</v>
      </c>
      <c r="TQH6" s="88">
        <f t="shared" si="218"/>
        <v>0</v>
      </c>
      <c r="TQI6" s="88">
        <f t="shared" si="218"/>
        <v>0</v>
      </c>
      <c r="TQJ6" s="88">
        <f t="shared" si="218"/>
        <v>0</v>
      </c>
      <c r="TQK6" s="88">
        <f t="shared" si="218"/>
        <v>0</v>
      </c>
      <c r="TQL6" s="88">
        <f t="shared" si="218"/>
        <v>0</v>
      </c>
      <c r="TQM6" s="88">
        <f t="shared" si="218"/>
        <v>0</v>
      </c>
      <c r="TQN6" s="88">
        <f t="shared" si="218"/>
        <v>0</v>
      </c>
      <c r="TQO6" s="88">
        <f t="shared" si="218"/>
        <v>0</v>
      </c>
      <c r="TQP6" s="88">
        <f t="shared" si="218"/>
        <v>0</v>
      </c>
      <c r="TQQ6" s="88">
        <f t="shared" si="218"/>
        <v>0</v>
      </c>
      <c r="TQR6" s="88">
        <f t="shared" si="218"/>
        <v>0</v>
      </c>
      <c r="TQS6" s="88">
        <f t="shared" si="218"/>
        <v>0</v>
      </c>
      <c r="TQT6" s="88">
        <f t="shared" si="218"/>
        <v>0</v>
      </c>
      <c r="TQU6" s="88">
        <f t="shared" si="218"/>
        <v>0</v>
      </c>
      <c r="TQV6" s="88">
        <f t="shared" si="218"/>
        <v>0</v>
      </c>
      <c r="TQW6" s="88">
        <f t="shared" si="218"/>
        <v>0</v>
      </c>
      <c r="TQX6" s="88">
        <f t="shared" si="218"/>
        <v>0</v>
      </c>
      <c r="TQY6" s="88">
        <f t="shared" si="218"/>
        <v>0</v>
      </c>
      <c r="TQZ6" s="88">
        <f t="shared" si="218"/>
        <v>0</v>
      </c>
      <c r="TRA6" s="88">
        <f t="shared" si="218"/>
        <v>0</v>
      </c>
      <c r="TRB6" s="88">
        <f t="shared" si="218"/>
        <v>0</v>
      </c>
      <c r="TRC6" s="88">
        <f t="shared" si="218"/>
        <v>0</v>
      </c>
      <c r="TRD6" s="88">
        <f t="shared" si="218"/>
        <v>0</v>
      </c>
      <c r="TRE6" s="88">
        <f t="shared" si="218"/>
        <v>0</v>
      </c>
      <c r="TRF6" s="88">
        <f t="shared" si="218"/>
        <v>0</v>
      </c>
      <c r="TRG6" s="88">
        <f t="shared" si="218"/>
        <v>0</v>
      </c>
      <c r="TRH6" s="88">
        <f t="shared" si="218"/>
        <v>0</v>
      </c>
      <c r="TRI6" s="88">
        <f t="shared" si="218"/>
        <v>0</v>
      </c>
      <c r="TRJ6" s="88">
        <f t="shared" si="218"/>
        <v>0</v>
      </c>
      <c r="TRK6" s="88">
        <f t="shared" si="218"/>
        <v>0</v>
      </c>
      <c r="TRL6" s="88">
        <f t="shared" si="218"/>
        <v>0</v>
      </c>
      <c r="TRM6" s="88">
        <f t="shared" si="218"/>
        <v>0</v>
      </c>
      <c r="TRN6" s="88">
        <f t="shared" si="218"/>
        <v>0</v>
      </c>
      <c r="TRO6" s="88">
        <f t="shared" si="218"/>
        <v>0</v>
      </c>
      <c r="TRP6" s="88">
        <f t="shared" si="218"/>
        <v>0</v>
      </c>
      <c r="TRQ6" s="88">
        <f t="shared" si="218"/>
        <v>0</v>
      </c>
      <c r="TRR6" s="88">
        <f t="shared" si="218"/>
        <v>0</v>
      </c>
      <c r="TRS6" s="88">
        <f t="shared" si="218"/>
        <v>0</v>
      </c>
      <c r="TRT6" s="88">
        <f t="shared" si="218"/>
        <v>0</v>
      </c>
      <c r="TRU6" s="88">
        <f t="shared" si="218"/>
        <v>0</v>
      </c>
      <c r="TRV6" s="88">
        <f t="shared" si="218"/>
        <v>0</v>
      </c>
      <c r="TRW6" s="88">
        <f t="shared" si="218"/>
        <v>0</v>
      </c>
      <c r="TRX6" s="88">
        <f t="shared" si="218"/>
        <v>0</v>
      </c>
      <c r="TRY6" s="88">
        <f t="shared" si="218"/>
        <v>0</v>
      </c>
      <c r="TRZ6" s="88">
        <f t="shared" si="218"/>
        <v>0</v>
      </c>
      <c r="TSA6" s="88">
        <f t="shared" si="218"/>
        <v>0</v>
      </c>
      <c r="TSB6" s="88">
        <f t="shared" si="218"/>
        <v>0</v>
      </c>
      <c r="TSC6" s="88">
        <f t="shared" si="218"/>
        <v>0</v>
      </c>
      <c r="TSD6" s="88">
        <f t="shared" si="218"/>
        <v>0</v>
      </c>
      <c r="TSE6" s="88">
        <f t="shared" si="218"/>
        <v>0</v>
      </c>
      <c r="TSF6" s="88">
        <f t="shared" si="218"/>
        <v>0</v>
      </c>
      <c r="TSG6" s="88">
        <f t="shared" si="218"/>
        <v>0</v>
      </c>
      <c r="TSH6" s="88">
        <f t="shared" si="218"/>
        <v>0</v>
      </c>
      <c r="TSI6" s="88">
        <f t="shared" si="218"/>
        <v>0</v>
      </c>
      <c r="TSJ6" s="88">
        <f t="shared" si="218"/>
        <v>0</v>
      </c>
      <c r="TSK6" s="88">
        <f t="shared" si="218"/>
        <v>0</v>
      </c>
      <c r="TSL6" s="88">
        <f t="shared" si="218"/>
        <v>0</v>
      </c>
      <c r="TSM6" s="88">
        <f t="shared" si="218"/>
        <v>0</v>
      </c>
      <c r="TSN6" s="88">
        <f t="shared" ref="TSN6:TUY6" si="219">SUM(TSO3:TSO5)</f>
        <v>0</v>
      </c>
      <c r="TSO6" s="88">
        <f t="shared" si="219"/>
        <v>0</v>
      </c>
      <c r="TSP6" s="88">
        <f t="shared" si="219"/>
        <v>0</v>
      </c>
      <c r="TSQ6" s="88">
        <f t="shared" si="219"/>
        <v>0</v>
      </c>
      <c r="TSR6" s="88">
        <f t="shared" si="219"/>
        <v>0</v>
      </c>
      <c r="TSS6" s="88">
        <f t="shared" si="219"/>
        <v>0</v>
      </c>
      <c r="TST6" s="88">
        <f t="shared" si="219"/>
        <v>0</v>
      </c>
      <c r="TSU6" s="88">
        <f t="shared" si="219"/>
        <v>0</v>
      </c>
      <c r="TSV6" s="88">
        <f t="shared" si="219"/>
        <v>0</v>
      </c>
      <c r="TSW6" s="88">
        <f t="shared" si="219"/>
        <v>0</v>
      </c>
      <c r="TSX6" s="88">
        <f t="shared" si="219"/>
        <v>0</v>
      </c>
      <c r="TSY6" s="88">
        <f t="shared" si="219"/>
        <v>0</v>
      </c>
      <c r="TSZ6" s="88">
        <f t="shared" si="219"/>
        <v>0</v>
      </c>
      <c r="TTA6" s="88">
        <f t="shared" si="219"/>
        <v>0</v>
      </c>
      <c r="TTB6" s="88">
        <f t="shared" si="219"/>
        <v>0</v>
      </c>
      <c r="TTC6" s="88">
        <f t="shared" si="219"/>
        <v>0</v>
      </c>
      <c r="TTD6" s="88">
        <f t="shared" si="219"/>
        <v>0</v>
      </c>
      <c r="TTE6" s="88">
        <f t="shared" si="219"/>
        <v>0</v>
      </c>
      <c r="TTF6" s="88">
        <f t="shared" si="219"/>
        <v>0</v>
      </c>
      <c r="TTG6" s="88">
        <f t="shared" si="219"/>
        <v>0</v>
      </c>
      <c r="TTH6" s="88">
        <f t="shared" si="219"/>
        <v>0</v>
      </c>
      <c r="TTI6" s="88">
        <f t="shared" si="219"/>
        <v>0</v>
      </c>
      <c r="TTJ6" s="88">
        <f t="shared" si="219"/>
        <v>0</v>
      </c>
      <c r="TTK6" s="88">
        <f t="shared" si="219"/>
        <v>0</v>
      </c>
      <c r="TTL6" s="88">
        <f t="shared" si="219"/>
        <v>0</v>
      </c>
      <c r="TTM6" s="88">
        <f t="shared" si="219"/>
        <v>0</v>
      </c>
      <c r="TTN6" s="88">
        <f t="shared" si="219"/>
        <v>0</v>
      </c>
      <c r="TTO6" s="88">
        <f t="shared" si="219"/>
        <v>0</v>
      </c>
      <c r="TTP6" s="88">
        <f t="shared" si="219"/>
        <v>0</v>
      </c>
      <c r="TTQ6" s="88">
        <f t="shared" si="219"/>
        <v>0</v>
      </c>
      <c r="TTR6" s="88">
        <f t="shared" si="219"/>
        <v>0</v>
      </c>
      <c r="TTS6" s="88">
        <f t="shared" si="219"/>
        <v>0</v>
      </c>
      <c r="TTT6" s="88">
        <f t="shared" si="219"/>
        <v>0</v>
      </c>
      <c r="TTU6" s="88">
        <f t="shared" si="219"/>
        <v>0</v>
      </c>
      <c r="TTV6" s="88">
        <f t="shared" si="219"/>
        <v>0</v>
      </c>
      <c r="TTW6" s="88">
        <f t="shared" si="219"/>
        <v>0</v>
      </c>
      <c r="TTX6" s="88">
        <f t="shared" si="219"/>
        <v>0</v>
      </c>
      <c r="TTY6" s="88">
        <f t="shared" si="219"/>
        <v>0</v>
      </c>
      <c r="TTZ6" s="88">
        <f t="shared" si="219"/>
        <v>0</v>
      </c>
      <c r="TUA6" s="88">
        <f t="shared" si="219"/>
        <v>0</v>
      </c>
      <c r="TUB6" s="88">
        <f t="shared" si="219"/>
        <v>0</v>
      </c>
      <c r="TUC6" s="88">
        <f t="shared" si="219"/>
        <v>0</v>
      </c>
      <c r="TUD6" s="88">
        <f t="shared" si="219"/>
        <v>0</v>
      </c>
      <c r="TUE6" s="88">
        <f t="shared" si="219"/>
        <v>0</v>
      </c>
      <c r="TUF6" s="88">
        <f t="shared" si="219"/>
        <v>0</v>
      </c>
      <c r="TUG6" s="88">
        <f t="shared" si="219"/>
        <v>0</v>
      </c>
      <c r="TUH6" s="88">
        <f t="shared" si="219"/>
        <v>0</v>
      </c>
      <c r="TUI6" s="88">
        <f t="shared" si="219"/>
        <v>0</v>
      </c>
      <c r="TUJ6" s="88">
        <f t="shared" si="219"/>
        <v>0</v>
      </c>
      <c r="TUK6" s="88">
        <f t="shared" si="219"/>
        <v>0</v>
      </c>
      <c r="TUL6" s="88">
        <f t="shared" si="219"/>
        <v>0</v>
      </c>
      <c r="TUM6" s="88">
        <f t="shared" si="219"/>
        <v>0</v>
      </c>
      <c r="TUN6" s="88">
        <f t="shared" si="219"/>
        <v>0</v>
      </c>
      <c r="TUO6" s="88">
        <f t="shared" si="219"/>
        <v>0</v>
      </c>
      <c r="TUP6" s="88">
        <f t="shared" si="219"/>
        <v>0</v>
      </c>
      <c r="TUQ6" s="88">
        <f t="shared" si="219"/>
        <v>0</v>
      </c>
      <c r="TUR6" s="88">
        <f t="shared" si="219"/>
        <v>0</v>
      </c>
      <c r="TUS6" s="88">
        <f t="shared" si="219"/>
        <v>0</v>
      </c>
      <c r="TUT6" s="88">
        <f t="shared" si="219"/>
        <v>0</v>
      </c>
      <c r="TUU6" s="88">
        <f t="shared" si="219"/>
        <v>0</v>
      </c>
      <c r="TUV6" s="88">
        <f t="shared" si="219"/>
        <v>0</v>
      </c>
      <c r="TUW6" s="88">
        <f t="shared" si="219"/>
        <v>0</v>
      </c>
      <c r="TUX6" s="88">
        <f t="shared" si="219"/>
        <v>0</v>
      </c>
      <c r="TUY6" s="88">
        <f t="shared" si="219"/>
        <v>0</v>
      </c>
      <c r="TUZ6" s="88">
        <f t="shared" ref="TUZ6:TXK6" si="220">SUM(TVA3:TVA5)</f>
        <v>0</v>
      </c>
      <c r="TVA6" s="88">
        <f t="shared" si="220"/>
        <v>0</v>
      </c>
      <c r="TVB6" s="88">
        <f t="shared" si="220"/>
        <v>0</v>
      </c>
      <c r="TVC6" s="88">
        <f t="shared" si="220"/>
        <v>0</v>
      </c>
      <c r="TVD6" s="88">
        <f t="shared" si="220"/>
        <v>0</v>
      </c>
      <c r="TVE6" s="88">
        <f t="shared" si="220"/>
        <v>0</v>
      </c>
      <c r="TVF6" s="88">
        <f t="shared" si="220"/>
        <v>0</v>
      </c>
      <c r="TVG6" s="88">
        <f t="shared" si="220"/>
        <v>0</v>
      </c>
      <c r="TVH6" s="88">
        <f t="shared" si="220"/>
        <v>0</v>
      </c>
      <c r="TVI6" s="88">
        <f t="shared" si="220"/>
        <v>0</v>
      </c>
      <c r="TVJ6" s="88">
        <f t="shared" si="220"/>
        <v>0</v>
      </c>
      <c r="TVK6" s="88">
        <f t="shared" si="220"/>
        <v>0</v>
      </c>
      <c r="TVL6" s="88">
        <f t="shared" si="220"/>
        <v>0</v>
      </c>
      <c r="TVM6" s="88">
        <f t="shared" si="220"/>
        <v>0</v>
      </c>
      <c r="TVN6" s="88">
        <f t="shared" si="220"/>
        <v>0</v>
      </c>
      <c r="TVO6" s="88">
        <f t="shared" si="220"/>
        <v>0</v>
      </c>
      <c r="TVP6" s="88">
        <f t="shared" si="220"/>
        <v>0</v>
      </c>
      <c r="TVQ6" s="88">
        <f t="shared" si="220"/>
        <v>0</v>
      </c>
      <c r="TVR6" s="88">
        <f t="shared" si="220"/>
        <v>0</v>
      </c>
      <c r="TVS6" s="88">
        <f t="shared" si="220"/>
        <v>0</v>
      </c>
      <c r="TVT6" s="88">
        <f t="shared" si="220"/>
        <v>0</v>
      </c>
      <c r="TVU6" s="88">
        <f t="shared" si="220"/>
        <v>0</v>
      </c>
      <c r="TVV6" s="88">
        <f t="shared" si="220"/>
        <v>0</v>
      </c>
      <c r="TVW6" s="88">
        <f t="shared" si="220"/>
        <v>0</v>
      </c>
      <c r="TVX6" s="88">
        <f t="shared" si="220"/>
        <v>0</v>
      </c>
      <c r="TVY6" s="88">
        <f t="shared" si="220"/>
        <v>0</v>
      </c>
      <c r="TVZ6" s="88">
        <f t="shared" si="220"/>
        <v>0</v>
      </c>
      <c r="TWA6" s="88">
        <f t="shared" si="220"/>
        <v>0</v>
      </c>
      <c r="TWB6" s="88">
        <f t="shared" si="220"/>
        <v>0</v>
      </c>
      <c r="TWC6" s="88">
        <f t="shared" si="220"/>
        <v>0</v>
      </c>
      <c r="TWD6" s="88">
        <f t="shared" si="220"/>
        <v>0</v>
      </c>
      <c r="TWE6" s="88">
        <f t="shared" si="220"/>
        <v>0</v>
      </c>
      <c r="TWF6" s="88">
        <f t="shared" si="220"/>
        <v>0</v>
      </c>
      <c r="TWG6" s="88">
        <f t="shared" si="220"/>
        <v>0</v>
      </c>
      <c r="TWH6" s="88">
        <f t="shared" si="220"/>
        <v>0</v>
      </c>
      <c r="TWI6" s="88">
        <f t="shared" si="220"/>
        <v>0</v>
      </c>
      <c r="TWJ6" s="88">
        <f t="shared" si="220"/>
        <v>0</v>
      </c>
      <c r="TWK6" s="88">
        <f t="shared" si="220"/>
        <v>0</v>
      </c>
      <c r="TWL6" s="88">
        <f t="shared" si="220"/>
        <v>0</v>
      </c>
      <c r="TWM6" s="88">
        <f t="shared" si="220"/>
        <v>0</v>
      </c>
      <c r="TWN6" s="88">
        <f t="shared" si="220"/>
        <v>0</v>
      </c>
      <c r="TWO6" s="88">
        <f t="shared" si="220"/>
        <v>0</v>
      </c>
      <c r="TWP6" s="88">
        <f t="shared" si="220"/>
        <v>0</v>
      </c>
      <c r="TWQ6" s="88">
        <f t="shared" si="220"/>
        <v>0</v>
      </c>
      <c r="TWR6" s="88">
        <f t="shared" si="220"/>
        <v>0</v>
      </c>
      <c r="TWS6" s="88">
        <f t="shared" si="220"/>
        <v>0</v>
      </c>
      <c r="TWT6" s="88">
        <f t="shared" si="220"/>
        <v>0</v>
      </c>
      <c r="TWU6" s="88">
        <f t="shared" si="220"/>
        <v>0</v>
      </c>
      <c r="TWV6" s="88">
        <f t="shared" si="220"/>
        <v>0</v>
      </c>
      <c r="TWW6" s="88">
        <f t="shared" si="220"/>
        <v>0</v>
      </c>
      <c r="TWX6" s="88">
        <f t="shared" si="220"/>
        <v>0</v>
      </c>
      <c r="TWY6" s="88">
        <f t="shared" si="220"/>
        <v>0</v>
      </c>
      <c r="TWZ6" s="88">
        <f t="shared" si="220"/>
        <v>0</v>
      </c>
      <c r="TXA6" s="88">
        <f t="shared" si="220"/>
        <v>0</v>
      </c>
      <c r="TXB6" s="88">
        <f t="shared" si="220"/>
        <v>0</v>
      </c>
      <c r="TXC6" s="88">
        <f t="shared" si="220"/>
        <v>0</v>
      </c>
      <c r="TXD6" s="88">
        <f t="shared" si="220"/>
        <v>0</v>
      </c>
      <c r="TXE6" s="88">
        <f t="shared" si="220"/>
        <v>0</v>
      </c>
      <c r="TXF6" s="88">
        <f t="shared" si="220"/>
        <v>0</v>
      </c>
      <c r="TXG6" s="88">
        <f t="shared" si="220"/>
        <v>0</v>
      </c>
      <c r="TXH6" s="88">
        <f t="shared" si="220"/>
        <v>0</v>
      </c>
      <c r="TXI6" s="88">
        <f t="shared" si="220"/>
        <v>0</v>
      </c>
      <c r="TXJ6" s="88">
        <f t="shared" si="220"/>
        <v>0</v>
      </c>
      <c r="TXK6" s="88">
        <f t="shared" si="220"/>
        <v>0</v>
      </c>
      <c r="TXL6" s="88">
        <f t="shared" ref="TXL6:TZW6" si="221">SUM(TXM3:TXM5)</f>
        <v>0</v>
      </c>
      <c r="TXM6" s="88">
        <f t="shared" si="221"/>
        <v>0</v>
      </c>
      <c r="TXN6" s="88">
        <f t="shared" si="221"/>
        <v>0</v>
      </c>
      <c r="TXO6" s="88">
        <f t="shared" si="221"/>
        <v>0</v>
      </c>
      <c r="TXP6" s="88">
        <f t="shared" si="221"/>
        <v>0</v>
      </c>
      <c r="TXQ6" s="88">
        <f t="shared" si="221"/>
        <v>0</v>
      </c>
      <c r="TXR6" s="88">
        <f t="shared" si="221"/>
        <v>0</v>
      </c>
      <c r="TXS6" s="88">
        <f t="shared" si="221"/>
        <v>0</v>
      </c>
      <c r="TXT6" s="88">
        <f t="shared" si="221"/>
        <v>0</v>
      </c>
      <c r="TXU6" s="88">
        <f t="shared" si="221"/>
        <v>0</v>
      </c>
      <c r="TXV6" s="88">
        <f t="shared" si="221"/>
        <v>0</v>
      </c>
      <c r="TXW6" s="88">
        <f t="shared" si="221"/>
        <v>0</v>
      </c>
      <c r="TXX6" s="88">
        <f t="shared" si="221"/>
        <v>0</v>
      </c>
      <c r="TXY6" s="88">
        <f t="shared" si="221"/>
        <v>0</v>
      </c>
      <c r="TXZ6" s="88">
        <f t="shared" si="221"/>
        <v>0</v>
      </c>
      <c r="TYA6" s="88">
        <f t="shared" si="221"/>
        <v>0</v>
      </c>
      <c r="TYB6" s="88">
        <f t="shared" si="221"/>
        <v>0</v>
      </c>
      <c r="TYC6" s="88">
        <f t="shared" si="221"/>
        <v>0</v>
      </c>
      <c r="TYD6" s="88">
        <f t="shared" si="221"/>
        <v>0</v>
      </c>
      <c r="TYE6" s="88">
        <f t="shared" si="221"/>
        <v>0</v>
      </c>
      <c r="TYF6" s="88">
        <f t="shared" si="221"/>
        <v>0</v>
      </c>
      <c r="TYG6" s="88">
        <f t="shared" si="221"/>
        <v>0</v>
      </c>
      <c r="TYH6" s="88">
        <f t="shared" si="221"/>
        <v>0</v>
      </c>
      <c r="TYI6" s="88">
        <f t="shared" si="221"/>
        <v>0</v>
      </c>
      <c r="TYJ6" s="88">
        <f t="shared" si="221"/>
        <v>0</v>
      </c>
      <c r="TYK6" s="88">
        <f t="shared" si="221"/>
        <v>0</v>
      </c>
      <c r="TYL6" s="88">
        <f t="shared" si="221"/>
        <v>0</v>
      </c>
      <c r="TYM6" s="88">
        <f t="shared" si="221"/>
        <v>0</v>
      </c>
      <c r="TYN6" s="88">
        <f t="shared" si="221"/>
        <v>0</v>
      </c>
      <c r="TYO6" s="88">
        <f t="shared" si="221"/>
        <v>0</v>
      </c>
      <c r="TYP6" s="88">
        <f t="shared" si="221"/>
        <v>0</v>
      </c>
      <c r="TYQ6" s="88">
        <f t="shared" si="221"/>
        <v>0</v>
      </c>
      <c r="TYR6" s="88">
        <f t="shared" si="221"/>
        <v>0</v>
      </c>
      <c r="TYS6" s="88">
        <f t="shared" si="221"/>
        <v>0</v>
      </c>
      <c r="TYT6" s="88">
        <f t="shared" si="221"/>
        <v>0</v>
      </c>
      <c r="TYU6" s="88">
        <f t="shared" si="221"/>
        <v>0</v>
      </c>
      <c r="TYV6" s="88">
        <f t="shared" si="221"/>
        <v>0</v>
      </c>
      <c r="TYW6" s="88">
        <f t="shared" si="221"/>
        <v>0</v>
      </c>
      <c r="TYX6" s="88">
        <f t="shared" si="221"/>
        <v>0</v>
      </c>
      <c r="TYY6" s="88">
        <f t="shared" si="221"/>
        <v>0</v>
      </c>
      <c r="TYZ6" s="88">
        <f t="shared" si="221"/>
        <v>0</v>
      </c>
      <c r="TZA6" s="88">
        <f t="shared" si="221"/>
        <v>0</v>
      </c>
      <c r="TZB6" s="88">
        <f t="shared" si="221"/>
        <v>0</v>
      </c>
      <c r="TZC6" s="88">
        <f t="shared" si="221"/>
        <v>0</v>
      </c>
      <c r="TZD6" s="88">
        <f t="shared" si="221"/>
        <v>0</v>
      </c>
      <c r="TZE6" s="88">
        <f t="shared" si="221"/>
        <v>0</v>
      </c>
      <c r="TZF6" s="88">
        <f t="shared" si="221"/>
        <v>0</v>
      </c>
      <c r="TZG6" s="88">
        <f t="shared" si="221"/>
        <v>0</v>
      </c>
      <c r="TZH6" s="88">
        <f t="shared" si="221"/>
        <v>0</v>
      </c>
      <c r="TZI6" s="88">
        <f t="shared" si="221"/>
        <v>0</v>
      </c>
      <c r="TZJ6" s="88">
        <f t="shared" si="221"/>
        <v>0</v>
      </c>
      <c r="TZK6" s="88">
        <f t="shared" si="221"/>
        <v>0</v>
      </c>
      <c r="TZL6" s="88">
        <f t="shared" si="221"/>
        <v>0</v>
      </c>
      <c r="TZM6" s="88">
        <f t="shared" si="221"/>
        <v>0</v>
      </c>
      <c r="TZN6" s="88">
        <f t="shared" si="221"/>
        <v>0</v>
      </c>
      <c r="TZO6" s="88">
        <f t="shared" si="221"/>
        <v>0</v>
      </c>
      <c r="TZP6" s="88">
        <f t="shared" si="221"/>
        <v>0</v>
      </c>
      <c r="TZQ6" s="88">
        <f t="shared" si="221"/>
        <v>0</v>
      </c>
      <c r="TZR6" s="88">
        <f t="shared" si="221"/>
        <v>0</v>
      </c>
      <c r="TZS6" s="88">
        <f t="shared" si="221"/>
        <v>0</v>
      </c>
      <c r="TZT6" s="88">
        <f t="shared" si="221"/>
        <v>0</v>
      </c>
      <c r="TZU6" s="88">
        <f t="shared" si="221"/>
        <v>0</v>
      </c>
      <c r="TZV6" s="88">
        <f t="shared" si="221"/>
        <v>0</v>
      </c>
      <c r="TZW6" s="88">
        <f t="shared" si="221"/>
        <v>0</v>
      </c>
      <c r="TZX6" s="88">
        <f t="shared" ref="TZX6:UCI6" si="222">SUM(TZY3:TZY5)</f>
        <v>0</v>
      </c>
      <c r="TZY6" s="88">
        <f t="shared" si="222"/>
        <v>0</v>
      </c>
      <c r="TZZ6" s="88">
        <f t="shared" si="222"/>
        <v>0</v>
      </c>
      <c r="UAA6" s="88">
        <f t="shared" si="222"/>
        <v>0</v>
      </c>
      <c r="UAB6" s="88">
        <f t="shared" si="222"/>
        <v>0</v>
      </c>
      <c r="UAC6" s="88">
        <f t="shared" si="222"/>
        <v>0</v>
      </c>
      <c r="UAD6" s="88">
        <f t="shared" si="222"/>
        <v>0</v>
      </c>
      <c r="UAE6" s="88">
        <f t="shared" si="222"/>
        <v>0</v>
      </c>
      <c r="UAF6" s="88">
        <f t="shared" si="222"/>
        <v>0</v>
      </c>
      <c r="UAG6" s="88">
        <f t="shared" si="222"/>
        <v>0</v>
      </c>
      <c r="UAH6" s="88">
        <f t="shared" si="222"/>
        <v>0</v>
      </c>
      <c r="UAI6" s="88">
        <f t="shared" si="222"/>
        <v>0</v>
      </c>
      <c r="UAJ6" s="88">
        <f t="shared" si="222"/>
        <v>0</v>
      </c>
      <c r="UAK6" s="88">
        <f t="shared" si="222"/>
        <v>0</v>
      </c>
      <c r="UAL6" s="88">
        <f t="shared" si="222"/>
        <v>0</v>
      </c>
      <c r="UAM6" s="88">
        <f t="shared" si="222"/>
        <v>0</v>
      </c>
      <c r="UAN6" s="88">
        <f t="shared" si="222"/>
        <v>0</v>
      </c>
      <c r="UAO6" s="88">
        <f t="shared" si="222"/>
        <v>0</v>
      </c>
      <c r="UAP6" s="88">
        <f t="shared" si="222"/>
        <v>0</v>
      </c>
      <c r="UAQ6" s="88">
        <f t="shared" si="222"/>
        <v>0</v>
      </c>
      <c r="UAR6" s="88">
        <f t="shared" si="222"/>
        <v>0</v>
      </c>
      <c r="UAS6" s="88">
        <f t="shared" si="222"/>
        <v>0</v>
      </c>
      <c r="UAT6" s="88">
        <f t="shared" si="222"/>
        <v>0</v>
      </c>
      <c r="UAU6" s="88">
        <f t="shared" si="222"/>
        <v>0</v>
      </c>
      <c r="UAV6" s="88">
        <f t="shared" si="222"/>
        <v>0</v>
      </c>
      <c r="UAW6" s="88">
        <f t="shared" si="222"/>
        <v>0</v>
      </c>
      <c r="UAX6" s="88">
        <f t="shared" si="222"/>
        <v>0</v>
      </c>
      <c r="UAY6" s="88">
        <f t="shared" si="222"/>
        <v>0</v>
      </c>
      <c r="UAZ6" s="88">
        <f t="shared" si="222"/>
        <v>0</v>
      </c>
      <c r="UBA6" s="88">
        <f t="shared" si="222"/>
        <v>0</v>
      </c>
      <c r="UBB6" s="88">
        <f t="shared" si="222"/>
        <v>0</v>
      </c>
      <c r="UBC6" s="88">
        <f t="shared" si="222"/>
        <v>0</v>
      </c>
      <c r="UBD6" s="88">
        <f t="shared" si="222"/>
        <v>0</v>
      </c>
      <c r="UBE6" s="88">
        <f t="shared" si="222"/>
        <v>0</v>
      </c>
      <c r="UBF6" s="88">
        <f t="shared" si="222"/>
        <v>0</v>
      </c>
      <c r="UBG6" s="88">
        <f t="shared" si="222"/>
        <v>0</v>
      </c>
      <c r="UBH6" s="88">
        <f t="shared" si="222"/>
        <v>0</v>
      </c>
      <c r="UBI6" s="88">
        <f t="shared" si="222"/>
        <v>0</v>
      </c>
      <c r="UBJ6" s="88">
        <f t="shared" si="222"/>
        <v>0</v>
      </c>
      <c r="UBK6" s="88">
        <f t="shared" si="222"/>
        <v>0</v>
      </c>
      <c r="UBL6" s="88">
        <f t="shared" si="222"/>
        <v>0</v>
      </c>
      <c r="UBM6" s="88">
        <f t="shared" si="222"/>
        <v>0</v>
      </c>
      <c r="UBN6" s="88">
        <f t="shared" si="222"/>
        <v>0</v>
      </c>
      <c r="UBO6" s="88">
        <f t="shared" si="222"/>
        <v>0</v>
      </c>
      <c r="UBP6" s="88">
        <f t="shared" si="222"/>
        <v>0</v>
      </c>
      <c r="UBQ6" s="88">
        <f t="shared" si="222"/>
        <v>0</v>
      </c>
      <c r="UBR6" s="88">
        <f t="shared" si="222"/>
        <v>0</v>
      </c>
      <c r="UBS6" s="88">
        <f t="shared" si="222"/>
        <v>0</v>
      </c>
      <c r="UBT6" s="88">
        <f t="shared" si="222"/>
        <v>0</v>
      </c>
      <c r="UBU6" s="88">
        <f t="shared" si="222"/>
        <v>0</v>
      </c>
      <c r="UBV6" s="88">
        <f t="shared" si="222"/>
        <v>0</v>
      </c>
      <c r="UBW6" s="88">
        <f t="shared" si="222"/>
        <v>0</v>
      </c>
      <c r="UBX6" s="88">
        <f t="shared" si="222"/>
        <v>0</v>
      </c>
      <c r="UBY6" s="88">
        <f t="shared" si="222"/>
        <v>0</v>
      </c>
      <c r="UBZ6" s="88">
        <f t="shared" si="222"/>
        <v>0</v>
      </c>
      <c r="UCA6" s="88">
        <f t="shared" si="222"/>
        <v>0</v>
      </c>
      <c r="UCB6" s="88">
        <f t="shared" si="222"/>
        <v>0</v>
      </c>
      <c r="UCC6" s="88">
        <f t="shared" si="222"/>
        <v>0</v>
      </c>
      <c r="UCD6" s="88">
        <f t="shared" si="222"/>
        <v>0</v>
      </c>
      <c r="UCE6" s="88">
        <f t="shared" si="222"/>
        <v>0</v>
      </c>
      <c r="UCF6" s="88">
        <f t="shared" si="222"/>
        <v>0</v>
      </c>
      <c r="UCG6" s="88">
        <f t="shared" si="222"/>
        <v>0</v>
      </c>
      <c r="UCH6" s="88">
        <f t="shared" si="222"/>
        <v>0</v>
      </c>
      <c r="UCI6" s="88">
        <f t="shared" si="222"/>
        <v>0</v>
      </c>
      <c r="UCJ6" s="88">
        <f t="shared" ref="UCJ6:UEU6" si="223">SUM(UCK3:UCK5)</f>
        <v>0</v>
      </c>
      <c r="UCK6" s="88">
        <f t="shared" si="223"/>
        <v>0</v>
      </c>
      <c r="UCL6" s="88">
        <f t="shared" si="223"/>
        <v>0</v>
      </c>
      <c r="UCM6" s="88">
        <f t="shared" si="223"/>
        <v>0</v>
      </c>
      <c r="UCN6" s="88">
        <f t="shared" si="223"/>
        <v>0</v>
      </c>
      <c r="UCO6" s="88">
        <f t="shared" si="223"/>
        <v>0</v>
      </c>
      <c r="UCP6" s="88">
        <f t="shared" si="223"/>
        <v>0</v>
      </c>
      <c r="UCQ6" s="88">
        <f t="shared" si="223"/>
        <v>0</v>
      </c>
      <c r="UCR6" s="88">
        <f t="shared" si="223"/>
        <v>0</v>
      </c>
      <c r="UCS6" s="88">
        <f t="shared" si="223"/>
        <v>0</v>
      </c>
      <c r="UCT6" s="88">
        <f t="shared" si="223"/>
        <v>0</v>
      </c>
      <c r="UCU6" s="88">
        <f t="shared" si="223"/>
        <v>0</v>
      </c>
      <c r="UCV6" s="88">
        <f t="shared" si="223"/>
        <v>0</v>
      </c>
      <c r="UCW6" s="88">
        <f t="shared" si="223"/>
        <v>0</v>
      </c>
      <c r="UCX6" s="88">
        <f t="shared" si="223"/>
        <v>0</v>
      </c>
      <c r="UCY6" s="88">
        <f t="shared" si="223"/>
        <v>0</v>
      </c>
      <c r="UCZ6" s="88">
        <f t="shared" si="223"/>
        <v>0</v>
      </c>
      <c r="UDA6" s="88">
        <f t="shared" si="223"/>
        <v>0</v>
      </c>
      <c r="UDB6" s="88">
        <f t="shared" si="223"/>
        <v>0</v>
      </c>
      <c r="UDC6" s="88">
        <f t="shared" si="223"/>
        <v>0</v>
      </c>
      <c r="UDD6" s="88">
        <f t="shared" si="223"/>
        <v>0</v>
      </c>
      <c r="UDE6" s="88">
        <f t="shared" si="223"/>
        <v>0</v>
      </c>
      <c r="UDF6" s="88">
        <f t="shared" si="223"/>
        <v>0</v>
      </c>
      <c r="UDG6" s="88">
        <f t="shared" si="223"/>
        <v>0</v>
      </c>
      <c r="UDH6" s="88">
        <f t="shared" si="223"/>
        <v>0</v>
      </c>
      <c r="UDI6" s="88">
        <f t="shared" si="223"/>
        <v>0</v>
      </c>
      <c r="UDJ6" s="88">
        <f t="shared" si="223"/>
        <v>0</v>
      </c>
      <c r="UDK6" s="88">
        <f t="shared" si="223"/>
        <v>0</v>
      </c>
      <c r="UDL6" s="88">
        <f t="shared" si="223"/>
        <v>0</v>
      </c>
      <c r="UDM6" s="88">
        <f t="shared" si="223"/>
        <v>0</v>
      </c>
      <c r="UDN6" s="88">
        <f t="shared" si="223"/>
        <v>0</v>
      </c>
      <c r="UDO6" s="88">
        <f t="shared" si="223"/>
        <v>0</v>
      </c>
      <c r="UDP6" s="88">
        <f t="shared" si="223"/>
        <v>0</v>
      </c>
      <c r="UDQ6" s="88">
        <f t="shared" si="223"/>
        <v>0</v>
      </c>
      <c r="UDR6" s="88">
        <f t="shared" si="223"/>
        <v>0</v>
      </c>
      <c r="UDS6" s="88">
        <f t="shared" si="223"/>
        <v>0</v>
      </c>
      <c r="UDT6" s="88">
        <f t="shared" si="223"/>
        <v>0</v>
      </c>
      <c r="UDU6" s="88">
        <f t="shared" si="223"/>
        <v>0</v>
      </c>
      <c r="UDV6" s="88">
        <f t="shared" si="223"/>
        <v>0</v>
      </c>
      <c r="UDW6" s="88">
        <f t="shared" si="223"/>
        <v>0</v>
      </c>
      <c r="UDX6" s="88">
        <f t="shared" si="223"/>
        <v>0</v>
      </c>
      <c r="UDY6" s="88">
        <f t="shared" si="223"/>
        <v>0</v>
      </c>
      <c r="UDZ6" s="88">
        <f t="shared" si="223"/>
        <v>0</v>
      </c>
      <c r="UEA6" s="88">
        <f t="shared" si="223"/>
        <v>0</v>
      </c>
      <c r="UEB6" s="88">
        <f t="shared" si="223"/>
        <v>0</v>
      </c>
      <c r="UEC6" s="88">
        <f t="shared" si="223"/>
        <v>0</v>
      </c>
      <c r="UED6" s="88">
        <f t="shared" si="223"/>
        <v>0</v>
      </c>
      <c r="UEE6" s="88">
        <f t="shared" si="223"/>
        <v>0</v>
      </c>
      <c r="UEF6" s="88">
        <f t="shared" si="223"/>
        <v>0</v>
      </c>
      <c r="UEG6" s="88">
        <f t="shared" si="223"/>
        <v>0</v>
      </c>
      <c r="UEH6" s="88">
        <f t="shared" si="223"/>
        <v>0</v>
      </c>
      <c r="UEI6" s="88">
        <f t="shared" si="223"/>
        <v>0</v>
      </c>
      <c r="UEJ6" s="88">
        <f t="shared" si="223"/>
        <v>0</v>
      </c>
      <c r="UEK6" s="88">
        <f t="shared" si="223"/>
        <v>0</v>
      </c>
      <c r="UEL6" s="88">
        <f t="shared" si="223"/>
        <v>0</v>
      </c>
      <c r="UEM6" s="88">
        <f t="shared" si="223"/>
        <v>0</v>
      </c>
      <c r="UEN6" s="88">
        <f t="shared" si="223"/>
        <v>0</v>
      </c>
      <c r="UEO6" s="88">
        <f t="shared" si="223"/>
        <v>0</v>
      </c>
      <c r="UEP6" s="88">
        <f t="shared" si="223"/>
        <v>0</v>
      </c>
      <c r="UEQ6" s="88">
        <f t="shared" si="223"/>
        <v>0</v>
      </c>
      <c r="UER6" s="88">
        <f t="shared" si="223"/>
        <v>0</v>
      </c>
      <c r="UES6" s="88">
        <f t="shared" si="223"/>
        <v>0</v>
      </c>
      <c r="UET6" s="88">
        <f t="shared" si="223"/>
        <v>0</v>
      </c>
      <c r="UEU6" s="88">
        <f t="shared" si="223"/>
        <v>0</v>
      </c>
      <c r="UEV6" s="88">
        <f t="shared" ref="UEV6:UHG6" si="224">SUM(UEW3:UEW5)</f>
        <v>0</v>
      </c>
      <c r="UEW6" s="88">
        <f t="shared" si="224"/>
        <v>0</v>
      </c>
      <c r="UEX6" s="88">
        <f t="shared" si="224"/>
        <v>0</v>
      </c>
      <c r="UEY6" s="88">
        <f t="shared" si="224"/>
        <v>0</v>
      </c>
      <c r="UEZ6" s="88">
        <f t="shared" si="224"/>
        <v>0</v>
      </c>
      <c r="UFA6" s="88">
        <f t="shared" si="224"/>
        <v>0</v>
      </c>
      <c r="UFB6" s="88">
        <f t="shared" si="224"/>
        <v>0</v>
      </c>
      <c r="UFC6" s="88">
        <f t="shared" si="224"/>
        <v>0</v>
      </c>
      <c r="UFD6" s="88">
        <f t="shared" si="224"/>
        <v>0</v>
      </c>
      <c r="UFE6" s="88">
        <f t="shared" si="224"/>
        <v>0</v>
      </c>
      <c r="UFF6" s="88">
        <f t="shared" si="224"/>
        <v>0</v>
      </c>
      <c r="UFG6" s="88">
        <f t="shared" si="224"/>
        <v>0</v>
      </c>
      <c r="UFH6" s="88">
        <f t="shared" si="224"/>
        <v>0</v>
      </c>
      <c r="UFI6" s="88">
        <f t="shared" si="224"/>
        <v>0</v>
      </c>
      <c r="UFJ6" s="88">
        <f t="shared" si="224"/>
        <v>0</v>
      </c>
      <c r="UFK6" s="88">
        <f t="shared" si="224"/>
        <v>0</v>
      </c>
      <c r="UFL6" s="88">
        <f t="shared" si="224"/>
        <v>0</v>
      </c>
      <c r="UFM6" s="88">
        <f t="shared" si="224"/>
        <v>0</v>
      </c>
      <c r="UFN6" s="88">
        <f t="shared" si="224"/>
        <v>0</v>
      </c>
      <c r="UFO6" s="88">
        <f t="shared" si="224"/>
        <v>0</v>
      </c>
      <c r="UFP6" s="88">
        <f t="shared" si="224"/>
        <v>0</v>
      </c>
      <c r="UFQ6" s="88">
        <f t="shared" si="224"/>
        <v>0</v>
      </c>
      <c r="UFR6" s="88">
        <f t="shared" si="224"/>
        <v>0</v>
      </c>
      <c r="UFS6" s="88">
        <f t="shared" si="224"/>
        <v>0</v>
      </c>
      <c r="UFT6" s="88">
        <f t="shared" si="224"/>
        <v>0</v>
      </c>
      <c r="UFU6" s="88">
        <f t="shared" si="224"/>
        <v>0</v>
      </c>
      <c r="UFV6" s="88">
        <f t="shared" si="224"/>
        <v>0</v>
      </c>
      <c r="UFW6" s="88">
        <f t="shared" si="224"/>
        <v>0</v>
      </c>
      <c r="UFX6" s="88">
        <f t="shared" si="224"/>
        <v>0</v>
      </c>
      <c r="UFY6" s="88">
        <f t="shared" si="224"/>
        <v>0</v>
      </c>
      <c r="UFZ6" s="88">
        <f t="shared" si="224"/>
        <v>0</v>
      </c>
      <c r="UGA6" s="88">
        <f t="shared" si="224"/>
        <v>0</v>
      </c>
      <c r="UGB6" s="88">
        <f t="shared" si="224"/>
        <v>0</v>
      </c>
      <c r="UGC6" s="88">
        <f t="shared" si="224"/>
        <v>0</v>
      </c>
      <c r="UGD6" s="88">
        <f t="shared" si="224"/>
        <v>0</v>
      </c>
      <c r="UGE6" s="88">
        <f t="shared" si="224"/>
        <v>0</v>
      </c>
      <c r="UGF6" s="88">
        <f t="shared" si="224"/>
        <v>0</v>
      </c>
      <c r="UGG6" s="88">
        <f t="shared" si="224"/>
        <v>0</v>
      </c>
      <c r="UGH6" s="88">
        <f t="shared" si="224"/>
        <v>0</v>
      </c>
      <c r="UGI6" s="88">
        <f t="shared" si="224"/>
        <v>0</v>
      </c>
      <c r="UGJ6" s="88">
        <f t="shared" si="224"/>
        <v>0</v>
      </c>
      <c r="UGK6" s="88">
        <f t="shared" si="224"/>
        <v>0</v>
      </c>
      <c r="UGL6" s="88">
        <f t="shared" si="224"/>
        <v>0</v>
      </c>
      <c r="UGM6" s="88">
        <f t="shared" si="224"/>
        <v>0</v>
      </c>
      <c r="UGN6" s="88">
        <f t="shared" si="224"/>
        <v>0</v>
      </c>
      <c r="UGO6" s="88">
        <f t="shared" si="224"/>
        <v>0</v>
      </c>
      <c r="UGP6" s="88">
        <f t="shared" si="224"/>
        <v>0</v>
      </c>
      <c r="UGQ6" s="88">
        <f t="shared" si="224"/>
        <v>0</v>
      </c>
      <c r="UGR6" s="88">
        <f t="shared" si="224"/>
        <v>0</v>
      </c>
      <c r="UGS6" s="88">
        <f t="shared" si="224"/>
        <v>0</v>
      </c>
      <c r="UGT6" s="88">
        <f t="shared" si="224"/>
        <v>0</v>
      </c>
      <c r="UGU6" s="88">
        <f t="shared" si="224"/>
        <v>0</v>
      </c>
      <c r="UGV6" s="88">
        <f t="shared" si="224"/>
        <v>0</v>
      </c>
      <c r="UGW6" s="88">
        <f t="shared" si="224"/>
        <v>0</v>
      </c>
      <c r="UGX6" s="88">
        <f t="shared" si="224"/>
        <v>0</v>
      </c>
      <c r="UGY6" s="88">
        <f t="shared" si="224"/>
        <v>0</v>
      </c>
      <c r="UGZ6" s="88">
        <f t="shared" si="224"/>
        <v>0</v>
      </c>
      <c r="UHA6" s="88">
        <f t="shared" si="224"/>
        <v>0</v>
      </c>
      <c r="UHB6" s="88">
        <f t="shared" si="224"/>
        <v>0</v>
      </c>
      <c r="UHC6" s="88">
        <f t="shared" si="224"/>
        <v>0</v>
      </c>
      <c r="UHD6" s="88">
        <f t="shared" si="224"/>
        <v>0</v>
      </c>
      <c r="UHE6" s="88">
        <f t="shared" si="224"/>
        <v>0</v>
      </c>
      <c r="UHF6" s="88">
        <f t="shared" si="224"/>
        <v>0</v>
      </c>
      <c r="UHG6" s="88">
        <f t="shared" si="224"/>
        <v>0</v>
      </c>
      <c r="UHH6" s="88">
        <f t="shared" ref="UHH6:UJS6" si="225">SUM(UHI3:UHI5)</f>
        <v>0</v>
      </c>
      <c r="UHI6" s="88">
        <f t="shared" si="225"/>
        <v>0</v>
      </c>
      <c r="UHJ6" s="88">
        <f t="shared" si="225"/>
        <v>0</v>
      </c>
      <c r="UHK6" s="88">
        <f t="shared" si="225"/>
        <v>0</v>
      </c>
      <c r="UHL6" s="88">
        <f t="shared" si="225"/>
        <v>0</v>
      </c>
      <c r="UHM6" s="88">
        <f t="shared" si="225"/>
        <v>0</v>
      </c>
      <c r="UHN6" s="88">
        <f t="shared" si="225"/>
        <v>0</v>
      </c>
      <c r="UHO6" s="88">
        <f t="shared" si="225"/>
        <v>0</v>
      </c>
      <c r="UHP6" s="88">
        <f t="shared" si="225"/>
        <v>0</v>
      </c>
      <c r="UHQ6" s="88">
        <f t="shared" si="225"/>
        <v>0</v>
      </c>
      <c r="UHR6" s="88">
        <f t="shared" si="225"/>
        <v>0</v>
      </c>
      <c r="UHS6" s="88">
        <f t="shared" si="225"/>
        <v>0</v>
      </c>
      <c r="UHT6" s="88">
        <f t="shared" si="225"/>
        <v>0</v>
      </c>
      <c r="UHU6" s="88">
        <f t="shared" si="225"/>
        <v>0</v>
      </c>
      <c r="UHV6" s="88">
        <f t="shared" si="225"/>
        <v>0</v>
      </c>
      <c r="UHW6" s="88">
        <f t="shared" si="225"/>
        <v>0</v>
      </c>
      <c r="UHX6" s="88">
        <f t="shared" si="225"/>
        <v>0</v>
      </c>
      <c r="UHY6" s="88">
        <f t="shared" si="225"/>
        <v>0</v>
      </c>
      <c r="UHZ6" s="88">
        <f t="shared" si="225"/>
        <v>0</v>
      </c>
      <c r="UIA6" s="88">
        <f t="shared" si="225"/>
        <v>0</v>
      </c>
      <c r="UIB6" s="88">
        <f t="shared" si="225"/>
        <v>0</v>
      </c>
      <c r="UIC6" s="88">
        <f t="shared" si="225"/>
        <v>0</v>
      </c>
      <c r="UID6" s="88">
        <f t="shared" si="225"/>
        <v>0</v>
      </c>
      <c r="UIE6" s="88">
        <f t="shared" si="225"/>
        <v>0</v>
      </c>
      <c r="UIF6" s="88">
        <f t="shared" si="225"/>
        <v>0</v>
      </c>
      <c r="UIG6" s="88">
        <f t="shared" si="225"/>
        <v>0</v>
      </c>
      <c r="UIH6" s="88">
        <f t="shared" si="225"/>
        <v>0</v>
      </c>
      <c r="UII6" s="88">
        <f t="shared" si="225"/>
        <v>0</v>
      </c>
      <c r="UIJ6" s="88">
        <f t="shared" si="225"/>
        <v>0</v>
      </c>
      <c r="UIK6" s="88">
        <f t="shared" si="225"/>
        <v>0</v>
      </c>
      <c r="UIL6" s="88">
        <f t="shared" si="225"/>
        <v>0</v>
      </c>
      <c r="UIM6" s="88">
        <f t="shared" si="225"/>
        <v>0</v>
      </c>
      <c r="UIN6" s="88">
        <f t="shared" si="225"/>
        <v>0</v>
      </c>
      <c r="UIO6" s="88">
        <f t="shared" si="225"/>
        <v>0</v>
      </c>
      <c r="UIP6" s="88">
        <f t="shared" si="225"/>
        <v>0</v>
      </c>
      <c r="UIQ6" s="88">
        <f t="shared" si="225"/>
        <v>0</v>
      </c>
      <c r="UIR6" s="88">
        <f t="shared" si="225"/>
        <v>0</v>
      </c>
      <c r="UIS6" s="88">
        <f t="shared" si="225"/>
        <v>0</v>
      </c>
      <c r="UIT6" s="88">
        <f t="shared" si="225"/>
        <v>0</v>
      </c>
      <c r="UIU6" s="88">
        <f t="shared" si="225"/>
        <v>0</v>
      </c>
      <c r="UIV6" s="88">
        <f t="shared" si="225"/>
        <v>0</v>
      </c>
      <c r="UIW6" s="88">
        <f t="shared" si="225"/>
        <v>0</v>
      </c>
      <c r="UIX6" s="88">
        <f t="shared" si="225"/>
        <v>0</v>
      </c>
      <c r="UIY6" s="88">
        <f t="shared" si="225"/>
        <v>0</v>
      </c>
      <c r="UIZ6" s="88">
        <f t="shared" si="225"/>
        <v>0</v>
      </c>
      <c r="UJA6" s="88">
        <f t="shared" si="225"/>
        <v>0</v>
      </c>
      <c r="UJB6" s="88">
        <f t="shared" si="225"/>
        <v>0</v>
      </c>
      <c r="UJC6" s="88">
        <f t="shared" si="225"/>
        <v>0</v>
      </c>
      <c r="UJD6" s="88">
        <f t="shared" si="225"/>
        <v>0</v>
      </c>
      <c r="UJE6" s="88">
        <f t="shared" si="225"/>
        <v>0</v>
      </c>
      <c r="UJF6" s="88">
        <f t="shared" si="225"/>
        <v>0</v>
      </c>
      <c r="UJG6" s="88">
        <f t="shared" si="225"/>
        <v>0</v>
      </c>
      <c r="UJH6" s="88">
        <f t="shared" si="225"/>
        <v>0</v>
      </c>
      <c r="UJI6" s="88">
        <f t="shared" si="225"/>
        <v>0</v>
      </c>
      <c r="UJJ6" s="88">
        <f t="shared" si="225"/>
        <v>0</v>
      </c>
      <c r="UJK6" s="88">
        <f t="shared" si="225"/>
        <v>0</v>
      </c>
      <c r="UJL6" s="88">
        <f t="shared" si="225"/>
        <v>0</v>
      </c>
      <c r="UJM6" s="88">
        <f t="shared" si="225"/>
        <v>0</v>
      </c>
      <c r="UJN6" s="88">
        <f t="shared" si="225"/>
        <v>0</v>
      </c>
      <c r="UJO6" s="88">
        <f t="shared" si="225"/>
        <v>0</v>
      </c>
      <c r="UJP6" s="88">
        <f t="shared" si="225"/>
        <v>0</v>
      </c>
      <c r="UJQ6" s="88">
        <f t="shared" si="225"/>
        <v>0</v>
      </c>
      <c r="UJR6" s="88">
        <f t="shared" si="225"/>
        <v>0</v>
      </c>
      <c r="UJS6" s="88">
        <f t="shared" si="225"/>
        <v>0</v>
      </c>
      <c r="UJT6" s="88">
        <f t="shared" ref="UJT6:UME6" si="226">SUM(UJU3:UJU5)</f>
        <v>0</v>
      </c>
      <c r="UJU6" s="88">
        <f t="shared" si="226"/>
        <v>0</v>
      </c>
      <c r="UJV6" s="88">
        <f t="shared" si="226"/>
        <v>0</v>
      </c>
      <c r="UJW6" s="88">
        <f t="shared" si="226"/>
        <v>0</v>
      </c>
      <c r="UJX6" s="88">
        <f t="shared" si="226"/>
        <v>0</v>
      </c>
      <c r="UJY6" s="88">
        <f t="shared" si="226"/>
        <v>0</v>
      </c>
      <c r="UJZ6" s="88">
        <f t="shared" si="226"/>
        <v>0</v>
      </c>
      <c r="UKA6" s="88">
        <f t="shared" si="226"/>
        <v>0</v>
      </c>
      <c r="UKB6" s="88">
        <f t="shared" si="226"/>
        <v>0</v>
      </c>
      <c r="UKC6" s="88">
        <f t="shared" si="226"/>
        <v>0</v>
      </c>
      <c r="UKD6" s="88">
        <f t="shared" si="226"/>
        <v>0</v>
      </c>
      <c r="UKE6" s="88">
        <f t="shared" si="226"/>
        <v>0</v>
      </c>
      <c r="UKF6" s="88">
        <f t="shared" si="226"/>
        <v>0</v>
      </c>
      <c r="UKG6" s="88">
        <f t="shared" si="226"/>
        <v>0</v>
      </c>
      <c r="UKH6" s="88">
        <f t="shared" si="226"/>
        <v>0</v>
      </c>
      <c r="UKI6" s="88">
        <f t="shared" si="226"/>
        <v>0</v>
      </c>
      <c r="UKJ6" s="88">
        <f t="shared" si="226"/>
        <v>0</v>
      </c>
      <c r="UKK6" s="88">
        <f t="shared" si="226"/>
        <v>0</v>
      </c>
      <c r="UKL6" s="88">
        <f t="shared" si="226"/>
        <v>0</v>
      </c>
      <c r="UKM6" s="88">
        <f t="shared" si="226"/>
        <v>0</v>
      </c>
      <c r="UKN6" s="88">
        <f t="shared" si="226"/>
        <v>0</v>
      </c>
      <c r="UKO6" s="88">
        <f t="shared" si="226"/>
        <v>0</v>
      </c>
      <c r="UKP6" s="88">
        <f t="shared" si="226"/>
        <v>0</v>
      </c>
      <c r="UKQ6" s="88">
        <f t="shared" si="226"/>
        <v>0</v>
      </c>
      <c r="UKR6" s="88">
        <f t="shared" si="226"/>
        <v>0</v>
      </c>
      <c r="UKS6" s="88">
        <f t="shared" si="226"/>
        <v>0</v>
      </c>
      <c r="UKT6" s="88">
        <f t="shared" si="226"/>
        <v>0</v>
      </c>
      <c r="UKU6" s="88">
        <f t="shared" si="226"/>
        <v>0</v>
      </c>
      <c r="UKV6" s="88">
        <f t="shared" si="226"/>
        <v>0</v>
      </c>
      <c r="UKW6" s="88">
        <f t="shared" si="226"/>
        <v>0</v>
      </c>
      <c r="UKX6" s="88">
        <f t="shared" si="226"/>
        <v>0</v>
      </c>
      <c r="UKY6" s="88">
        <f t="shared" si="226"/>
        <v>0</v>
      </c>
      <c r="UKZ6" s="88">
        <f t="shared" si="226"/>
        <v>0</v>
      </c>
      <c r="ULA6" s="88">
        <f t="shared" si="226"/>
        <v>0</v>
      </c>
      <c r="ULB6" s="88">
        <f t="shared" si="226"/>
        <v>0</v>
      </c>
      <c r="ULC6" s="88">
        <f t="shared" si="226"/>
        <v>0</v>
      </c>
      <c r="ULD6" s="88">
        <f t="shared" si="226"/>
        <v>0</v>
      </c>
      <c r="ULE6" s="88">
        <f t="shared" si="226"/>
        <v>0</v>
      </c>
      <c r="ULF6" s="88">
        <f t="shared" si="226"/>
        <v>0</v>
      </c>
      <c r="ULG6" s="88">
        <f t="shared" si="226"/>
        <v>0</v>
      </c>
      <c r="ULH6" s="88">
        <f t="shared" si="226"/>
        <v>0</v>
      </c>
      <c r="ULI6" s="88">
        <f t="shared" si="226"/>
        <v>0</v>
      </c>
      <c r="ULJ6" s="88">
        <f t="shared" si="226"/>
        <v>0</v>
      </c>
      <c r="ULK6" s="88">
        <f t="shared" si="226"/>
        <v>0</v>
      </c>
      <c r="ULL6" s="88">
        <f t="shared" si="226"/>
        <v>0</v>
      </c>
      <c r="ULM6" s="88">
        <f t="shared" si="226"/>
        <v>0</v>
      </c>
      <c r="ULN6" s="88">
        <f t="shared" si="226"/>
        <v>0</v>
      </c>
      <c r="ULO6" s="88">
        <f t="shared" si="226"/>
        <v>0</v>
      </c>
      <c r="ULP6" s="88">
        <f t="shared" si="226"/>
        <v>0</v>
      </c>
      <c r="ULQ6" s="88">
        <f t="shared" si="226"/>
        <v>0</v>
      </c>
      <c r="ULR6" s="88">
        <f t="shared" si="226"/>
        <v>0</v>
      </c>
      <c r="ULS6" s="88">
        <f t="shared" si="226"/>
        <v>0</v>
      </c>
      <c r="ULT6" s="88">
        <f t="shared" si="226"/>
        <v>0</v>
      </c>
      <c r="ULU6" s="88">
        <f t="shared" si="226"/>
        <v>0</v>
      </c>
      <c r="ULV6" s="88">
        <f t="shared" si="226"/>
        <v>0</v>
      </c>
      <c r="ULW6" s="88">
        <f t="shared" si="226"/>
        <v>0</v>
      </c>
      <c r="ULX6" s="88">
        <f t="shared" si="226"/>
        <v>0</v>
      </c>
      <c r="ULY6" s="88">
        <f t="shared" si="226"/>
        <v>0</v>
      </c>
      <c r="ULZ6" s="88">
        <f t="shared" si="226"/>
        <v>0</v>
      </c>
      <c r="UMA6" s="88">
        <f t="shared" si="226"/>
        <v>0</v>
      </c>
      <c r="UMB6" s="88">
        <f t="shared" si="226"/>
        <v>0</v>
      </c>
      <c r="UMC6" s="88">
        <f t="shared" si="226"/>
        <v>0</v>
      </c>
      <c r="UMD6" s="88">
        <f t="shared" si="226"/>
        <v>0</v>
      </c>
      <c r="UME6" s="88">
        <f t="shared" si="226"/>
        <v>0</v>
      </c>
      <c r="UMF6" s="88">
        <f t="shared" ref="UMF6:UOQ6" si="227">SUM(UMG3:UMG5)</f>
        <v>0</v>
      </c>
      <c r="UMG6" s="88">
        <f t="shared" si="227"/>
        <v>0</v>
      </c>
      <c r="UMH6" s="88">
        <f t="shared" si="227"/>
        <v>0</v>
      </c>
      <c r="UMI6" s="88">
        <f t="shared" si="227"/>
        <v>0</v>
      </c>
      <c r="UMJ6" s="88">
        <f t="shared" si="227"/>
        <v>0</v>
      </c>
      <c r="UMK6" s="88">
        <f t="shared" si="227"/>
        <v>0</v>
      </c>
      <c r="UML6" s="88">
        <f t="shared" si="227"/>
        <v>0</v>
      </c>
      <c r="UMM6" s="88">
        <f t="shared" si="227"/>
        <v>0</v>
      </c>
      <c r="UMN6" s="88">
        <f t="shared" si="227"/>
        <v>0</v>
      </c>
      <c r="UMO6" s="88">
        <f t="shared" si="227"/>
        <v>0</v>
      </c>
      <c r="UMP6" s="88">
        <f t="shared" si="227"/>
        <v>0</v>
      </c>
      <c r="UMQ6" s="88">
        <f t="shared" si="227"/>
        <v>0</v>
      </c>
      <c r="UMR6" s="88">
        <f t="shared" si="227"/>
        <v>0</v>
      </c>
      <c r="UMS6" s="88">
        <f t="shared" si="227"/>
        <v>0</v>
      </c>
      <c r="UMT6" s="88">
        <f t="shared" si="227"/>
        <v>0</v>
      </c>
      <c r="UMU6" s="88">
        <f t="shared" si="227"/>
        <v>0</v>
      </c>
      <c r="UMV6" s="88">
        <f t="shared" si="227"/>
        <v>0</v>
      </c>
      <c r="UMW6" s="88">
        <f t="shared" si="227"/>
        <v>0</v>
      </c>
      <c r="UMX6" s="88">
        <f t="shared" si="227"/>
        <v>0</v>
      </c>
      <c r="UMY6" s="88">
        <f t="shared" si="227"/>
        <v>0</v>
      </c>
      <c r="UMZ6" s="88">
        <f t="shared" si="227"/>
        <v>0</v>
      </c>
      <c r="UNA6" s="88">
        <f t="shared" si="227"/>
        <v>0</v>
      </c>
      <c r="UNB6" s="88">
        <f t="shared" si="227"/>
        <v>0</v>
      </c>
      <c r="UNC6" s="88">
        <f t="shared" si="227"/>
        <v>0</v>
      </c>
      <c r="UND6" s="88">
        <f t="shared" si="227"/>
        <v>0</v>
      </c>
      <c r="UNE6" s="88">
        <f t="shared" si="227"/>
        <v>0</v>
      </c>
      <c r="UNF6" s="88">
        <f t="shared" si="227"/>
        <v>0</v>
      </c>
      <c r="UNG6" s="88">
        <f t="shared" si="227"/>
        <v>0</v>
      </c>
      <c r="UNH6" s="88">
        <f t="shared" si="227"/>
        <v>0</v>
      </c>
      <c r="UNI6" s="88">
        <f t="shared" si="227"/>
        <v>0</v>
      </c>
      <c r="UNJ6" s="88">
        <f t="shared" si="227"/>
        <v>0</v>
      </c>
      <c r="UNK6" s="88">
        <f t="shared" si="227"/>
        <v>0</v>
      </c>
      <c r="UNL6" s="88">
        <f t="shared" si="227"/>
        <v>0</v>
      </c>
      <c r="UNM6" s="88">
        <f t="shared" si="227"/>
        <v>0</v>
      </c>
      <c r="UNN6" s="88">
        <f t="shared" si="227"/>
        <v>0</v>
      </c>
      <c r="UNO6" s="88">
        <f t="shared" si="227"/>
        <v>0</v>
      </c>
      <c r="UNP6" s="88">
        <f t="shared" si="227"/>
        <v>0</v>
      </c>
      <c r="UNQ6" s="88">
        <f t="shared" si="227"/>
        <v>0</v>
      </c>
      <c r="UNR6" s="88">
        <f t="shared" si="227"/>
        <v>0</v>
      </c>
      <c r="UNS6" s="88">
        <f t="shared" si="227"/>
        <v>0</v>
      </c>
      <c r="UNT6" s="88">
        <f t="shared" si="227"/>
        <v>0</v>
      </c>
      <c r="UNU6" s="88">
        <f t="shared" si="227"/>
        <v>0</v>
      </c>
      <c r="UNV6" s="88">
        <f t="shared" si="227"/>
        <v>0</v>
      </c>
      <c r="UNW6" s="88">
        <f t="shared" si="227"/>
        <v>0</v>
      </c>
      <c r="UNX6" s="88">
        <f t="shared" si="227"/>
        <v>0</v>
      </c>
      <c r="UNY6" s="88">
        <f t="shared" si="227"/>
        <v>0</v>
      </c>
      <c r="UNZ6" s="88">
        <f t="shared" si="227"/>
        <v>0</v>
      </c>
      <c r="UOA6" s="88">
        <f t="shared" si="227"/>
        <v>0</v>
      </c>
      <c r="UOB6" s="88">
        <f t="shared" si="227"/>
        <v>0</v>
      </c>
      <c r="UOC6" s="88">
        <f t="shared" si="227"/>
        <v>0</v>
      </c>
      <c r="UOD6" s="88">
        <f t="shared" si="227"/>
        <v>0</v>
      </c>
      <c r="UOE6" s="88">
        <f t="shared" si="227"/>
        <v>0</v>
      </c>
      <c r="UOF6" s="88">
        <f t="shared" si="227"/>
        <v>0</v>
      </c>
      <c r="UOG6" s="88">
        <f t="shared" si="227"/>
        <v>0</v>
      </c>
      <c r="UOH6" s="88">
        <f t="shared" si="227"/>
        <v>0</v>
      </c>
      <c r="UOI6" s="88">
        <f t="shared" si="227"/>
        <v>0</v>
      </c>
      <c r="UOJ6" s="88">
        <f t="shared" si="227"/>
        <v>0</v>
      </c>
      <c r="UOK6" s="88">
        <f t="shared" si="227"/>
        <v>0</v>
      </c>
      <c r="UOL6" s="88">
        <f t="shared" si="227"/>
        <v>0</v>
      </c>
      <c r="UOM6" s="88">
        <f t="shared" si="227"/>
        <v>0</v>
      </c>
      <c r="UON6" s="88">
        <f t="shared" si="227"/>
        <v>0</v>
      </c>
      <c r="UOO6" s="88">
        <f t="shared" si="227"/>
        <v>0</v>
      </c>
      <c r="UOP6" s="88">
        <f t="shared" si="227"/>
        <v>0</v>
      </c>
      <c r="UOQ6" s="88">
        <f t="shared" si="227"/>
        <v>0</v>
      </c>
      <c r="UOR6" s="88">
        <f t="shared" ref="UOR6:URC6" si="228">SUM(UOS3:UOS5)</f>
        <v>0</v>
      </c>
      <c r="UOS6" s="88">
        <f t="shared" si="228"/>
        <v>0</v>
      </c>
      <c r="UOT6" s="88">
        <f t="shared" si="228"/>
        <v>0</v>
      </c>
      <c r="UOU6" s="88">
        <f t="shared" si="228"/>
        <v>0</v>
      </c>
      <c r="UOV6" s="88">
        <f t="shared" si="228"/>
        <v>0</v>
      </c>
      <c r="UOW6" s="88">
        <f t="shared" si="228"/>
        <v>0</v>
      </c>
      <c r="UOX6" s="88">
        <f t="shared" si="228"/>
        <v>0</v>
      </c>
      <c r="UOY6" s="88">
        <f t="shared" si="228"/>
        <v>0</v>
      </c>
      <c r="UOZ6" s="88">
        <f t="shared" si="228"/>
        <v>0</v>
      </c>
      <c r="UPA6" s="88">
        <f t="shared" si="228"/>
        <v>0</v>
      </c>
      <c r="UPB6" s="88">
        <f t="shared" si="228"/>
        <v>0</v>
      </c>
      <c r="UPC6" s="88">
        <f t="shared" si="228"/>
        <v>0</v>
      </c>
      <c r="UPD6" s="88">
        <f t="shared" si="228"/>
        <v>0</v>
      </c>
      <c r="UPE6" s="88">
        <f t="shared" si="228"/>
        <v>0</v>
      </c>
      <c r="UPF6" s="88">
        <f t="shared" si="228"/>
        <v>0</v>
      </c>
      <c r="UPG6" s="88">
        <f t="shared" si="228"/>
        <v>0</v>
      </c>
      <c r="UPH6" s="88">
        <f t="shared" si="228"/>
        <v>0</v>
      </c>
      <c r="UPI6" s="88">
        <f t="shared" si="228"/>
        <v>0</v>
      </c>
      <c r="UPJ6" s="88">
        <f t="shared" si="228"/>
        <v>0</v>
      </c>
      <c r="UPK6" s="88">
        <f t="shared" si="228"/>
        <v>0</v>
      </c>
      <c r="UPL6" s="88">
        <f t="shared" si="228"/>
        <v>0</v>
      </c>
      <c r="UPM6" s="88">
        <f t="shared" si="228"/>
        <v>0</v>
      </c>
      <c r="UPN6" s="88">
        <f t="shared" si="228"/>
        <v>0</v>
      </c>
      <c r="UPO6" s="88">
        <f t="shared" si="228"/>
        <v>0</v>
      </c>
      <c r="UPP6" s="88">
        <f t="shared" si="228"/>
        <v>0</v>
      </c>
      <c r="UPQ6" s="88">
        <f t="shared" si="228"/>
        <v>0</v>
      </c>
      <c r="UPR6" s="88">
        <f t="shared" si="228"/>
        <v>0</v>
      </c>
      <c r="UPS6" s="88">
        <f t="shared" si="228"/>
        <v>0</v>
      </c>
      <c r="UPT6" s="88">
        <f t="shared" si="228"/>
        <v>0</v>
      </c>
      <c r="UPU6" s="88">
        <f t="shared" si="228"/>
        <v>0</v>
      </c>
      <c r="UPV6" s="88">
        <f t="shared" si="228"/>
        <v>0</v>
      </c>
      <c r="UPW6" s="88">
        <f t="shared" si="228"/>
        <v>0</v>
      </c>
      <c r="UPX6" s="88">
        <f t="shared" si="228"/>
        <v>0</v>
      </c>
      <c r="UPY6" s="88">
        <f t="shared" si="228"/>
        <v>0</v>
      </c>
      <c r="UPZ6" s="88">
        <f t="shared" si="228"/>
        <v>0</v>
      </c>
      <c r="UQA6" s="88">
        <f t="shared" si="228"/>
        <v>0</v>
      </c>
      <c r="UQB6" s="88">
        <f t="shared" si="228"/>
        <v>0</v>
      </c>
      <c r="UQC6" s="88">
        <f t="shared" si="228"/>
        <v>0</v>
      </c>
      <c r="UQD6" s="88">
        <f t="shared" si="228"/>
        <v>0</v>
      </c>
      <c r="UQE6" s="88">
        <f t="shared" si="228"/>
        <v>0</v>
      </c>
      <c r="UQF6" s="88">
        <f t="shared" si="228"/>
        <v>0</v>
      </c>
      <c r="UQG6" s="88">
        <f t="shared" si="228"/>
        <v>0</v>
      </c>
      <c r="UQH6" s="88">
        <f t="shared" si="228"/>
        <v>0</v>
      </c>
      <c r="UQI6" s="88">
        <f t="shared" si="228"/>
        <v>0</v>
      </c>
      <c r="UQJ6" s="88">
        <f t="shared" si="228"/>
        <v>0</v>
      </c>
      <c r="UQK6" s="88">
        <f t="shared" si="228"/>
        <v>0</v>
      </c>
      <c r="UQL6" s="88">
        <f t="shared" si="228"/>
        <v>0</v>
      </c>
      <c r="UQM6" s="88">
        <f t="shared" si="228"/>
        <v>0</v>
      </c>
      <c r="UQN6" s="88">
        <f t="shared" si="228"/>
        <v>0</v>
      </c>
      <c r="UQO6" s="88">
        <f t="shared" si="228"/>
        <v>0</v>
      </c>
      <c r="UQP6" s="88">
        <f t="shared" si="228"/>
        <v>0</v>
      </c>
      <c r="UQQ6" s="88">
        <f t="shared" si="228"/>
        <v>0</v>
      </c>
      <c r="UQR6" s="88">
        <f t="shared" si="228"/>
        <v>0</v>
      </c>
      <c r="UQS6" s="88">
        <f t="shared" si="228"/>
        <v>0</v>
      </c>
      <c r="UQT6" s="88">
        <f t="shared" si="228"/>
        <v>0</v>
      </c>
      <c r="UQU6" s="88">
        <f t="shared" si="228"/>
        <v>0</v>
      </c>
      <c r="UQV6" s="88">
        <f t="shared" si="228"/>
        <v>0</v>
      </c>
      <c r="UQW6" s="88">
        <f t="shared" si="228"/>
        <v>0</v>
      </c>
      <c r="UQX6" s="88">
        <f t="shared" si="228"/>
        <v>0</v>
      </c>
      <c r="UQY6" s="88">
        <f t="shared" si="228"/>
        <v>0</v>
      </c>
      <c r="UQZ6" s="88">
        <f t="shared" si="228"/>
        <v>0</v>
      </c>
      <c r="URA6" s="88">
        <f t="shared" si="228"/>
        <v>0</v>
      </c>
      <c r="URB6" s="88">
        <f t="shared" si="228"/>
        <v>0</v>
      </c>
      <c r="URC6" s="88">
        <f t="shared" si="228"/>
        <v>0</v>
      </c>
      <c r="URD6" s="88">
        <f t="shared" ref="URD6:UTO6" si="229">SUM(URE3:URE5)</f>
        <v>0</v>
      </c>
      <c r="URE6" s="88">
        <f t="shared" si="229"/>
        <v>0</v>
      </c>
      <c r="URF6" s="88">
        <f t="shared" si="229"/>
        <v>0</v>
      </c>
      <c r="URG6" s="88">
        <f t="shared" si="229"/>
        <v>0</v>
      </c>
      <c r="URH6" s="88">
        <f t="shared" si="229"/>
        <v>0</v>
      </c>
      <c r="URI6" s="88">
        <f t="shared" si="229"/>
        <v>0</v>
      </c>
      <c r="URJ6" s="88">
        <f t="shared" si="229"/>
        <v>0</v>
      </c>
      <c r="URK6" s="88">
        <f t="shared" si="229"/>
        <v>0</v>
      </c>
      <c r="URL6" s="88">
        <f t="shared" si="229"/>
        <v>0</v>
      </c>
      <c r="URM6" s="88">
        <f t="shared" si="229"/>
        <v>0</v>
      </c>
      <c r="URN6" s="88">
        <f t="shared" si="229"/>
        <v>0</v>
      </c>
      <c r="URO6" s="88">
        <f t="shared" si="229"/>
        <v>0</v>
      </c>
      <c r="URP6" s="88">
        <f t="shared" si="229"/>
        <v>0</v>
      </c>
      <c r="URQ6" s="88">
        <f t="shared" si="229"/>
        <v>0</v>
      </c>
      <c r="URR6" s="88">
        <f t="shared" si="229"/>
        <v>0</v>
      </c>
      <c r="URS6" s="88">
        <f t="shared" si="229"/>
        <v>0</v>
      </c>
      <c r="URT6" s="88">
        <f t="shared" si="229"/>
        <v>0</v>
      </c>
      <c r="URU6" s="88">
        <f t="shared" si="229"/>
        <v>0</v>
      </c>
      <c r="URV6" s="88">
        <f t="shared" si="229"/>
        <v>0</v>
      </c>
      <c r="URW6" s="88">
        <f t="shared" si="229"/>
        <v>0</v>
      </c>
      <c r="URX6" s="88">
        <f t="shared" si="229"/>
        <v>0</v>
      </c>
      <c r="URY6" s="88">
        <f t="shared" si="229"/>
        <v>0</v>
      </c>
      <c r="URZ6" s="88">
        <f t="shared" si="229"/>
        <v>0</v>
      </c>
      <c r="USA6" s="88">
        <f t="shared" si="229"/>
        <v>0</v>
      </c>
      <c r="USB6" s="88">
        <f t="shared" si="229"/>
        <v>0</v>
      </c>
      <c r="USC6" s="88">
        <f t="shared" si="229"/>
        <v>0</v>
      </c>
      <c r="USD6" s="88">
        <f t="shared" si="229"/>
        <v>0</v>
      </c>
      <c r="USE6" s="88">
        <f t="shared" si="229"/>
        <v>0</v>
      </c>
      <c r="USF6" s="88">
        <f t="shared" si="229"/>
        <v>0</v>
      </c>
      <c r="USG6" s="88">
        <f t="shared" si="229"/>
        <v>0</v>
      </c>
      <c r="USH6" s="88">
        <f t="shared" si="229"/>
        <v>0</v>
      </c>
      <c r="USI6" s="88">
        <f t="shared" si="229"/>
        <v>0</v>
      </c>
      <c r="USJ6" s="88">
        <f t="shared" si="229"/>
        <v>0</v>
      </c>
      <c r="USK6" s="88">
        <f t="shared" si="229"/>
        <v>0</v>
      </c>
      <c r="USL6" s="88">
        <f t="shared" si="229"/>
        <v>0</v>
      </c>
      <c r="USM6" s="88">
        <f t="shared" si="229"/>
        <v>0</v>
      </c>
      <c r="USN6" s="88">
        <f t="shared" si="229"/>
        <v>0</v>
      </c>
      <c r="USO6" s="88">
        <f t="shared" si="229"/>
        <v>0</v>
      </c>
      <c r="USP6" s="88">
        <f t="shared" si="229"/>
        <v>0</v>
      </c>
      <c r="USQ6" s="88">
        <f t="shared" si="229"/>
        <v>0</v>
      </c>
      <c r="USR6" s="88">
        <f t="shared" si="229"/>
        <v>0</v>
      </c>
      <c r="USS6" s="88">
        <f t="shared" si="229"/>
        <v>0</v>
      </c>
      <c r="UST6" s="88">
        <f t="shared" si="229"/>
        <v>0</v>
      </c>
      <c r="USU6" s="88">
        <f t="shared" si="229"/>
        <v>0</v>
      </c>
      <c r="USV6" s="88">
        <f t="shared" si="229"/>
        <v>0</v>
      </c>
      <c r="USW6" s="88">
        <f t="shared" si="229"/>
        <v>0</v>
      </c>
      <c r="USX6" s="88">
        <f t="shared" si="229"/>
        <v>0</v>
      </c>
      <c r="USY6" s="88">
        <f t="shared" si="229"/>
        <v>0</v>
      </c>
      <c r="USZ6" s="88">
        <f t="shared" si="229"/>
        <v>0</v>
      </c>
      <c r="UTA6" s="88">
        <f t="shared" si="229"/>
        <v>0</v>
      </c>
      <c r="UTB6" s="88">
        <f t="shared" si="229"/>
        <v>0</v>
      </c>
      <c r="UTC6" s="88">
        <f t="shared" si="229"/>
        <v>0</v>
      </c>
      <c r="UTD6" s="88">
        <f t="shared" si="229"/>
        <v>0</v>
      </c>
      <c r="UTE6" s="88">
        <f t="shared" si="229"/>
        <v>0</v>
      </c>
      <c r="UTF6" s="88">
        <f t="shared" si="229"/>
        <v>0</v>
      </c>
      <c r="UTG6" s="88">
        <f t="shared" si="229"/>
        <v>0</v>
      </c>
      <c r="UTH6" s="88">
        <f t="shared" si="229"/>
        <v>0</v>
      </c>
      <c r="UTI6" s="88">
        <f t="shared" si="229"/>
        <v>0</v>
      </c>
      <c r="UTJ6" s="88">
        <f t="shared" si="229"/>
        <v>0</v>
      </c>
      <c r="UTK6" s="88">
        <f t="shared" si="229"/>
        <v>0</v>
      </c>
      <c r="UTL6" s="88">
        <f t="shared" si="229"/>
        <v>0</v>
      </c>
      <c r="UTM6" s="88">
        <f t="shared" si="229"/>
        <v>0</v>
      </c>
      <c r="UTN6" s="88">
        <f t="shared" si="229"/>
        <v>0</v>
      </c>
      <c r="UTO6" s="88">
        <f t="shared" si="229"/>
        <v>0</v>
      </c>
      <c r="UTP6" s="88">
        <f t="shared" ref="UTP6:UWA6" si="230">SUM(UTQ3:UTQ5)</f>
        <v>0</v>
      </c>
      <c r="UTQ6" s="88">
        <f t="shared" si="230"/>
        <v>0</v>
      </c>
      <c r="UTR6" s="88">
        <f t="shared" si="230"/>
        <v>0</v>
      </c>
      <c r="UTS6" s="88">
        <f t="shared" si="230"/>
        <v>0</v>
      </c>
      <c r="UTT6" s="88">
        <f t="shared" si="230"/>
        <v>0</v>
      </c>
      <c r="UTU6" s="88">
        <f t="shared" si="230"/>
        <v>0</v>
      </c>
      <c r="UTV6" s="88">
        <f t="shared" si="230"/>
        <v>0</v>
      </c>
      <c r="UTW6" s="88">
        <f t="shared" si="230"/>
        <v>0</v>
      </c>
      <c r="UTX6" s="88">
        <f t="shared" si="230"/>
        <v>0</v>
      </c>
      <c r="UTY6" s="88">
        <f t="shared" si="230"/>
        <v>0</v>
      </c>
      <c r="UTZ6" s="88">
        <f t="shared" si="230"/>
        <v>0</v>
      </c>
      <c r="UUA6" s="88">
        <f t="shared" si="230"/>
        <v>0</v>
      </c>
      <c r="UUB6" s="88">
        <f t="shared" si="230"/>
        <v>0</v>
      </c>
      <c r="UUC6" s="88">
        <f t="shared" si="230"/>
        <v>0</v>
      </c>
      <c r="UUD6" s="88">
        <f t="shared" si="230"/>
        <v>0</v>
      </c>
      <c r="UUE6" s="88">
        <f t="shared" si="230"/>
        <v>0</v>
      </c>
      <c r="UUF6" s="88">
        <f t="shared" si="230"/>
        <v>0</v>
      </c>
      <c r="UUG6" s="88">
        <f t="shared" si="230"/>
        <v>0</v>
      </c>
      <c r="UUH6" s="88">
        <f t="shared" si="230"/>
        <v>0</v>
      </c>
      <c r="UUI6" s="88">
        <f t="shared" si="230"/>
        <v>0</v>
      </c>
      <c r="UUJ6" s="88">
        <f t="shared" si="230"/>
        <v>0</v>
      </c>
      <c r="UUK6" s="88">
        <f t="shared" si="230"/>
        <v>0</v>
      </c>
      <c r="UUL6" s="88">
        <f t="shared" si="230"/>
        <v>0</v>
      </c>
      <c r="UUM6" s="88">
        <f t="shared" si="230"/>
        <v>0</v>
      </c>
      <c r="UUN6" s="88">
        <f t="shared" si="230"/>
        <v>0</v>
      </c>
      <c r="UUO6" s="88">
        <f t="shared" si="230"/>
        <v>0</v>
      </c>
      <c r="UUP6" s="88">
        <f t="shared" si="230"/>
        <v>0</v>
      </c>
      <c r="UUQ6" s="88">
        <f t="shared" si="230"/>
        <v>0</v>
      </c>
      <c r="UUR6" s="88">
        <f t="shared" si="230"/>
        <v>0</v>
      </c>
      <c r="UUS6" s="88">
        <f t="shared" si="230"/>
        <v>0</v>
      </c>
      <c r="UUT6" s="88">
        <f t="shared" si="230"/>
        <v>0</v>
      </c>
      <c r="UUU6" s="88">
        <f t="shared" si="230"/>
        <v>0</v>
      </c>
      <c r="UUV6" s="88">
        <f t="shared" si="230"/>
        <v>0</v>
      </c>
      <c r="UUW6" s="88">
        <f t="shared" si="230"/>
        <v>0</v>
      </c>
      <c r="UUX6" s="88">
        <f t="shared" si="230"/>
        <v>0</v>
      </c>
      <c r="UUY6" s="88">
        <f t="shared" si="230"/>
        <v>0</v>
      </c>
      <c r="UUZ6" s="88">
        <f t="shared" si="230"/>
        <v>0</v>
      </c>
      <c r="UVA6" s="88">
        <f t="shared" si="230"/>
        <v>0</v>
      </c>
      <c r="UVB6" s="88">
        <f t="shared" si="230"/>
        <v>0</v>
      </c>
      <c r="UVC6" s="88">
        <f t="shared" si="230"/>
        <v>0</v>
      </c>
      <c r="UVD6" s="88">
        <f t="shared" si="230"/>
        <v>0</v>
      </c>
      <c r="UVE6" s="88">
        <f t="shared" si="230"/>
        <v>0</v>
      </c>
      <c r="UVF6" s="88">
        <f t="shared" si="230"/>
        <v>0</v>
      </c>
      <c r="UVG6" s="88">
        <f t="shared" si="230"/>
        <v>0</v>
      </c>
      <c r="UVH6" s="88">
        <f t="shared" si="230"/>
        <v>0</v>
      </c>
      <c r="UVI6" s="88">
        <f t="shared" si="230"/>
        <v>0</v>
      </c>
      <c r="UVJ6" s="88">
        <f t="shared" si="230"/>
        <v>0</v>
      </c>
      <c r="UVK6" s="88">
        <f t="shared" si="230"/>
        <v>0</v>
      </c>
      <c r="UVL6" s="88">
        <f t="shared" si="230"/>
        <v>0</v>
      </c>
      <c r="UVM6" s="88">
        <f t="shared" si="230"/>
        <v>0</v>
      </c>
      <c r="UVN6" s="88">
        <f t="shared" si="230"/>
        <v>0</v>
      </c>
      <c r="UVO6" s="88">
        <f t="shared" si="230"/>
        <v>0</v>
      </c>
      <c r="UVP6" s="88">
        <f t="shared" si="230"/>
        <v>0</v>
      </c>
      <c r="UVQ6" s="88">
        <f t="shared" si="230"/>
        <v>0</v>
      </c>
      <c r="UVR6" s="88">
        <f t="shared" si="230"/>
        <v>0</v>
      </c>
      <c r="UVS6" s="88">
        <f t="shared" si="230"/>
        <v>0</v>
      </c>
      <c r="UVT6" s="88">
        <f t="shared" si="230"/>
        <v>0</v>
      </c>
      <c r="UVU6" s="88">
        <f t="shared" si="230"/>
        <v>0</v>
      </c>
      <c r="UVV6" s="88">
        <f t="shared" si="230"/>
        <v>0</v>
      </c>
      <c r="UVW6" s="88">
        <f t="shared" si="230"/>
        <v>0</v>
      </c>
      <c r="UVX6" s="88">
        <f t="shared" si="230"/>
        <v>0</v>
      </c>
      <c r="UVY6" s="88">
        <f t="shared" si="230"/>
        <v>0</v>
      </c>
      <c r="UVZ6" s="88">
        <f t="shared" si="230"/>
        <v>0</v>
      </c>
      <c r="UWA6" s="88">
        <f t="shared" si="230"/>
        <v>0</v>
      </c>
      <c r="UWB6" s="88">
        <f t="shared" ref="UWB6:UYM6" si="231">SUM(UWC3:UWC5)</f>
        <v>0</v>
      </c>
      <c r="UWC6" s="88">
        <f t="shared" si="231"/>
        <v>0</v>
      </c>
      <c r="UWD6" s="88">
        <f t="shared" si="231"/>
        <v>0</v>
      </c>
      <c r="UWE6" s="88">
        <f t="shared" si="231"/>
        <v>0</v>
      </c>
      <c r="UWF6" s="88">
        <f t="shared" si="231"/>
        <v>0</v>
      </c>
      <c r="UWG6" s="88">
        <f t="shared" si="231"/>
        <v>0</v>
      </c>
      <c r="UWH6" s="88">
        <f t="shared" si="231"/>
        <v>0</v>
      </c>
      <c r="UWI6" s="88">
        <f t="shared" si="231"/>
        <v>0</v>
      </c>
      <c r="UWJ6" s="88">
        <f t="shared" si="231"/>
        <v>0</v>
      </c>
      <c r="UWK6" s="88">
        <f t="shared" si="231"/>
        <v>0</v>
      </c>
      <c r="UWL6" s="88">
        <f t="shared" si="231"/>
        <v>0</v>
      </c>
      <c r="UWM6" s="88">
        <f t="shared" si="231"/>
        <v>0</v>
      </c>
      <c r="UWN6" s="88">
        <f t="shared" si="231"/>
        <v>0</v>
      </c>
      <c r="UWO6" s="88">
        <f t="shared" si="231"/>
        <v>0</v>
      </c>
      <c r="UWP6" s="88">
        <f t="shared" si="231"/>
        <v>0</v>
      </c>
      <c r="UWQ6" s="88">
        <f t="shared" si="231"/>
        <v>0</v>
      </c>
      <c r="UWR6" s="88">
        <f t="shared" si="231"/>
        <v>0</v>
      </c>
      <c r="UWS6" s="88">
        <f t="shared" si="231"/>
        <v>0</v>
      </c>
      <c r="UWT6" s="88">
        <f t="shared" si="231"/>
        <v>0</v>
      </c>
      <c r="UWU6" s="88">
        <f t="shared" si="231"/>
        <v>0</v>
      </c>
      <c r="UWV6" s="88">
        <f t="shared" si="231"/>
        <v>0</v>
      </c>
      <c r="UWW6" s="88">
        <f t="shared" si="231"/>
        <v>0</v>
      </c>
      <c r="UWX6" s="88">
        <f t="shared" si="231"/>
        <v>0</v>
      </c>
      <c r="UWY6" s="88">
        <f t="shared" si="231"/>
        <v>0</v>
      </c>
      <c r="UWZ6" s="88">
        <f t="shared" si="231"/>
        <v>0</v>
      </c>
      <c r="UXA6" s="88">
        <f t="shared" si="231"/>
        <v>0</v>
      </c>
      <c r="UXB6" s="88">
        <f t="shared" si="231"/>
        <v>0</v>
      </c>
      <c r="UXC6" s="88">
        <f t="shared" si="231"/>
        <v>0</v>
      </c>
      <c r="UXD6" s="88">
        <f t="shared" si="231"/>
        <v>0</v>
      </c>
      <c r="UXE6" s="88">
        <f t="shared" si="231"/>
        <v>0</v>
      </c>
      <c r="UXF6" s="88">
        <f t="shared" si="231"/>
        <v>0</v>
      </c>
      <c r="UXG6" s="88">
        <f t="shared" si="231"/>
        <v>0</v>
      </c>
      <c r="UXH6" s="88">
        <f t="shared" si="231"/>
        <v>0</v>
      </c>
      <c r="UXI6" s="88">
        <f t="shared" si="231"/>
        <v>0</v>
      </c>
      <c r="UXJ6" s="88">
        <f t="shared" si="231"/>
        <v>0</v>
      </c>
      <c r="UXK6" s="88">
        <f t="shared" si="231"/>
        <v>0</v>
      </c>
      <c r="UXL6" s="88">
        <f t="shared" si="231"/>
        <v>0</v>
      </c>
      <c r="UXM6" s="88">
        <f t="shared" si="231"/>
        <v>0</v>
      </c>
      <c r="UXN6" s="88">
        <f t="shared" si="231"/>
        <v>0</v>
      </c>
      <c r="UXO6" s="88">
        <f t="shared" si="231"/>
        <v>0</v>
      </c>
      <c r="UXP6" s="88">
        <f t="shared" si="231"/>
        <v>0</v>
      </c>
      <c r="UXQ6" s="88">
        <f t="shared" si="231"/>
        <v>0</v>
      </c>
      <c r="UXR6" s="88">
        <f t="shared" si="231"/>
        <v>0</v>
      </c>
      <c r="UXS6" s="88">
        <f t="shared" si="231"/>
        <v>0</v>
      </c>
      <c r="UXT6" s="88">
        <f t="shared" si="231"/>
        <v>0</v>
      </c>
      <c r="UXU6" s="88">
        <f t="shared" si="231"/>
        <v>0</v>
      </c>
      <c r="UXV6" s="88">
        <f t="shared" si="231"/>
        <v>0</v>
      </c>
      <c r="UXW6" s="88">
        <f t="shared" si="231"/>
        <v>0</v>
      </c>
      <c r="UXX6" s="88">
        <f t="shared" si="231"/>
        <v>0</v>
      </c>
      <c r="UXY6" s="88">
        <f t="shared" si="231"/>
        <v>0</v>
      </c>
      <c r="UXZ6" s="88">
        <f t="shared" si="231"/>
        <v>0</v>
      </c>
      <c r="UYA6" s="88">
        <f t="shared" si="231"/>
        <v>0</v>
      </c>
      <c r="UYB6" s="88">
        <f t="shared" si="231"/>
        <v>0</v>
      </c>
      <c r="UYC6" s="88">
        <f t="shared" si="231"/>
        <v>0</v>
      </c>
      <c r="UYD6" s="88">
        <f t="shared" si="231"/>
        <v>0</v>
      </c>
      <c r="UYE6" s="88">
        <f t="shared" si="231"/>
        <v>0</v>
      </c>
      <c r="UYF6" s="88">
        <f t="shared" si="231"/>
        <v>0</v>
      </c>
      <c r="UYG6" s="88">
        <f t="shared" si="231"/>
        <v>0</v>
      </c>
      <c r="UYH6" s="88">
        <f t="shared" si="231"/>
        <v>0</v>
      </c>
      <c r="UYI6" s="88">
        <f t="shared" si="231"/>
        <v>0</v>
      </c>
      <c r="UYJ6" s="88">
        <f t="shared" si="231"/>
        <v>0</v>
      </c>
      <c r="UYK6" s="88">
        <f t="shared" si="231"/>
        <v>0</v>
      </c>
      <c r="UYL6" s="88">
        <f t="shared" si="231"/>
        <v>0</v>
      </c>
      <c r="UYM6" s="88">
        <f t="shared" si="231"/>
        <v>0</v>
      </c>
      <c r="UYN6" s="88">
        <f t="shared" ref="UYN6:VAY6" si="232">SUM(UYO3:UYO5)</f>
        <v>0</v>
      </c>
      <c r="UYO6" s="88">
        <f t="shared" si="232"/>
        <v>0</v>
      </c>
      <c r="UYP6" s="88">
        <f t="shared" si="232"/>
        <v>0</v>
      </c>
      <c r="UYQ6" s="88">
        <f t="shared" si="232"/>
        <v>0</v>
      </c>
      <c r="UYR6" s="88">
        <f t="shared" si="232"/>
        <v>0</v>
      </c>
      <c r="UYS6" s="88">
        <f t="shared" si="232"/>
        <v>0</v>
      </c>
      <c r="UYT6" s="88">
        <f t="shared" si="232"/>
        <v>0</v>
      </c>
      <c r="UYU6" s="88">
        <f t="shared" si="232"/>
        <v>0</v>
      </c>
      <c r="UYV6" s="88">
        <f t="shared" si="232"/>
        <v>0</v>
      </c>
      <c r="UYW6" s="88">
        <f t="shared" si="232"/>
        <v>0</v>
      </c>
      <c r="UYX6" s="88">
        <f t="shared" si="232"/>
        <v>0</v>
      </c>
      <c r="UYY6" s="88">
        <f t="shared" si="232"/>
        <v>0</v>
      </c>
      <c r="UYZ6" s="88">
        <f t="shared" si="232"/>
        <v>0</v>
      </c>
      <c r="UZA6" s="88">
        <f t="shared" si="232"/>
        <v>0</v>
      </c>
      <c r="UZB6" s="88">
        <f t="shared" si="232"/>
        <v>0</v>
      </c>
      <c r="UZC6" s="88">
        <f t="shared" si="232"/>
        <v>0</v>
      </c>
      <c r="UZD6" s="88">
        <f t="shared" si="232"/>
        <v>0</v>
      </c>
      <c r="UZE6" s="88">
        <f t="shared" si="232"/>
        <v>0</v>
      </c>
      <c r="UZF6" s="88">
        <f t="shared" si="232"/>
        <v>0</v>
      </c>
      <c r="UZG6" s="88">
        <f t="shared" si="232"/>
        <v>0</v>
      </c>
      <c r="UZH6" s="88">
        <f t="shared" si="232"/>
        <v>0</v>
      </c>
      <c r="UZI6" s="88">
        <f t="shared" si="232"/>
        <v>0</v>
      </c>
      <c r="UZJ6" s="88">
        <f t="shared" si="232"/>
        <v>0</v>
      </c>
      <c r="UZK6" s="88">
        <f t="shared" si="232"/>
        <v>0</v>
      </c>
      <c r="UZL6" s="88">
        <f t="shared" si="232"/>
        <v>0</v>
      </c>
      <c r="UZM6" s="88">
        <f t="shared" si="232"/>
        <v>0</v>
      </c>
      <c r="UZN6" s="88">
        <f t="shared" si="232"/>
        <v>0</v>
      </c>
      <c r="UZO6" s="88">
        <f t="shared" si="232"/>
        <v>0</v>
      </c>
      <c r="UZP6" s="88">
        <f t="shared" si="232"/>
        <v>0</v>
      </c>
      <c r="UZQ6" s="88">
        <f t="shared" si="232"/>
        <v>0</v>
      </c>
      <c r="UZR6" s="88">
        <f t="shared" si="232"/>
        <v>0</v>
      </c>
      <c r="UZS6" s="88">
        <f t="shared" si="232"/>
        <v>0</v>
      </c>
      <c r="UZT6" s="88">
        <f t="shared" si="232"/>
        <v>0</v>
      </c>
      <c r="UZU6" s="88">
        <f t="shared" si="232"/>
        <v>0</v>
      </c>
      <c r="UZV6" s="88">
        <f t="shared" si="232"/>
        <v>0</v>
      </c>
      <c r="UZW6" s="88">
        <f t="shared" si="232"/>
        <v>0</v>
      </c>
      <c r="UZX6" s="88">
        <f t="shared" si="232"/>
        <v>0</v>
      </c>
      <c r="UZY6" s="88">
        <f t="shared" si="232"/>
        <v>0</v>
      </c>
      <c r="UZZ6" s="88">
        <f t="shared" si="232"/>
        <v>0</v>
      </c>
      <c r="VAA6" s="88">
        <f t="shared" si="232"/>
        <v>0</v>
      </c>
      <c r="VAB6" s="88">
        <f t="shared" si="232"/>
        <v>0</v>
      </c>
      <c r="VAC6" s="88">
        <f t="shared" si="232"/>
        <v>0</v>
      </c>
      <c r="VAD6" s="88">
        <f t="shared" si="232"/>
        <v>0</v>
      </c>
      <c r="VAE6" s="88">
        <f t="shared" si="232"/>
        <v>0</v>
      </c>
      <c r="VAF6" s="88">
        <f t="shared" si="232"/>
        <v>0</v>
      </c>
      <c r="VAG6" s="88">
        <f t="shared" si="232"/>
        <v>0</v>
      </c>
      <c r="VAH6" s="88">
        <f t="shared" si="232"/>
        <v>0</v>
      </c>
      <c r="VAI6" s="88">
        <f t="shared" si="232"/>
        <v>0</v>
      </c>
      <c r="VAJ6" s="88">
        <f t="shared" si="232"/>
        <v>0</v>
      </c>
      <c r="VAK6" s="88">
        <f t="shared" si="232"/>
        <v>0</v>
      </c>
      <c r="VAL6" s="88">
        <f t="shared" si="232"/>
        <v>0</v>
      </c>
      <c r="VAM6" s="88">
        <f t="shared" si="232"/>
        <v>0</v>
      </c>
      <c r="VAN6" s="88">
        <f t="shared" si="232"/>
        <v>0</v>
      </c>
      <c r="VAO6" s="88">
        <f t="shared" si="232"/>
        <v>0</v>
      </c>
      <c r="VAP6" s="88">
        <f t="shared" si="232"/>
        <v>0</v>
      </c>
      <c r="VAQ6" s="88">
        <f t="shared" si="232"/>
        <v>0</v>
      </c>
      <c r="VAR6" s="88">
        <f t="shared" si="232"/>
        <v>0</v>
      </c>
      <c r="VAS6" s="88">
        <f t="shared" si="232"/>
        <v>0</v>
      </c>
      <c r="VAT6" s="88">
        <f t="shared" si="232"/>
        <v>0</v>
      </c>
      <c r="VAU6" s="88">
        <f t="shared" si="232"/>
        <v>0</v>
      </c>
      <c r="VAV6" s="88">
        <f t="shared" si="232"/>
        <v>0</v>
      </c>
      <c r="VAW6" s="88">
        <f t="shared" si="232"/>
        <v>0</v>
      </c>
      <c r="VAX6" s="88">
        <f t="shared" si="232"/>
        <v>0</v>
      </c>
      <c r="VAY6" s="88">
        <f t="shared" si="232"/>
        <v>0</v>
      </c>
      <c r="VAZ6" s="88">
        <f t="shared" ref="VAZ6:VDK6" si="233">SUM(VBA3:VBA5)</f>
        <v>0</v>
      </c>
      <c r="VBA6" s="88">
        <f t="shared" si="233"/>
        <v>0</v>
      </c>
      <c r="VBB6" s="88">
        <f t="shared" si="233"/>
        <v>0</v>
      </c>
      <c r="VBC6" s="88">
        <f t="shared" si="233"/>
        <v>0</v>
      </c>
      <c r="VBD6" s="88">
        <f t="shared" si="233"/>
        <v>0</v>
      </c>
      <c r="VBE6" s="88">
        <f t="shared" si="233"/>
        <v>0</v>
      </c>
      <c r="VBF6" s="88">
        <f t="shared" si="233"/>
        <v>0</v>
      </c>
      <c r="VBG6" s="88">
        <f t="shared" si="233"/>
        <v>0</v>
      </c>
      <c r="VBH6" s="88">
        <f t="shared" si="233"/>
        <v>0</v>
      </c>
      <c r="VBI6" s="88">
        <f t="shared" si="233"/>
        <v>0</v>
      </c>
      <c r="VBJ6" s="88">
        <f t="shared" si="233"/>
        <v>0</v>
      </c>
      <c r="VBK6" s="88">
        <f t="shared" si="233"/>
        <v>0</v>
      </c>
      <c r="VBL6" s="88">
        <f t="shared" si="233"/>
        <v>0</v>
      </c>
      <c r="VBM6" s="88">
        <f t="shared" si="233"/>
        <v>0</v>
      </c>
      <c r="VBN6" s="88">
        <f t="shared" si="233"/>
        <v>0</v>
      </c>
      <c r="VBO6" s="88">
        <f t="shared" si="233"/>
        <v>0</v>
      </c>
      <c r="VBP6" s="88">
        <f t="shared" si="233"/>
        <v>0</v>
      </c>
      <c r="VBQ6" s="88">
        <f t="shared" si="233"/>
        <v>0</v>
      </c>
      <c r="VBR6" s="88">
        <f t="shared" si="233"/>
        <v>0</v>
      </c>
      <c r="VBS6" s="88">
        <f t="shared" si="233"/>
        <v>0</v>
      </c>
      <c r="VBT6" s="88">
        <f t="shared" si="233"/>
        <v>0</v>
      </c>
      <c r="VBU6" s="88">
        <f t="shared" si="233"/>
        <v>0</v>
      </c>
      <c r="VBV6" s="88">
        <f t="shared" si="233"/>
        <v>0</v>
      </c>
      <c r="VBW6" s="88">
        <f t="shared" si="233"/>
        <v>0</v>
      </c>
      <c r="VBX6" s="88">
        <f t="shared" si="233"/>
        <v>0</v>
      </c>
      <c r="VBY6" s="88">
        <f t="shared" si="233"/>
        <v>0</v>
      </c>
      <c r="VBZ6" s="88">
        <f t="shared" si="233"/>
        <v>0</v>
      </c>
      <c r="VCA6" s="88">
        <f t="shared" si="233"/>
        <v>0</v>
      </c>
      <c r="VCB6" s="88">
        <f t="shared" si="233"/>
        <v>0</v>
      </c>
      <c r="VCC6" s="88">
        <f t="shared" si="233"/>
        <v>0</v>
      </c>
      <c r="VCD6" s="88">
        <f t="shared" si="233"/>
        <v>0</v>
      </c>
      <c r="VCE6" s="88">
        <f t="shared" si="233"/>
        <v>0</v>
      </c>
      <c r="VCF6" s="88">
        <f t="shared" si="233"/>
        <v>0</v>
      </c>
      <c r="VCG6" s="88">
        <f t="shared" si="233"/>
        <v>0</v>
      </c>
      <c r="VCH6" s="88">
        <f t="shared" si="233"/>
        <v>0</v>
      </c>
      <c r="VCI6" s="88">
        <f t="shared" si="233"/>
        <v>0</v>
      </c>
      <c r="VCJ6" s="88">
        <f t="shared" si="233"/>
        <v>0</v>
      </c>
      <c r="VCK6" s="88">
        <f t="shared" si="233"/>
        <v>0</v>
      </c>
      <c r="VCL6" s="88">
        <f t="shared" si="233"/>
        <v>0</v>
      </c>
      <c r="VCM6" s="88">
        <f t="shared" si="233"/>
        <v>0</v>
      </c>
      <c r="VCN6" s="88">
        <f t="shared" si="233"/>
        <v>0</v>
      </c>
      <c r="VCO6" s="88">
        <f t="shared" si="233"/>
        <v>0</v>
      </c>
      <c r="VCP6" s="88">
        <f t="shared" si="233"/>
        <v>0</v>
      </c>
      <c r="VCQ6" s="88">
        <f t="shared" si="233"/>
        <v>0</v>
      </c>
      <c r="VCR6" s="88">
        <f t="shared" si="233"/>
        <v>0</v>
      </c>
      <c r="VCS6" s="88">
        <f t="shared" si="233"/>
        <v>0</v>
      </c>
      <c r="VCT6" s="88">
        <f t="shared" si="233"/>
        <v>0</v>
      </c>
      <c r="VCU6" s="88">
        <f t="shared" si="233"/>
        <v>0</v>
      </c>
      <c r="VCV6" s="88">
        <f t="shared" si="233"/>
        <v>0</v>
      </c>
      <c r="VCW6" s="88">
        <f t="shared" si="233"/>
        <v>0</v>
      </c>
      <c r="VCX6" s="88">
        <f t="shared" si="233"/>
        <v>0</v>
      </c>
      <c r="VCY6" s="88">
        <f t="shared" si="233"/>
        <v>0</v>
      </c>
      <c r="VCZ6" s="88">
        <f t="shared" si="233"/>
        <v>0</v>
      </c>
      <c r="VDA6" s="88">
        <f t="shared" si="233"/>
        <v>0</v>
      </c>
      <c r="VDB6" s="88">
        <f t="shared" si="233"/>
        <v>0</v>
      </c>
      <c r="VDC6" s="88">
        <f t="shared" si="233"/>
        <v>0</v>
      </c>
      <c r="VDD6" s="88">
        <f t="shared" si="233"/>
        <v>0</v>
      </c>
      <c r="VDE6" s="88">
        <f t="shared" si="233"/>
        <v>0</v>
      </c>
      <c r="VDF6" s="88">
        <f t="shared" si="233"/>
        <v>0</v>
      </c>
      <c r="VDG6" s="88">
        <f t="shared" si="233"/>
        <v>0</v>
      </c>
      <c r="VDH6" s="88">
        <f t="shared" si="233"/>
        <v>0</v>
      </c>
      <c r="VDI6" s="88">
        <f t="shared" si="233"/>
        <v>0</v>
      </c>
      <c r="VDJ6" s="88">
        <f t="shared" si="233"/>
        <v>0</v>
      </c>
      <c r="VDK6" s="88">
        <f t="shared" si="233"/>
        <v>0</v>
      </c>
      <c r="VDL6" s="88">
        <f t="shared" ref="VDL6:VFW6" si="234">SUM(VDM3:VDM5)</f>
        <v>0</v>
      </c>
      <c r="VDM6" s="88">
        <f t="shared" si="234"/>
        <v>0</v>
      </c>
      <c r="VDN6" s="88">
        <f t="shared" si="234"/>
        <v>0</v>
      </c>
      <c r="VDO6" s="88">
        <f t="shared" si="234"/>
        <v>0</v>
      </c>
      <c r="VDP6" s="88">
        <f t="shared" si="234"/>
        <v>0</v>
      </c>
      <c r="VDQ6" s="88">
        <f t="shared" si="234"/>
        <v>0</v>
      </c>
      <c r="VDR6" s="88">
        <f t="shared" si="234"/>
        <v>0</v>
      </c>
      <c r="VDS6" s="88">
        <f t="shared" si="234"/>
        <v>0</v>
      </c>
      <c r="VDT6" s="88">
        <f t="shared" si="234"/>
        <v>0</v>
      </c>
      <c r="VDU6" s="88">
        <f t="shared" si="234"/>
        <v>0</v>
      </c>
      <c r="VDV6" s="88">
        <f t="shared" si="234"/>
        <v>0</v>
      </c>
      <c r="VDW6" s="88">
        <f t="shared" si="234"/>
        <v>0</v>
      </c>
      <c r="VDX6" s="88">
        <f t="shared" si="234"/>
        <v>0</v>
      </c>
      <c r="VDY6" s="88">
        <f t="shared" si="234"/>
        <v>0</v>
      </c>
      <c r="VDZ6" s="88">
        <f t="shared" si="234"/>
        <v>0</v>
      </c>
      <c r="VEA6" s="88">
        <f t="shared" si="234"/>
        <v>0</v>
      </c>
      <c r="VEB6" s="88">
        <f t="shared" si="234"/>
        <v>0</v>
      </c>
      <c r="VEC6" s="88">
        <f t="shared" si="234"/>
        <v>0</v>
      </c>
      <c r="VED6" s="88">
        <f t="shared" si="234"/>
        <v>0</v>
      </c>
      <c r="VEE6" s="88">
        <f t="shared" si="234"/>
        <v>0</v>
      </c>
      <c r="VEF6" s="88">
        <f t="shared" si="234"/>
        <v>0</v>
      </c>
      <c r="VEG6" s="88">
        <f t="shared" si="234"/>
        <v>0</v>
      </c>
      <c r="VEH6" s="88">
        <f t="shared" si="234"/>
        <v>0</v>
      </c>
      <c r="VEI6" s="88">
        <f t="shared" si="234"/>
        <v>0</v>
      </c>
      <c r="VEJ6" s="88">
        <f t="shared" si="234"/>
        <v>0</v>
      </c>
      <c r="VEK6" s="88">
        <f t="shared" si="234"/>
        <v>0</v>
      </c>
      <c r="VEL6" s="88">
        <f t="shared" si="234"/>
        <v>0</v>
      </c>
      <c r="VEM6" s="88">
        <f t="shared" si="234"/>
        <v>0</v>
      </c>
      <c r="VEN6" s="88">
        <f t="shared" si="234"/>
        <v>0</v>
      </c>
      <c r="VEO6" s="88">
        <f t="shared" si="234"/>
        <v>0</v>
      </c>
      <c r="VEP6" s="88">
        <f t="shared" si="234"/>
        <v>0</v>
      </c>
      <c r="VEQ6" s="88">
        <f t="shared" si="234"/>
        <v>0</v>
      </c>
      <c r="VER6" s="88">
        <f t="shared" si="234"/>
        <v>0</v>
      </c>
      <c r="VES6" s="88">
        <f t="shared" si="234"/>
        <v>0</v>
      </c>
      <c r="VET6" s="88">
        <f t="shared" si="234"/>
        <v>0</v>
      </c>
      <c r="VEU6" s="88">
        <f t="shared" si="234"/>
        <v>0</v>
      </c>
      <c r="VEV6" s="88">
        <f t="shared" si="234"/>
        <v>0</v>
      </c>
      <c r="VEW6" s="88">
        <f t="shared" si="234"/>
        <v>0</v>
      </c>
      <c r="VEX6" s="88">
        <f t="shared" si="234"/>
        <v>0</v>
      </c>
      <c r="VEY6" s="88">
        <f t="shared" si="234"/>
        <v>0</v>
      </c>
      <c r="VEZ6" s="88">
        <f t="shared" si="234"/>
        <v>0</v>
      </c>
      <c r="VFA6" s="88">
        <f t="shared" si="234"/>
        <v>0</v>
      </c>
      <c r="VFB6" s="88">
        <f t="shared" si="234"/>
        <v>0</v>
      </c>
      <c r="VFC6" s="88">
        <f t="shared" si="234"/>
        <v>0</v>
      </c>
      <c r="VFD6" s="88">
        <f t="shared" si="234"/>
        <v>0</v>
      </c>
      <c r="VFE6" s="88">
        <f t="shared" si="234"/>
        <v>0</v>
      </c>
      <c r="VFF6" s="88">
        <f t="shared" si="234"/>
        <v>0</v>
      </c>
      <c r="VFG6" s="88">
        <f t="shared" si="234"/>
        <v>0</v>
      </c>
      <c r="VFH6" s="88">
        <f t="shared" si="234"/>
        <v>0</v>
      </c>
      <c r="VFI6" s="88">
        <f t="shared" si="234"/>
        <v>0</v>
      </c>
      <c r="VFJ6" s="88">
        <f t="shared" si="234"/>
        <v>0</v>
      </c>
      <c r="VFK6" s="88">
        <f t="shared" si="234"/>
        <v>0</v>
      </c>
      <c r="VFL6" s="88">
        <f t="shared" si="234"/>
        <v>0</v>
      </c>
      <c r="VFM6" s="88">
        <f t="shared" si="234"/>
        <v>0</v>
      </c>
      <c r="VFN6" s="88">
        <f t="shared" si="234"/>
        <v>0</v>
      </c>
      <c r="VFO6" s="88">
        <f t="shared" si="234"/>
        <v>0</v>
      </c>
      <c r="VFP6" s="88">
        <f t="shared" si="234"/>
        <v>0</v>
      </c>
      <c r="VFQ6" s="88">
        <f t="shared" si="234"/>
        <v>0</v>
      </c>
      <c r="VFR6" s="88">
        <f t="shared" si="234"/>
        <v>0</v>
      </c>
      <c r="VFS6" s="88">
        <f t="shared" si="234"/>
        <v>0</v>
      </c>
      <c r="VFT6" s="88">
        <f t="shared" si="234"/>
        <v>0</v>
      </c>
      <c r="VFU6" s="88">
        <f t="shared" si="234"/>
        <v>0</v>
      </c>
      <c r="VFV6" s="88">
        <f t="shared" si="234"/>
        <v>0</v>
      </c>
      <c r="VFW6" s="88">
        <f t="shared" si="234"/>
        <v>0</v>
      </c>
      <c r="VFX6" s="88">
        <f t="shared" ref="VFX6:VII6" si="235">SUM(VFY3:VFY5)</f>
        <v>0</v>
      </c>
      <c r="VFY6" s="88">
        <f t="shared" si="235"/>
        <v>0</v>
      </c>
      <c r="VFZ6" s="88">
        <f t="shared" si="235"/>
        <v>0</v>
      </c>
      <c r="VGA6" s="88">
        <f t="shared" si="235"/>
        <v>0</v>
      </c>
      <c r="VGB6" s="88">
        <f t="shared" si="235"/>
        <v>0</v>
      </c>
      <c r="VGC6" s="88">
        <f t="shared" si="235"/>
        <v>0</v>
      </c>
      <c r="VGD6" s="88">
        <f t="shared" si="235"/>
        <v>0</v>
      </c>
      <c r="VGE6" s="88">
        <f t="shared" si="235"/>
        <v>0</v>
      </c>
      <c r="VGF6" s="88">
        <f t="shared" si="235"/>
        <v>0</v>
      </c>
      <c r="VGG6" s="88">
        <f t="shared" si="235"/>
        <v>0</v>
      </c>
      <c r="VGH6" s="88">
        <f t="shared" si="235"/>
        <v>0</v>
      </c>
      <c r="VGI6" s="88">
        <f t="shared" si="235"/>
        <v>0</v>
      </c>
      <c r="VGJ6" s="88">
        <f t="shared" si="235"/>
        <v>0</v>
      </c>
      <c r="VGK6" s="88">
        <f t="shared" si="235"/>
        <v>0</v>
      </c>
      <c r="VGL6" s="88">
        <f t="shared" si="235"/>
        <v>0</v>
      </c>
      <c r="VGM6" s="88">
        <f t="shared" si="235"/>
        <v>0</v>
      </c>
      <c r="VGN6" s="88">
        <f t="shared" si="235"/>
        <v>0</v>
      </c>
      <c r="VGO6" s="88">
        <f t="shared" si="235"/>
        <v>0</v>
      </c>
      <c r="VGP6" s="88">
        <f t="shared" si="235"/>
        <v>0</v>
      </c>
      <c r="VGQ6" s="88">
        <f t="shared" si="235"/>
        <v>0</v>
      </c>
      <c r="VGR6" s="88">
        <f t="shared" si="235"/>
        <v>0</v>
      </c>
      <c r="VGS6" s="88">
        <f t="shared" si="235"/>
        <v>0</v>
      </c>
      <c r="VGT6" s="88">
        <f t="shared" si="235"/>
        <v>0</v>
      </c>
      <c r="VGU6" s="88">
        <f t="shared" si="235"/>
        <v>0</v>
      </c>
      <c r="VGV6" s="88">
        <f t="shared" si="235"/>
        <v>0</v>
      </c>
      <c r="VGW6" s="88">
        <f t="shared" si="235"/>
        <v>0</v>
      </c>
      <c r="VGX6" s="88">
        <f t="shared" si="235"/>
        <v>0</v>
      </c>
      <c r="VGY6" s="88">
        <f t="shared" si="235"/>
        <v>0</v>
      </c>
      <c r="VGZ6" s="88">
        <f t="shared" si="235"/>
        <v>0</v>
      </c>
      <c r="VHA6" s="88">
        <f t="shared" si="235"/>
        <v>0</v>
      </c>
      <c r="VHB6" s="88">
        <f t="shared" si="235"/>
        <v>0</v>
      </c>
      <c r="VHC6" s="88">
        <f t="shared" si="235"/>
        <v>0</v>
      </c>
      <c r="VHD6" s="88">
        <f t="shared" si="235"/>
        <v>0</v>
      </c>
      <c r="VHE6" s="88">
        <f t="shared" si="235"/>
        <v>0</v>
      </c>
      <c r="VHF6" s="88">
        <f t="shared" si="235"/>
        <v>0</v>
      </c>
      <c r="VHG6" s="88">
        <f t="shared" si="235"/>
        <v>0</v>
      </c>
      <c r="VHH6" s="88">
        <f t="shared" si="235"/>
        <v>0</v>
      </c>
      <c r="VHI6" s="88">
        <f t="shared" si="235"/>
        <v>0</v>
      </c>
      <c r="VHJ6" s="88">
        <f t="shared" si="235"/>
        <v>0</v>
      </c>
      <c r="VHK6" s="88">
        <f t="shared" si="235"/>
        <v>0</v>
      </c>
      <c r="VHL6" s="88">
        <f t="shared" si="235"/>
        <v>0</v>
      </c>
      <c r="VHM6" s="88">
        <f t="shared" si="235"/>
        <v>0</v>
      </c>
      <c r="VHN6" s="88">
        <f t="shared" si="235"/>
        <v>0</v>
      </c>
      <c r="VHO6" s="88">
        <f t="shared" si="235"/>
        <v>0</v>
      </c>
      <c r="VHP6" s="88">
        <f t="shared" si="235"/>
        <v>0</v>
      </c>
      <c r="VHQ6" s="88">
        <f t="shared" si="235"/>
        <v>0</v>
      </c>
      <c r="VHR6" s="88">
        <f t="shared" si="235"/>
        <v>0</v>
      </c>
      <c r="VHS6" s="88">
        <f t="shared" si="235"/>
        <v>0</v>
      </c>
      <c r="VHT6" s="88">
        <f t="shared" si="235"/>
        <v>0</v>
      </c>
      <c r="VHU6" s="88">
        <f t="shared" si="235"/>
        <v>0</v>
      </c>
      <c r="VHV6" s="88">
        <f t="shared" si="235"/>
        <v>0</v>
      </c>
      <c r="VHW6" s="88">
        <f t="shared" si="235"/>
        <v>0</v>
      </c>
      <c r="VHX6" s="88">
        <f t="shared" si="235"/>
        <v>0</v>
      </c>
      <c r="VHY6" s="88">
        <f t="shared" si="235"/>
        <v>0</v>
      </c>
      <c r="VHZ6" s="88">
        <f t="shared" si="235"/>
        <v>0</v>
      </c>
      <c r="VIA6" s="88">
        <f t="shared" si="235"/>
        <v>0</v>
      </c>
      <c r="VIB6" s="88">
        <f t="shared" si="235"/>
        <v>0</v>
      </c>
      <c r="VIC6" s="88">
        <f t="shared" si="235"/>
        <v>0</v>
      </c>
      <c r="VID6" s="88">
        <f t="shared" si="235"/>
        <v>0</v>
      </c>
      <c r="VIE6" s="88">
        <f t="shared" si="235"/>
        <v>0</v>
      </c>
      <c r="VIF6" s="88">
        <f t="shared" si="235"/>
        <v>0</v>
      </c>
      <c r="VIG6" s="88">
        <f t="shared" si="235"/>
        <v>0</v>
      </c>
      <c r="VIH6" s="88">
        <f t="shared" si="235"/>
        <v>0</v>
      </c>
      <c r="VII6" s="88">
        <f t="shared" si="235"/>
        <v>0</v>
      </c>
      <c r="VIJ6" s="88">
        <f t="shared" ref="VIJ6:VKU6" si="236">SUM(VIK3:VIK5)</f>
        <v>0</v>
      </c>
      <c r="VIK6" s="88">
        <f t="shared" si="236"/>
        <v>0</v>
      </c>
      <c r="VIL6" s="88">
        <f t="shared" si="236"/>
        <v>0</v>
      </c>
      <c r="VIM6" s="88">
        <f t="shared" si="236"/>
        <v>0</v>
      </c>
      <c r="VIN6" s="88">
        <f t="shared" si="236"/>
        <v>0</v>
      </c>
      <c r="VIO6" s="88">
        <f t="shared" si="236"/>
        <v>0</v>
      </c>
      <c r="VIP6" s="88">
        <f t="shared" si="236"/>
        <v>0</v>
      </c>
      <c r="VIQ6" s="88">
        <f t="shared" si="236"/>
        <v>0</v>
      </c>
      <c r="VIR6" s="88">
        <f t="shared" si="236"/>
        <v>0</v>
      </c>
      <c r="VIS6" s="88">
        <f t="shared" si="236"/>
        <v>0</v>
      </c>
      <c r="VIT6" s="88">
        <f t="shared" si="236"/>
        <v>0</v>
      </c>
      <c r="VIU6" s="88">
        <f t="shared" si="236"/>
        <v>0</v>
      </c>
      <c r="VIV6" s="88">
        <f t="shared" si="236"/>
        <v>0</v>
      </c>
      <c r="VIW6" s="88">
        <f t="shared" si="236"/>
        <v>0</v>
      </c>
      <c r="VIX6" s="88">
        <f t="shared" si="236"/>
        <v>0</v>
      </c>
      <c r="VIY6" s="88">
        <f t="shared" si="236"/>
        <v>0</v>
      </c>
      <c r="VIZ6" s="88">
        <f t="shared" si="236"/>
        <v>0</v>
      </c>
      <c r="VJA6" s="88">
        <f t="shared" si="236"/>
        <v>0</v>
      </c>
      <c r="VJB6" s="88">
        <f t="shared" si="236"/>
        <v>0</v>
      </c>
      <c r="VJC6" s="88">
        <f t="shared" si="236"/>
        <v>0</v>
      </c>
      <c r="VJD6" s="88">
        <f t="shared" si="236"/>
        <v>0</v>
      </c>
      <c r="VJE6" s="88">
        <f t="shared" si="236"/>
        <v>0</v>
      </c>
      <c r="VJF6" s="88">
        <f t="shared" si="236"/>
        <v>0</v>
      </c>
      <c r="VJG6" s="88">
        <f t="shared" si="236"/>
        <v>0</v>
      </c>
      <c r="VJH6" s="88">
        <f t="shared" si="236"/>
        <v>0</v>
      </c>
      <c r="VJI6" s="88">
        <f t="shared" si="236"/>
        <v>0</v>
      </c>
      <c r="VJJ6" s="88">
        <f t="shared" si="236"/>
        <v>0</v>
      </c>
      <c r="VJK6" s="88">
        <f t="shared" si="236"/>
        <v>0</v>
      </c>
      <c r="VJL6" s="88">
        <f t="shared" si="236"/>
        <v>0</v>
      </c>
      <c r="VJM6" s="88">
        <f t="shared" si="236"/>
        <v>0</v>
      </c>
      <c r="VJN6" s="88">
        <f t="shared" si="236"/>
        <v>0</v>
      </c>
      <c r="VJO6" s="88">
        <f t="shared" si="236"/>
        <v>0</v>
      </c>
      <c r="VJP6" s="88">
        <f t="shared" si="236"/>
        <v>0</v>
      </c>
      <c r="VJQ6" s="88">
        <f t="shared" si="236"/>
        <v>0</v>
      </c>
      <c r="VJR6" s="88">
        <f t="shared" si="236"/>
        <v>0</v>
      </c>
      <c r="VJS6" s="88">
        <f t="shared" si="236"/>
        <v>0</v>
      </c>
      <c r="VJT6" s="88">
        <f t="shared" si="236"/>
        <v>0</v>
      </c>
      <c r="VJU6" s="88">
        <f t="shared" si="236"/>
        <v>0</v>
      </c>
      <c r="VJV6" s="88">
        <f t="shared" si="236"/>
        <v>0</v>
      </c>
      <c r="VJW6" s="88">
        <f t="shared" si="236"/>
        <v>0</v>
      </c>
      <c r="VJX6" s="88">
        <f t="shared" si="236"/>
        <v>0</v>
      </c>
      <c r="VJY6" s="88">
        <f t="shared" si="236"/>
        <v>0</v>
      </c>
      <c r="VJZ6" s="88">
        <f t="shared" si="236"/>
        <v>0</v>
      </c>
      <c r="VKA6" s="88">
        <f t="shared" si="236"/>
        <v>0</v>
      </c>
      <c r="VKB6" s="88">
        <f t="shared" si="236"/>
        <v>0</v>
      </c>
      <c r="VKC6" s="88">
        <f t="shared" si="236"/>
        <v>0</v>
      </c>
      <c r="VKD6" s="88">
        <f t="shared" si="236"/>
        <v>0</v>
      </c>
      <c r="VKE6" s="88">
        <f t="shared" si="236"/>
        <v>0</v>
      </c>
      <c r="VKF6" s="88">
        <f t="shared" si="236"/>
        <v>0</v>
      </c>
      <c r="VKG6" s="88">
        <f t="shared" si="236"/>
        <v>0</v>
      </c>
      <c r="VKH6" s="88">
        <f t="shared" si="236"/>
        <v>0</v>
      </c>
      <c r="VKI6" s="88">
        <f t="shared" si="236"/>
        <v>0</v>
      </c>
      <c r="VKJ6" s="88">
        <f t="shared" si="236"/>
        <v>0</v>
      </c>
      <c r="VKK6" s="88">
        <f t="shared" si="236"/>
        <v>0</v>
      </c>
      <c r="VKL6" s="88">
        <f t="shared" si="236"/>
        <v>0</v>
      </c>
      <c r="VKM6" s="88">
        <f t="shared" si="236"/>
        <v>0</v>
      </c>
      <c r="VKN6" s="88">
        <f t="shared" si="236"/>
        <v>0</v>
      </c>
      <c r="VKO6" s="88">
        <f t="shared" si="236"/>
        <v>0</v>
      </c>
      <c r="VKP6" s="88">
        <f t="shared" si="236"/>
        <v>0</v>
      </c>
      <c r="VKQ6" s="88">
        <f t="shared" si="236"/>
        <v>0</v>
      </c>
      <c r="VKR6" s="88">
        <f t="shared" si="236"/>
        <v>0</v>
      </c>
      <c r="VKS6" s="88">
        <f t="shared" si="236"/>
        <v>0</v>
      </c>
      <c r="VKT6" s="88">
        <f t="shared" si="236"/>
        <v>0</v>
      </c>
      <c r="VKU6" s="88">
        <f t="shared" si="236"/>
        <v>0</v>
      </c>
      <c r="VKV6" s="88">
        <f t="shared" ref="VKV6:VNG6" si="237">SUM(VKW3:VKW5)</f>
        <v>0</v>
      </c>
      <c r="VKW6" s="88">
        <f t="shared" si="237"/>
        <v>0</v>
      </c>
      <c r="VKX6" s="88">
        <f t="shared" si="237"/>
        <v>0</v>
      </c>
      <c r="VKY6" s="88">
        <f t="shared" si="237"/>
        <v>0</v>
      </c>
      <c r="VKZ6" s="88">
        <f t="shared" si="237"/>
        <v>0</v>
      </c>
      <c r="VLA6" s="88">
        <f t="shared" si="237"/>
        <v>0</v>
      </c>
      <c r="VLB6" s="88">
        <f t="shared" si="237"/>
        <v>0</v>
      </c>
      <c r="VLC6" s="88">
        <f t="shared" si="237"/>
        <v>0</v>
      </c>
      <c r="VLD6" s="88">
        <f t="shared" si="237"/>
        <v>0</v>
      </c>
      <c r="VLE6" s="88">
        <f t="shared" si="237"/>
        <v>0</v>
      </c>
      <c r="VLF6" s="88">
        <f t="shared" si="237"/>
        <v>0</v>
      </c>
      <c r="VLG6" s="88">
        <f t="shared" si="237"/>
        <v>0</v>
      </c>
      <c r="VLH6" s="88">
        <f t="shared" si="237"/>
        <v>0</v>
      </c>
      <c r="VLI6" s="88">
        <f t="shared" si="237"/>
        <v>0</v>
      </c>
      <c r="VLJ6" s="88">
        <f t="shared" si="237"/>
        <v>0</v>
      </c>
      <c r="VLK6" s="88">
        <f t="shared" si="237"/>
        <v>0</v>
      </c>
      <c r="VLL6" s="88">
        <f t="shared" si="237"/>
        <v>0</v>
      </c>
      <c r="VLM6" s="88">
        <f t="shared" si="237"/>
        <v>0</v>
      </c>
      <c r="VLN6" s="88">
        <f t="shared" si="237"/>
        <v>0</v>
      </c>
      <c r="VLO6" s="88">
        <f t="shared" si="237"/>
        <v>0</v>
      </c>
      <c r="VLP6" s="88">
        <f t="shared" si="237"/>
        <v>0</v>
      </c>
      <c r="VLQ6" s="88">
        <f t="shared" si="237"/>
        <v>0</v>
      </c>
      <c r="VLR6" s="88">
        <f t="shared" si="237"/>
        <v>0</v>
      </c>
      <c r="VLS6" s="88">
        <f t="shared" si="237"/>
        <v>0</v>
      </c>
      <c r="VLT6" s="88">
        <f t="shared" si="237"/>
        <v>0</v>
      </c>
      <c r="VLU6" s="88">
        <f t="shared" si="237"/>
        <v>0</v>
      </c>
      <c r="VLV6" s="88">
        <f t="shared" si="237"/>
        <v>0</v>
      </c>
      <c r="VLW6" s="88">
        <f t="shared" si="237"/>
        <v>0</v>
      </c>
      <c r="VLX6" s="88">
        <f t="shared" si="237"/>
        <v>0</v>
      </c>
      <c r="VLY6" s="88">
        <f t="shared" si="237"/>
        <v>0</v>
      </c>
      <c r="VLZ6" s="88">
        <f t="shared" si="237"/>
        <v>0</v>
      </c>
      <c r="VMA6" s="88">
        <f t="shared" si="237"/>
        <v>0</v>
      </c>
      <c r="VMB6" s="88">
        <f t="shared" si="237"/>
        <v>0</v>
      </c>
      <c r="VMC6" s="88">
        <f t="shared" si="237"/>
        <v>0</v>
      </c>
      <c r="VMD6" s="88">
        <f t="shared" si="237"/>
        <v>0</v>
      </c>
      <c r="VME6" s="88">
        <f t="shared" si="237"/>
        <v>0</v>
      </c>
      <c r="VMF6" s="88">
        <f t="shared" si="237"/>
        <v>0</v>
      </c>
      <c r="VMG6" s="88">
        <f t="shared" si="237"/>
        <v>0</v>
      </c>
      <c r="VMH6" s="88">
        <f t="shared" si="237"/>
        <v>0</v>
      </c>
      <c r="VMI6" s="88">
        <f t="shared" si="237"/>
        <v>0</v>
      </c>
      <c r="VMJ6" s="88">
        <f t="shared" si="237"/>
        <v>0</v>
      </c>
      <c r="VMK6" s="88">
        <f t="shared" si="237"/>
        <v>0</v>
      </c>
      <c r="VML6" s="88">
        <f t="shared" si="237"/>
        <v>0</v>
      </c>
      <c r="VMM6" s="88">
        <f t="shared" si="237"/>
        <v>0</v>
      </c>
      <c r="VMN6" s="88">
        <f t="shared" si="237"/>
        <v>0</v>
      </c>
      <c r="VMO6" s="88">
        <f t="shared" si="237"/>
        <v>0</v>
      </c>
      <c r="VMP6" s="88">
        <f t="shared" si="237"/>
        <v>0</v>
      </c>
      <c r="VMQ6" s="88">
        <f t="shared" si="237"/>
        <v>0</v>
      </c>
      <c r="VMR6" s="88">
        <f t="shared" si="237"/>
        <v>0</v>
      </c>
      <c r="VMS6" s="88">
        <f t="shared" si="237"/>
        <v>0</v>
      </c>
      <c r="VMT6" s="88">
        <f t="shared" si="237"/>
        <v>0</v>
      </c>
      <c r="VMU6" s="88">
        <f t="shared" si="237"/>
        <v>0</v>
      </c>
      <c r="VMV6" s="88">
        <f t="shared" si="237"/>
        <v>0</v>
      </c>
      <c r="VMW6" s="88">
        <f t="shared" si="237"/>
        <v>0</v>
      </c>
      <c r="VMX6" s="88">
        <f t="shared" si="237"/>
        <v>0</v>
      </c>
      <c r="VMY6" s="88">
        <f t="shared" si="237"/>
        <v>0</v>
      </c>
      <c r="VMZ6" s="88">
        <f t="shared" si="237"/>
        <v>0</v>
      </c>
      <c r="VNA6" s="88">
        <f t="shared" si="237"/>
        <v>0</v>
      </c>
      <c r="VNB6" s="88">
        <f t="shared" si="237"/>
        <v>0</v>
      </c>
      <c r="VNC6" s="88">
        <f t="shared" si="237"/>
        <v>0</v>
      </c>
      <c r="VND6" s="88">
        <f t="shared" si="237"/>
        <v>0</v>
      </c>
      <c r="VNE6" s="88">
        <f t="shared" si="237"/>
        <v>0</v>
      </c>
      <c r="VNF6" s="88">
        <f t="shared" si="237"/>
        <v>0</v>
      </c>
      <c r="VNG6" s="88">
        <f t="shared" si="237"/>
        <v>0</v>
      </c>
      <c r="VNH6" s="88">
        <f t="shared" ref="VNH6:VPS6" si="238">SUM(VNI3:VNI5)</f>
        <v>0</v>
      </c>
      <c r="VNI6" s="88">
        <f t="shared" si="238"/>
        <v>0</v>
      </c>
      <c r="VNJ6" s="88">
        <f t="shared" si="238"/>
        <v>0</v>
      </c>
      <c r="VNK6" s="88">
        <f t="shared" si="238"/>
        <v>0</v>
      </c>
      <c r="VNL6" s="88">
        <f t="shared" si="238"/>
        <v>0</v>
      </c>
      <c r="VNM6" s="88">
        <f t="shared" si="238"/>
        <v>0</v>
      </c>
      <c r="VNN6" s="88">
        <f t="shared" si="238"/>
        <v>0</v>
      </c>
      <c r="VNO6" s="88">
        <f t="shared" si="238"/>
        <v>0</v>
      </c>
      <c r="VNP6" s="88">
        <f t="shared" si="238"/>
        <v>0</v>
      </c>
      <c r="VNQ6" s="88">
        <f t="shared" si="238"/>
        <v>0</v>
      </c>
      <c r="VNR6" s="88">
        <f t="shared" si="238"/>
        <v>0</v>
      </c>
      <c r="VNS6" s="88">
        <f t="shared" si="238"/>
        <v>0</v>
      </c>
      <c r="VNT6" s="88">
        <f t="shared" si="238"/>
        <v>0</v>
      </c>
      <c r="VNU6" s="88">
        <f t="shared" si="238"/>
        <v>0</v>
      </c>
      <c r="VNV6" s="88">
        <f t="shared" si="238"/>
        <v>0</v>
      </c>
      <c r="VNW6" s="88">
        <f t="shared" si="238"/>
        <v>0</v>
      </c>
      <c r="VNX6" s="88">
        <f t="shared" si="238"/>
        <v>0</v>
      </c>
      <c r="VNY6" s="88">
        <f t="shared" si="238"/>
        <v>0</v>
      </c>
      <c r="VNZ6" s="88">
        <f t="shared" si="238"/>
        <v>0</v>
      </c>
      <c r="VOA6" s="88">
        <f t="shared" si="238"/>
        <v>0</v>
      </c>
      <c r="VOB6" s="88">
        <f t="shared" si="238"/>
        <v>0</v>
      </c>
      <c r="VOC6" s="88">
        <f t="shared" si="238"/>
        <v>0</v>
      </c>
      <c r="VOD6" s="88">
        <f t="shared" si="238"/>
        <v>0</v>
      </c>
      <c r="VOE6" s="88">
        <f t="shared" si="238"/>
        <v>0</v>
      </c>
      <c r="VOF6" s="88">
        <f t="shared" si="238"/>
        <v>0</v>
      </c>
      <c r="VOG6" s="88">
        <f t="shared" si="238"/>
        <v>0</v>
      </c>
      <c r="VOH6" s="88">
        <f t="shared" si="238"/>
        <v>0</v>
      </c>
      <c r="VOI6" s="88">
        <f t="shared" si="238"/>
        <v>0</v>
      </c>
      <c r="VOJ6" s="88">
        <f t="shared" si="238"/>
        <v>0</v>
      </c>
      <c r="VOK6" s="88">
        <f t="shared" si="238"/>
        <v>0</v>
      </c>
      <c r="VOL6" s="88">
        <f t="shared" si="238"/>
        <v>0</v>
      </c>
      <c r="VOM6" s="88">
        <f t="shared" si="238"/>
        <v>0</v>
      </c>
      <c r="VON6" s="88">
        <f t="shared" si="238"/>
        <v>0</v>
      </c>
      <c r="VOO6" s="88">
        <f t="shared" si="238"/>
        <v>0</v>
      </c>
      <c r="VOP6" s="88">
        <f t="shared" si="238"/>
        <v>0</v>
      </c>
      <c r="VOQ6" s="88">
        <f t="shared" si="238"/>
        <v>0</v>
      </c>
      <c r="VOR6" s="88">
        <f t="shared" si="238"/>
        <v>0</v>
      </c>
      <c r="VOS6" s="88">
        <f t="shared" si="238"/>
        <v>0</v>
      </c>
      <c r="VOT6" s="88">
        <f t="shared" si="238"/>
        <v>0</v>
      </c>
      <c r="VOU6" s="88">
        <f t="shared" si="238"/>
        <v>0</v>
      </c>
      <c r="VOV6" s="88">
        <f t="shared" si="238"/>
        <v>0</v>
      </c>
      <c r="VOW6" s="88">
        <f t="shared" si="238"/>
        <v>0</v>
      </c>
      <c r="VOX6" s="88">
        <f t="shared" si="238"/>
        <v>0</v>
      </c>
      <c r="VOY6" s="88">
        <f t="shared" si="238"/>
        <v>0</v>
      </c>
      <c r="VOZ6" s="88">
        <f t="shared" si="238"/>
        <v>0</v>
      </c>
      <c r="VPA6" s="88">
        <f t="shared" si="238"/>
        <v>0</v>
      </c>
      <c r="VPB6" s="88">
        <f t="shared" si="238"/>
        <v>0</v>
      </c>
      <c r="VPC6" s="88">
        <f t="shared" si="238"/>
        <v>0</v>
      </c>
      <c r="VPD6" s="88">
        <f t="shared" si="238"/>
        <v>0</v>
      </c>
      <c r="VPE6" s="88">
        <f t="shared" si="238"/>
        <v>0</v>
      </c>
      <c r="VPF6" s="88">
        <f t="shared" si="238"/>
        <v>0</v>
      </c>
      <c r="VPG6" s="88">
        <f t="shared" si="238"/>
        <v>0</v>
      </c>
      <c r="VPH6" s="88">
        <f t="shared" si="238"/>
        <v>0</v>
      </c>
      <c r="VPI6" s="88">
        <f t="shared" si="238"/>
        <v>0</v>
      </c>
      <c r="VPJ6" s="88">
        <f t="shared" si="238"/>
        <v>0</v>
      </c>
      <c r="VPK6" s="88">
        <f t="shared" si="238"/>
        <v>0</v>
      </c>
      <c r="VPL6" s="88">
        <f t="shared" si="238"/>
        <v>0</v>
      </c>
      <c r="VPM6" s="88">
        <f t="shared" si="238"/>
        <v>0</v>
      </c>
      <c r="VPN6" s="88">
        <f t="shared" si="238"/>
        <v>0</v>
      </c>
      <c r="VPO6" s="88">
        <f t="shared" si="238"/>
        <v>0</v>
      </c>
      <c r="VPP6" s="88">
        <f t="shared" si="238"/>
        <v>0</v>
      </c>
      <c r="VPQ6" s="88">
        <f t="shared" si="238"/>
        <v>0</v>
      </c>
      <c r="VPR6" s="88">
        <f t="shared" si="238"/>
        <v>0</v>
      </c>
      <c r="VPS6" s="88">
        <f t="shared" si="238"/>
        <v>0</v>
      </c>
      <c r="VPT6" s="88">
        <f t="shared" ref="VPT6:VSE6" si="239">SUM(VPU3:VPU5)</f>
        <v>0</v>
      </c>
      <c r="VPU6" s="88">
        <f t="shared" si="239"/>
        <v>0</v>
      </c>
      <c r="VPV6" s="88">
        <f t="shared" si="239"/>
        <v>0</v>
      </c>
      <c r="VPW6" s="88">
        <f t="shared" si="239"/>
        <v>0</v>
      </c>
      <c r="VPX6" s="88">
        <f t="shared" si="239"/>
        <v>0</v>
      </c>
      <c r="VPY6" s="88">
        <f t="shared" si="239"/>
        <v>0</v>
      </c>
      <c r="VPZ6" s="88">
        <f t="shared" si="239"/>
        <v>0</v>
      </c>
      <c r="VQA6" s="88">
        <f t="shared" si="239"/>
        <v>0</v>
      </c>
      <c r="VQB6" s="88">
        <f t="shared" si="239"/>
        <v>0</v>
      </c>
      <c r="VQC6" s="88">
        <f t="shared" si="239"/>
        <v>0</v>
      </c>
      <c r="VQD6" s="88">
        <f t="shared" si="239"/>
        <v>0</v>
      </c>
      <c r="VQE6" s="88">
        <f t="shared" si="239"/>
        <v>0</v>
      </c>
      <c r="VQF6" s="88">
        <f t="shared" si="239"/>
        <v>0</v>
      </c>
      <c r="VQG6" s="88">
        <f t="shared" si="239"/>
        <v>0</v>
      </c>
      <c r="VQH6" s="88">
        <f t="shared" si="239"/>
        <v>0</v>
      </c>
      <c r="VQI6" s="88">
        <f t="shared" si="239"/>
        <v>0</v>
      </c>
      <c r="VQJ6" s="88">
        <f t="shared" si="239"/>
        <v>0</v>
      </c>
      <c r="VQK6" s="88">
        <f t="shared" si="239"/>
        <v>0</v>
      </c>
      <c r="VQL6" s="88">
        <f t="shared" si="239"/>
        <v>0</v>
      </c>
      <c r="VQM6" s="88">
        <f t="shared" si="239"/>
        <v>0</v>
      </c>
      <c r="VQN6" s="88">
        <f t="shared" si="239"/>
        <v>0</v>
      </c>
      <c r="VQO6" s="88">
        <f t="shared" si="239"/>
        <v>0</v>
      </c>
      <c r="VQP6" s="88">
        <f t="shared" si="239"/>
        <v>0</v>
      </c>
      <c r="VQQ6" s="88">
        <f t="shared" si="239"/>
        <v>0</v>
      </c>
      <c r="VQR6" s="88">
        <f t="shared" si="239"/>
        <v>0</v>
      </c>
      <c r="VQS6" s="88">
        <f t="shared" si="239"/>
        <v>0</v>
      </c>
      <c r="VQT6" s="88">
        <f t="shared" si="239"/>
        <v>0</v>
      </c>
      <c r="VQU6" s="88">
        <f t="shared" si="239"/>
        <v>0</v>
      </c>
      <c r="VQV6" s="88">
        <f t="shared" si="239"/>
        <v>0</v>
      </c>
      <c r="VQW6" s="88">
        <f t="shared" si="239"/>
        <v>0</v>
      </c>
      <c r="VQX6" s="88">
        <f t="shared" si="239"/>
        <v>0</v>
      </c>
      <c r="VQY6" s="88">
        <f t="shared" si="239"/>
        <v>0</v>
      </c>
      <c r="VQZ6" s="88">
        <f t="shared" si="239"/>
        <v>0</v>
      </c>
      <c r="VRA6" s="88">
        <f t="shared" si="239"/>
        <v>0</v>
      </c>
      <c r="VRB6" s="88">
        <f t="shared" si="239"/>
        <v>0</v>
      </c>
      <c r="VRC6" s="88">
        <f t="shared" si="239"/>
        <v>0</v>
      </c>
      <c r="VRD6" s="88">
        <f t="shared" si="239"/>
        <v>0</v>
      </c>
      <c r="VRE6" s="88">
        <f t="shared" si="239"/>
        <v>0</v>
      </c>
      <c r="VRF6" s="88">
        <f t="shared" si="239"/>
        <v>0</v>
      </c>
      <c r="VRG6" s="88">
        <f t="shared" si="239"/>
        <v>0</v>
      </c>
      <c r="VRH6" s="88">
        <f t="shared" si="239"/>
        <v>0</v>
      </c>
      <c r="VRI6" s="88">
        <f t="shared" si="239"/>
        <v>0</v>
      </c>
      <c r="VRJ6" s="88">
        <f t="shared" si="239"/>
        <v>0</v>
      </c>
      <c r="VRK6" s="88">
        <f t="shared" si="239"/>
        <v>0</v>
      </c>
      <c r="VRL6" s="88">
        <f t="shared" si="239"/>
        <v>0</v>
      </c>
      <c r="VRM6" s="88">
        <f t="shared" si="239"/>
        <v>0</v>
      </c>
      <c r="VRN6" s="88">
        <f t="shared" si="239"/>
        <v>0</v>
      </c>
      <c r="VRO6" s="88">
        <f t="shared" si="239"/>
        <v>0</v>
      </c>
      <c r="VRP6" s="88">
        <f t="shared" si="239"/>
        <v>0</v>
      </c>
      <c r="VRQ6" s="88">
        <f t="shared" si="239"/>
        <v>0</v>
      </c>
      <c r="VRR6" s="88">
        <f t="shared" si="239"/>
        <v>0</v>
      </c>
      <c r="VRS6" s="88">
        <f t="shared" si="239"/>
        <v>0</v>
      </c>
      <c r="VRT6" s="88">
        <f t="shared" si="239"/>
        <v>0</v>
      </c>
      <c r="VRU6" s="88">
        <f t="shared" si="239"/>
        <v>0</v>
      </c>
      <c r="VRV6" s="88">
        <f t="shared" si="239"/>
        <v>0</v>
      </c>
      <c r="VRW6" s="88">
        <f t="shared" si="239"/>
        <v>0</v>
      </c>
      <c r="VRX6" s="88">
        <f t="shared" si="239"/>
        <v>0</v>
      </c>
      <c r="VRY6" s="88">
        <f t="shared" si="239"/>
        <v>0</v>
      </c>
      <c r="VRZ6" s="88">
        <f t="shared" si="239"/>
        <v>0</v>
      </c>
      <c r="VSA6" s="88">
        <f t="shared" si="239"/>
        <v>0</v>
      </c>
      <c r="VSB6" s="88">
        <f t="shared" si="239"/>
        <v>0</v>
      </c>
      <c r="VSC6" s="88">
        <f t="shared" si="239"/>
        <v>0</v>
      </c>
      <c r="VSD6" s="88">
        <f t="shared" si="239"/>
        <v>0</v>
      </c>
      <c r="VSE6" s="88">
        <f t="shared" si="239"/>
        <v>0</v>
      </c>
      <c r="VSF6" s="88">
        <f t="shared" ref="VSF6:VUQ6" si="240">SUM(VSG3:VSG5)</f>
        <v>0</v>
      </c>
      <c r="VSG6" s="88">
        <f t="shared" si="240"/>
        <v>0</v>
      </c>
      <c r="VSH6" s="88">
        <f t="shared" si="240"/>
        <v>0</v>
      </c>
      <c r="VSI6" s="88">
        <f t="shared" si="240"/>
        <v>0</v>
      </c>
      <c r="VSJ6" s="88">
        <f t="shared" si="240"/>
        <v>0</v>
      </c>
      <c r="VSK6" s="88">
        <f t="shared" si="240"/>
        <v>0</v>
      </c>
      <c r="VSL6" s="88">
        <f t="shared" si="240"/>
        <v>0</v>
      </c>
      <c r="VSM6" s="88">
        <f t="shared" si="240"/>
        <v>0</v>
      </c>
      <c r="VSN6" s="88">
        <f t="shared" si="240"/>
        <v>0</v>
      </c>
      <c r="VSO6" s="88">
        <f t="shared" si="240"/>
        <v>0</v>
      </c>
      <c r="VSP6" s="88">
        <f t="shared" si="240"/>
        <v>0</v>
      </c>
      <c r="VSQ6" s="88">
        <f t="shared" si="240"/>
        <v>0</v>
      </c>
      <c r="VSR6" s="88">
        <f t="shared" si="240"/>
        <v>0</v>
      </c>
      <c r="VSS6" s="88">
        <f t="shared" si="240"/>
        <v>0</v>
      </c>
      <c r="VST6" s="88">
        <f t="shared" si="240"/>
        <v>0</v>
      </c>
      <c r="VSU6" s="88">
        <f t="shared" si="240"/>
        <v>0</v>
      </c>
      <c r="VSV6" s="88">
        <f t="shared" si="240"/>
        <v>0</v>
      </c>
      <c r="VSW6" s="88">
        <f t="shared" si="240"/>
        <v>0</v>
      </c>
      <c r="VSX6" s="88">
        <f t="shared" si="240"/>
        <v>0</v>
      </c>
      <c r="VSY6" s="88">
        <f t="shared" si="240"/>
        <v>0</v>
      </c>
      <c r="VSZ6" s="88">
        <f t="shared" si="240"/>
        <v>0</v>
      </c>
      <c r="VTA6" s="88">
        <f t="shared" si="240"/>
        <v>0</v>
      </c>
      <c r="VTB6" s="88">
        <f t="shared" si="240"/>
        <v>0</v>
      </c>
      <c r="VTC6" s="88">
        <f t="shared" si="240"/>
        <v>0</v>
      </c>
      <c r="VTD6" s="88">
        <f t="shared" si="240"/>
        <v>0</v>
      </c>
      <c r="VTE6" s="88">
        <f t="shared" si="240"/>
        <v>0</v>
      </c>
      <c r="VTF6" s="88">
        <f t="shared" si="240"/>
        <v>0</v>
      </c>
      <c r="VTG6" s="88">
        <f t="shared" si="240"/>
        <v>0</v>
      </c>
      <c r="VTH6" s="88">
        <f t="shared" si="240"/>
        <v>0</v>
      </c>
      <c r="VTI6" s="88">
        <f t="shared" si="240"/>
        <v>0</v>
      </c>
      <c r="VTJ6" s="88">
        <f t="shared" si="240"/>
        <v>0</v>
      </c>
      <c r="VTK6" s="88">
        <f t="shared" si="240"/>
        <v>0</v>
      </c>
      <c r="VTL6" s="88">
        <f t="shared" si="240"/>
        <v>0</v>
      </c>
      <c r="VTM6" s="88">
        <f t="shared" si="240"/>
        <v>0</v>
      </c>
      <c r="VTN6" s="88">
        <f t="shared" si="240"/>
        <v>0</v>
      </c>
      <c r="VTO6" s="88">
        <f t="shared" si="240"/>
        <v>0</v>
      </c>
      <c r="VTP6" s="88">
        <f t="shared" si="240"/>
        <v>0</v>
      </c>
      <c r="VTQ6" s="88">
        <f t="shared" si="240"/>
        <v>0</v>
      </c>
      <c r="VTR6" s="88">
        <f t="shared" si="240"/>
        <v>0</v>
      </c>
      <c r="VTS6" s="88">
        <f t="shared" si="240"/>
        <v>0</v>
      </c>
      <c r="VTT6" s="88">
        <f t="shared" si="240"/>
        <v>0</v>
      </c>
      <c r="VTU6" s="88">
        <f t="shared" si="240"/>
        <v>0</v>
      </c>
      <c r="VTV6" s="88">
        <f t="shared" si="240"/>
        <v>0</v>
      </c>
      <c r="VTW6" s="88">
        <f t="shared" si="240"/>
        <v>0</v>
      </c>
      <c r="VTX6" s="88">
        <f t="shared" si="240"/>
        <v>0</v>
      </c>
      <c r="VTY6" s="88">
        <f t="shared" si="240"/>
        <v>0</v>
      </c>
      <c r="VTZ6" s="88">
        <f t="shared" si="240"/>
        <v>0</v>
      </c>
      <c r="VUA6" s="88">
        <f t="shared" si="240"/>
        <v>0</v>
      </c>
      <c r="VUB6" s="88">
        <f t="shared" si="240"/>
        <v>0</v>
      </c>
      <c r="VUC6" s="88">
        <f t="shared" si="240"/>
        <v>0</v>
      </c>
      <c r="VUD6" s="88">
        <f t="shared" si="240"/>
        <v>0</v>
      </c>
      <c r="VUE6" s="88">
        <f t="shared" si="240"/>
        <v>0</v>
      </c>
      <c r="VUF6" s="88">
        <f t="shared" si="240"/>
        <v>0</v>
      </c>
      <c r="VUG6" s="88">
        <f t="shared" si="240"/>
        <v>0</v>
      </c>
      <c r="VUH6" s="88">
        <f t="shared" si="240"/>
        <v>0</v>
      </c>
      <c r="VUI6" s="88">
        <f t="shared" si="240"/>
        <v>0</v>
      </c>
      <c r="VUJ6" s="88">
        <f t="shared" si="240"/>
        <v>0</v>
      </c>
      <c r="VUK6" s="88">
        <f t="shared" si="240"/>
        <v>0</v>
      </c>
      <c r="VUL6" s="88">
        <f t="shared" si="240"/>
        <v>0</v>
      </c>
      <c r="VUM6" s="88">
        <f t="shared" si="240"/>
        <v>0</v>
      </c>
      <c r="VUN6" s="88">
        <f t="shared" si="240"/>
        <v>0</v>
      </c>
      <c r="VUO6" s="88">
        <f t="shared" si="240"/>
        <v>0</v>
      </c>
      <c r="VUP6" s="88">
        <f t="shared" si="240"/>
        <v>0</v>
      </c>
      <c r="VUQ6" s="88">
        <f t="shared" si="240"/>
        <v>0</v>
      </c>
      <c r="VUR6" s="88">
        <f t="shared" ref="VUR6:VXC6" si="241">SUM(VUS3:VUS5)</f>
        <v>0</v>
      </c>
      <c r="VUS6" s="88">
        <f t="shared" si="241"/>
        <v>0</v>
      </c>
      <c r="VUT6" s="88">
        <f t="shared" si="241"/>
        <v>0</v>
      </c>
      <c r="VUU6" s="88">
        <f t="shared" si="241"/>
        <v>0</v>
      </c>
      <c r="VUV6" s="88">
        <f t="shared" si="241"/>
        <v>0</v>
      </c>
      <c r="VUW6" s="88">
        <f t="shared" si="241"/>
        <v>0</v>
      </c>
      <c r="VUX6" s="88">
        <f t="shared" si="241"/>
        <v>0</v>
      </c>
      <c r="VUY6" s="88">
        <f t="shared" si="241"/>
        <v>0</v>
      </c>
      <c r="VUZ6" s="88">
        <f t="shared" si="241"/>
        <v>0</v>
      </c>
      <c r="VVA6" s="88">
        <f t="shared" si="241"/>
        <v>0</v>
      </c>
      <c r="VVB6" s="88">
        <f t="shared" si="241"/>
        <v>0</v>
      </c>
      <c r="VVC6" s="88">
        <f t="shared" si="241"/>
        <v>0</v>
      </c>
      <c r="VVD6" s="88">
        <f t="shared" si="241"/>
        <v>0</v>
      </c>
      <c r="VVE6" s="88">
        <f t="shared" si="241"/>
        <v>0</v>
      </c>
      <c r="VVF6" s="88">
        <f t="shared" si="241"/>
        <v>0</v>
      </c>
      <c r="VVG6" s="88">
        <f t="shared" si="241"/>
        <v>0</v>
      </c>
      <c r="VVH6" s="88">
        <f t="shared" si="241"/>
        <v>0</v>
      </c>
      <c r="VVI6" s="88">
        <f t="shared" si="241"/>
        <v>0</v>
      </c>
      <c r="VVJ6" s="88">
        <f t="shared" si="241"/>
        <v>0</v>
      </c>
      <c r="VVK6" s="88">
        <f t="shared" si="241"/>
        <v>0</v>
      </c>
      <c r="VVL6" s="88">
        <f t="shared" si="241"/>
        <v>0</v>
      </c>
      <c r="VVM6" s="88">
        <f t="shared" si="241"/>
        <v>0</v>
      </c>
      <c r="VVN6" s="88">
        <f t="shared" si="241"/>
        <v>0</v>
      </c>
      <c r="VVO6" s="88">
        <f t="shared" si="241"/>
        <v>0</v>
      </c>
      <c r="VVP6" s="88">
        <f t="shared" si="241"/>
        <v>0</v>
      </c>
      <c r="VVQ6" s="88">
        <f t="shared" si="241"/>
        <v>0</v>
      </c>
      <c r="VVR6" s="88">
        <f t="shared" si="241"/>
        <v>0</v>
      </c>
      <c r="VVS6" s="88">
        <f t="shared" si="241"/>
        <v>0</v>
      </c>
      <c r="VVT6" s="88">
        <f t="shared" si="241"/>
        <v>0</v>
      </c>
      <c r="VVU6" s="88">
        <f t="shared" si="241"/>
        <v>0</v>
      </c>
      <c r="VVV6" s="88">
        <f t="shared" si="241"/>
        <v>0</v>
      </c>
      <c r="VVW6" s="88">
        <f t="shared" si="241"/>
        <v>0</v>
      </c>
      <c r="VVX6" s="88">
        <f t="shared" si="241"/>
        <v>0</v>
      </c>
      <c r="VVY6" s="88">
        <f t="shared" si="241"/>
        <v>0</v>
      </c>
      <c r="VVZ6" s="88">
        <f t="shared" si="241"/>
        <v>0</v>
      </c>
      <c r="VWA6" s="88">
        <f t="shared" si="241"/>
        <v>0</v>
      </c>
      <c r="VWB6" s="88">
        <f t="shared" si="241"/>
        <v>0</v>
      </c>
      <c r="VWC6" s="88">
        <f t="shared" si="241"/>
        <v>0</v>
      </c>
      <c r="VWD6" s="88">
        <f t="shared" si="241"/>
        <v>0</v>
      </c>
      <c r="VWE6" s="88">
        <f t="shared" si="241"/>
        <v>0</v>
      </c>
      <c r="VWF6" s="88">
        <f t="shared" si="241"/>
        <v>0</v>
      </c>
      <c r="VWG6" s="88">
        <f t="shared" si="241"/>
        <v>0</v>
      </c>
      <c r="VWH6" s="88">
        <f t="shared" si="241"/>
        <v>0</v>
      </c>
      <c r="VWI6" s="88">
        <f t="shared" si="241"/>
        <v>0</v>
      </c>
      <c r="VWJ6" s="88">
        <f t="shared" si="241"/>
        <v>0</v>
      </c>
      <c r="VWK6" s="88">
        <f t="shared" si="241"/>
        <v>0</v>
      </c>
      <c r="VWL6" s="88">
        <f t="shared" si="241"/>
        <v>0</v>
      </c>
      <c r="VWM6" s="88">
        <f t="shared" si="241"/>
        <v>0</v>
      </c>
      <c r="VWN6" s="88">
        <f t="shared" si="241"/>
        <v>0</v>
      </c>
      <c r="VWO6" s="88">
        <f t="shared" si="241"/>
        <v>0</v>
      </c>
      <c r="VWP6" s="88">
        <f t="shared" si="241"/>
        <v>0</v>
      </c>
      <c r="VWQ6" s="88">
        <f t="shared" si="241"/>
        <v>0</v>
      </c>
      <c r="VWR6" s="88">
        <f t="shared" si="241"/>
        <v>0</v>
      </c>
      <c r="VWS6" s="88">
        <f t="shared" si="241"/>
        <v>0</v>
      </c>
      <c r="VWT6" s="88">
        <f t="shared" si="241"/>
        <v>0</v>
      </c>
      <c r="VWU6" s="88">
        <f t="shared" si="241"/>
        <v>0</v>
      </c>
      <c r="VWV6" s="88">
        <f t="shared" si="241"/>
        <v>0</v>
      </c>
      <c r="VWW6" s="88">
        <f t="shared" si="241"/>
        <v>0</v>
      </c>
      <c r="VWX6" s="88">
        <f t="shared" si="241"/>
        <v>0</v>
      </c>
      <c r="VWY6" s="88">
        <f t="shared" si="241"/>
        <v>0</v>
      </c>
      <c r="VWZ6" s="88">
        <f t="shared" si="241"/>
        <v>0</v>
      </c>
      <c r="VXA6" s="88">
        <f t="shared" si="241"/>
        <v>0</v>
      </c>
      <c r="VXB6" s="88">
        <f t="shared" si="241"/>
        <v>0</v>
      </c>
      <c r="VXC6" s="88">
        <f t="shared" si="241"/>
        <v>0</v>
      </c>
      <c r="VXD6" s="88">
        <f t="shared" ref="VXD6:VZO6" si="242">SUM(VXE3:VXE5)</f>
        <v>0</v>
      </c>
      <c r="VXE6" s="88">
        <f t="shared" si="242"/>
        <v>0</v>
      </c>
      <c r="VXF6" s="88">
        <f t="shared" si="242"/>
        <v>0</v>
      </c>
      <c r="VXG6" s="88">
        <f t="shared" si="242"/>
        <v>0</v>
      </c>
      <c r="VXH6" s="88">
        <f t="shared" si="242"/>
        <v>0</v>
      </c>
      <c r="VXI6" s="88">
        <f t="shared" si="242"/>
        <v>0</v>
      </c>
      <c r="VXJ6" s="88">
        <f t="shared" si="242"/>
        <v>0</v>
      </c>
      <c r="VXK6" s="88">
        <f t="shared" si="242"/>
        <v>0</v>
      </c>
      <c r="VXL6" s="88">
        <f t="shared" si="242"/>
        <v>0</v>
      </c>
      <c r="VXM6" s="88">
        <f t="shared" si="242"/>
        <v>0</v>
      </c>
      <c r="VXN6" s="88">
        <f t="shared" si="242"/>
        <v>0</v>
      </c>
      <c r="VXO6" s="88">
        <f t="shared" si="242"/>
        <v>0</v>
      </c>
      <c r="VXP6" s="88">
        <f t="shared" si="242"/>
        <v>0</v>
      </c>
      <c r="VXQ6" s="88">
        <f t="shared" si="242"/>
        <v>0</v>
      </c>
      <c r="VXR6" s="88">
        <f t="shared" si="242"/>
        <v>0</v>
      </c>
      <c r="VXS6" s="88">
        <f t="shared" si="242"/>
        <v>0</v>
      </c>
      <c r="VXT6" s="88">
        <f t="shared" si="242"/>
        <v>0</v>
      </c>
      <c r="VXU6" s="88">
        <f t="shared" si="242"/>
        <v>0</v>
      </c>
      <c r="VXV6" s="88">
        <f t="shared" si="242"/>
        <v>0</v>
      </c>
      <c r="VXW6" s="88">
        <f t="shared" si="242"/>
        <v>0</v>
      </c>
      <c r="VXX6" s="88">
        <f t="shared" si="242"/>
        <v>0</v>
      </c>
      <c r="VXY6" s="88">
        <f t="shared" si="242"/>
        <v>0</v>
      </c>
      <c r="VXZ6" s="88">
        <f t="shared" si="242"/>
        <v>0</v>
      </c>
      <c r="VYA6" s="88">
        <f t="shared" si="242"/>
        <v>0</v>
      </c>
      <c r="VYB6" s="88">
        <f t="shared" si="242"/>
        <v>0</v>
      </c>
      <c r="VYC6" s="88">
        <f t="shared" si="242"/>
        <v>0</v>
      </c>
      <c r="VYD6" s="88">
        <f t="shared" si="242"/>
        <v>0</v>
      </c>
      <c r="VYE6" s="88">
        <f t="shared" si="242"/>
        <v>0</v>
      </c>
      <c r="VYF6" s="88">
        <f t="shared" si="242"/>
        <v>0</v>
      </c>
      <c r="VYG6" s="88">
        <f t="shared" si="242"/>
        <v>0</v>
      </c>
      <c r="VYH6" s="88">
        <f t="shared" si="242"/>
        <v>0</v>
      </c>
      <c r="VYI6" s="88">
        <f t="shared" si="242"/>
        <v>0</v>
      </c>
      <c r="VYJ6" s="88">
        <f t="shared" si="242"/>
        <v>0</v>
      </c>
      <c r="VYK6" s="88">
        <f t="shared" si="242"/>
        <v>0</v>
      </c>
      <c r="VYL6" s="88">
        <f t="shared" si="242"/>
        <v>0</v>
      </c>
      <c r="VYM6" s="88">
        <f t="shared" si="242"/>
        <v>0</v>
      </c>
      <c r="VYN6" s="88">
        <f t="shared" si="242"/>
        <v>0</v>
      </c>
      <c r="VYO6" s="88">
        <f t="shared" si="242"/>
        <v>0</v>
      </c>
      <c r="VYP6" s="88">
        <f t="shared" si="242"/>
        <v>0</v>
      </c>
      <c r="VYQ6" s="88">
        <f t="shared" si="242"/>
        <v>0</v>
      </c>
      <c r="VYR6" s="88">
        <f t="shared" si="242"/>
        <v>0</v>
      </c>
      <c r="VYS6" s="88">
        <f t="shared" si="242"/>
        <v>0</v>
      </c>
      <c r="VYT6" s="88">
        <f t="shared" si="242"/>
        <v>0</v>
      </c>
      <c r="VYU6" s="88">
        <f t="shared" si="242"/>
        <v>0</v>
      </c>
      <c r="VYV6" s="88">
        <f t="shared" si="242"/>
        <v>0</v>
      </c>
      <c r="VYW6" s="88">
        <f t="shared" si="242"/>
        <v>0</v>
      </c>
      <c r="VYX6" s="88">
        <f t="shared" si="242"/>
        <v>0</v>
      </c>
      <c r="VYY6" s="88">
        <f t="shared" si="242"/>
        <v>0</v>
      </c>
      <c r="VYZ6" s="88">
        <f t="shared" si="242"/>
        <v>0</v>
      </c>
      <c r="VZA6" s="88">
        <f t="shared" si="242"/>
        <v>0</v>
      </c>
      <c r="VZB6" s="88">
        <f t="shared" si="242"/>
        <v>0</v>
      </c>
      <c r="VZC6" s="88">
        <f t="shared" si="242"/>
        <v>0</v>
      </c>
      <c r="VZD6" s="88">
        <f t="shared" si="242"/>
        <v>0</v>
      </c>
      <c r="VZE6" s="88">
        <f t="shared" si="242"/>
        <v>0</v>
      </c>
      <c r="VZF6" s="88">
        <f t="shared" si="242"/>
        <v>0</v>
      </c>
      <c r="VZG6" s="88">
        <f t="shared" si="242"/>
        <v>0</v>
      </c>
      <c r="VZH6" s="88">
        <f t="shared" si="242"/>
        <v>0</v>
      </c>
      <c r="VZI6" s="88">
        <f t="shared" si="242"/>
        <v>0</v>
      </c>
      <c r="VZJ6" s="88">
        <f t="shared" si="242"/>
        <v>0</v>
      </c>
      <c r="VZK6" s="88">
        <f t="shared" si="242"/>
        <v>0</v>
      </c>
      <c r="VZL6" s="88">
        <f t="shared" si="242"/>
        <v>0</v>
      </c>
      <c r="VZM6" s="88">
        <f t="shared" si="242"/>
        <v>0</v>
      </c>
      <c r="VZN6" s="88">
        <f t="shared" si="242"/>
        <v>0</v>
      </c>
      <c r="VZO6" s="88">
        <f t="shared" si="242"/>
        <v>0</v>
      </c>
      <c r="VZP6" s="88">
        <f t="shared" ref="VZP6:WCA6" si="243">SUM(VZQ3:VZQ5)</f>
        <v>0</v>
      </c>
      <c r="VZQ6" s="88">
        <f t="shared" si="243"/>
        <v>0</v>
      </c>
      <c r="VZR6" s="88">
        <f t="shared" si="243"/>
        <v>0</v>
      </c>
      <c r="VZS6" s="88">
        <f t="shared" si="243"/>
        <v>0</v>
      </c>
      <c r="VZT6" s="88">
        <f t="shared" si="243"/>
        <v>0</v>
      </c>
      <c r="VZU6" s="88">
        <f t="shared" si="243"/>
        <v>0</v>
      </c>
      <c r="VZV6" s="88">
        <f t="shared" si="243"/>
        <v>0</v>
      </c>
      <c r="VZW6" s="88">
        <f t="shared" si="243"/>
        <v>0</v>
      </c>
      <c r="VZX6" s="88">
        <f t="shared" si="243"/>
        <v>0</v>
      </c>
      <c r="VZY6" s="88">
        <f t="shared" si="243"/>
        <v>0</v>
      </c>
      <c r="VZZ6" s="88">
        <f t="shared" si="243"/>
        <v>0</v>
      </c>
      <c r="WAA6" s="88">
        <f t="shared" si="243"/>
        <v>0</v>
      </c>
      <c r="WAB6" s="88">
        <f t="shared" si="243"/>
        <v>0</v>
      </c>
      <c r="WAC6" s="88">
        <f t="shared" si="243"/>
        <v>0</v>
      </c>
      <c r="WAD6" s="88">
        <f t="shared" si="243"/>
        <v>0</v>
      </c>
      <c r="WAE6" s="88">
        <f t="shared" si="243"/>
        <v>0</v>
      </c>
      <c r="WAF6" s="88">
        <f t="shared" si="243"/>
        <v>0</v>
      </c>
      <c r="WAG6" s="88">
        <f t="shared" si="243"/>
        <v>0</v>
      </c>
      <c r="WAH6" s="88">
        <f t="shared" si="243"/>
        <v>0</v>
      </c>
      <c r="WAI6" s="88">
        <f t="shared" si="243"/>
        <v>0</v>
      </c>
      <c r="WAJ6" s="88">
        <f t="shared" si="243"/>
        <v>0</v>
      </c>
      <c r="WAK6" s="88">
        <f t="shared" si="243"/>
        <v>0</v>
      </c>
      <c r="WAL6" s="88">
        <f t="shared" si="243"/>
        <v>0</v>
      </c>
      <c r="WAM6" s="88">
        <f t="shared" si="243"/>
        <v>0</v>
      </c>
      <c r="WAN6" s="88">
        <f t="shared" si="243"/>
        <v>0</v>
      </c>
      <c r="WAO6" s="88">
        <f t="shared" si="243"/>
        <v>0</v>
      </c>
      <c r="WAP6" s="88">
        <f t="shared" si="243"/>
        <v>0</v>
      </c>
      <c r="WAQ6" s="88">
        <f t="shared" si="243"/>
        <v>0</v>
      </c>
      <c r="WAR6" s="88">
        <f t="shared" si="243"/>
        <v>0</v>
      </c>
      <c r="WAS6" s="88">
        <f t="shared" si="243"/>
        <v>0</v>
      </c>
      <c r="WAT6" s="88">
        <f t="shared" si="243"/>
        <v>0</v>
      </c>
      <c r="WAU6" s="88">
        <f t="shared" si="243"/>
        <v>0</v>
      </c>
      <c r="WAV6" s="88">
        <f t="shared" si="243"/>
        <v>0</v>
      </c>
      <c r="WAW6" s="88">
        <f t="shared" si="243"/>
        <v>0</v>
      </c>
      <c r="WAX6" s="88">
        <f t="shared" si="243"/>
        <v>0</v>
      </c>
      <c r="WAY6" s="88">
        <f t="shared" si="243"/>
        <v>0</v>
      </c>
      <c r="WAZ6" s="88">
        <f t="shared" si="243"/>
        <v>0</v>
      </c>
      <c r="WBA6" s="88">
        <f t="shared" si="243"/>
        <v>0</v>
      </c>
      <c r="WBB6" s="88">
        <f t="shared" si="243"/>
        <v>0</v>
      </c>
      <c r="WBC6" s="88">
        <f t="shared" si="243"/>
        <v>0</v>
      </c>
      <c r="WBD6" s="88">
        <f t="shared" si="243"/>
        <v>0</v>
      </c>
      <c r="WBE6" s="88">
        <f t="shared" si="243"/>
        <v>0</v>
      </c>
      <c r="WBF6" s="88">
        <f t="shared" si="243"/>
        <v>0</v>
      </c>
      <c r="WBG6" s="88">
        <f t="shared" si="243"/>
        <v>0</v>
      </c>
      <c r="WBH6" s="88">
        <f t="shared" si="243"/>
        <v>0</v>
      </c>
      <c r="WBI6" s="88">
        <f t="shared" si="243"/>
        <v>0</v>
      </c>
      <c r="WBJ6" s="88">
        <f t="shared" si="243"/>
        <v>0</v>
      </c>
      <c r="WBK6" s="88">
        <f t="shared" si="243"/>
        <v>0</v>
      </c>
      <c r="WBL6" s="88">
        <f t="shared" si="243"/>
        <v>0</v>
      </c>
      <c r="WBM6" s="88">
        <f t="shared" si="243"/>
        <v>0</v>
      </c>
      <c r="WBN6" s="88">
        <f t="shared" si="243"/>
        <v>0</v>
      </c>
      <c r="WBO6" s="88">
        <f t="shared" si="243"/>
        <v>0</v>
      </c>
      <c r="WBP6" s="88">
        <f t="shared" si="243"/>
        <v>0</v>
      </c>
      <c r="WBQ6" s="88">
        <f t="shared" si="243"/>
        <v>0</v>
      </c>
      <c r="WBR6" s="88">
        <f t="shared" si="243"/>
        <v>0</v>
      </c>
      <c r="WBS6" s="88">
        <f t="shared" si="243"/>
        <v>0</v>
      </c>
      <c r="WBT6" s="88">
        <f t="shared" si="243"/>
        <v>0</v>
      </c>
      <c r="WBU6" s="88">
        <f t="shared" si="243"/>
        <v>0</v>
      </c>
      <c r="WBV6" s="88">
        <f t="shared" si="243"/>
        <v>0</v>
      </c>
      <c r="WBW6" s="88">
        <f t="shared" si="243"/>
        <v>0</v>
      </c>
      <c r="WBX6" s="88">
        <f t="shared" si="243"/>
        <v>0</v>
      </c>
      <c r="WBY6" s="88">
        <f t="shared" si="243"/>
        <v>0</v>
      </c>
      <c r="WBZ6" s="88">
        <f t="shared" si="243"/>
        <v>0</v>
      </c>
      <c r="WCA6" s="88">
        <f t="shared" si="243"/>
        <v>0</v>
      </c>
      <c r="WCB6" s="88">
        <f t="shared" ref="WCB6:WEM6" si="244">SUM(WCC3:WCC5)</f>
        <v>0</v>
      </c>
      <c r="WCC6" s="88">
        <f t="shared" si="244"/>
        <v>0</v>
      </c>
      <c r="WCD6" s="88">
        <f t="shared" si="244"/>
        <v>0</v>
      </c>
      <c r="WCE6" s="88">
        <f t="shared" si="244"/>
        <v>0</v>
      </c>
      <c r="WCF6" s="88">
        <f t="shared" si="244"/>
        <v>0</v>
      </c>
      <c r="WCG6" s="88">
        <f t="shared" si="244"/>
        <v>0</v>
      </c>
      <c r="WCH6" s="88">
        <f t="shared" si="244"/>
        <v>0</v>
      </c>
      <c r="WCI6" s="88">
        <f t="shared" si="244"/>
        <v>0</v>
      </c>
      <c r="WCJ6" s="88">
        <f t="shared" si="244"/>
        <v>0</v>
      </c>
      <c r="WCK6" s="88">
        <f t="shared" si="244"/>
        <v>0</v>
      </c>
      <c r="WCL6" s="88">
        <f t="shared" si="244"/>
        <v>0</v>
      </c>
      <c r="WCM6" s="88">
        <f t="shared" si="244"/>
        <v>0</v>
      </c>
      <c r="WCN6" s="88">
        <f t="shared" si="244"/>
        <v>0</v>
      </c>
      <c r="WCO6" s="88">
        <f t="shared" si="244"/>
        <v>0</v>
      </c>
      <c r="WCP6" s="88">
        <f t="shared" si="244"/>
        <v>0</v>
      </c>
      <c r="WCQ6" s="88">
        <f t="shared" si="244"/>
        <v>0</v>
      </c>
      <c r="WCR6" s="88">
        <f t="shared" si="244"/>
        <v>0</v>
      </c>
      <c r="WCS6" s="88">
        <f t="shared" si="244"/>
        <v>0</v>
      </c>
      <c r="WCT6" s="88">
        <f t="shared" si="244"/>
        <v>0</v>
      </c>
      <c r="WCU6" s="88">
        <f t="shared" si="244"/>
        <v>0</v>
      </c>
      <c r="WCV6" s="88">
        <f t="shared" si="244"/>
        <v>0</v>
      </c>
      <c r="WCW6" s="88">
        <f t="shared" si="244"/>
        <v>0</v>
      </c>
      <c r="WCX6" s="88">
        <f t="shared" si="244"/>
        <v>0</v>
      </c>
      <c r="WCY6" s="88">
        <f t="shared" si="244"/>
        <v>0</v>
      </c>
      <c r="WCZ6" s="88">
        <f t="shared" si="244"/>
        <v>0</v>
      </c>
      <c r="WDA6" s="88">
        <f t="shared" si="244"/>
        <v>0</v>
      </c>
      <c r="WDB6" s="88">
        <f t="shared" si="244"/>
        <v>0</v>
      </c>
      <c r="WDC6" s="88">
        <f t="shared" si="244"/>
        <v>0</v>
      </c>
      <c r="WDD6" s="88">
        <f t="shared" si="244"/>
        <v>0</v>
      </c>
      <c r="WDE6" s="88">
        <f t="shared" si="244"/>
        <v>0</v>
      </c>
      <c r="WDF6" s="88">
        <f t="shared" si="244"/>
        <v>0</v>
      </c>
      <c r="WDG6" s="88">
        <f t="shared" si="244"/>
        <v>0</v>
      </c>
      <c r="WDH6" s="88">
        <f t="shared" si="244"/>
        <v>0</v>
      </c>
      <c r="WDI6" s="88">
        <f t="shared" si="244"/>
        <v>0</v>
      </c>
      <c r="WDJ6" s="88">
        <f t="shared" si="244"/>
        <v>0</v>
      </c>
      <c r="WDK6" s="88">
        <f t="shared" si="244"/>
        <v>0</v>
      </c>
      <c r="WDL6" s="88">
        <f t="shared" si="244"/>
        <v>0</v>
      </c>
      <c r="WDM6" s="88">
        <f t="shared" si="244"/>
        <v>0</v>
      </c>
      <c r="WDN6" s="88">
        <f t="shared" si="244"/>
        <v>0</v>
      </c>
      <c r="WDO6" s="88">
        <f t="shared" si="244"/>
        <v>0</v>
      </c>
      <c r="WDP6" s="88">
        <f t="shared" si="244"/>
        <v>0</v>
      </c>
      <c r="WDQ6" s="88">
        <f t="shared" si="244"/>
        <v>0</v>
      </c>
      <c r="WDR6" s="88">
        <f t="shared" si="244"/>
        <v>0</v>
      </c>
      <c r="WDS6" s="88">
        <f t="shared" si="244"/>
        <v>0</v>
      </c>
      <c r="WDT6" s="88">
        <f t="shared" si="244"/>
        <v>0</v>
      </c>
      <c r="WDU6" s="88">
        <f t="shared" si="244"/>
        <v>0</v>
      </c>
      <c r="WDV6" s="88">
        <f t="shared" si="244"/>
        <v>0</v>
      </c>
      <c r="WDW6" s="88">
        <f t="shared" si="244"/>
        <v>0</v>
      </c>
      <c r="WDX6" s="88">
        <f t="shared" si="244"/>
        <v>0</v>
      </c>
      <c r="WDY6" s="88">
        <f t="shared" si="244"/>
        <v>0</v>
      </c>
      <c r="WDZ6" s="88">
        <f t="shared" si="244"/>
        <v>0</v>
      </c>
      <c r="WEA6" s="88">
        <f t="shared" si="244"/>
        <v>0</v>
      </c>
      <c r="WEB6" s="88">
        <f t="shared" si="244"/>
        <v>0</v>
      </c>
      <c r="WEC6" s="88">
        <f t="shared" si="244"/>
        <v>0</v>
      </c>
      <c r="WED6" s="88">
        <f t="shared" si="244"/>
        <v>0</v>
      </c>
      <c r="WEE6" s="88">
        <f t="shared" si="244"/>
        <v>0</v>
      </c>
      <c r="WEF6" s="88">
        <f t="shared" si="244"/>
        <v>0</v>
      </c>
      <c r="WEG6" s="88">
        <f t="shared" si="244"/>
        <v>0</v>
      </c>
      <c r="WEH6" s="88">
        <f t="shared" si="244"/>
        <v>0</v>
      </c>
      <c r="WEI6" s="88">
        <f t="shared" si="244"/>
        <v>0</v>
      </c>
      <c r="WEJ6" s="88">
        <f t="shared" si="244"/>
        <v>0</v>
      </c>
      <c r="WEK6" s="88">
        <f t="shared" si="244"/>
        <v>0</v>
      </c>
      <c r="WEL6" s="88">
        <f t="shared" si="244"/>
        <v>0</v>
      </c>
      <c r="WEM6" s="88">
        <f t="shared" si="244"/>
        <v>0</v>
      </c>
      <c r="WEN6" s="88">
        <f t="shared" ref="WEN6:WGY6" si="245">SUM(WEO3:WEO5)</f>
        <v>0</v>
      </c>
      <c r="WEO6" s="88">
        <f t="shared" si="245"/>
        <v>0</v>
      </c>
      <c r="WEP6" s="88">
        <f t="shared" si="245"/>
        <v>0</v>
      </c>
      <c r="WEQ6" s="88">
        <f t="shared" si="245"/>
        <v>0</v>
      </c>
      <c r="WER6" s="88">
        <f t="shared" si="245"/>
        <v>0</v>
      </c>
      <c r="WES6" s="88">
        <f t="shared" si="245"/>
        <v>0</v>
      </c>
      <c r="WET6" s="88">
        <f t="shared" si="245"/>
        <v>0</v>
      </c>
      <c r="WEU6" s="88">
        <f t="shared" si="245"/>
        <v>0</v>
      </c>
      <c r="WEV6" s="88">
        <f t="shared" si="245"/>
        <v>0</v>
      </c>
      <c r="WEW6" s="88">
        <f t="shared" si="245"/>
        <v>0</v>
      </c>
      <c r="WEX6" s="88">
        <f t="shared" si="245"/>
        <v>0</v>
      </c>
      <c r="WEY6" s="88">
        <f t="shared" si="245"/>
        <v>0</v>
      </c>
      <c r="WEZ6" s="88">
        <f t="shared" si="245"/>
        <v>0</v>
      </c>
      <c r="WFA6" s="88">
        <f t="shared" si="245"/>
        <v>0</v>
      </c>
      <c r="WFB6" s="88">
        <f t="shared" si="245"/>
        <v>0</v>
      </c>
      <c r="WFC6" s="88">
        <f t="shared" si="245"/>
        <v>0</v>
      </c>
      <c r="WFD6" s="88">
        <f t="shared" si="245"/>
        <v>0</v>
      </c>
      <c r="WFE6" s="88">
        <f t="shared" si="245"/>
        <v>0</v>
      </c>
      <c r="WFF6" s="88">
        <f t="shared" si="245"/>
        <v>0</v>
      </c>
      <c r="WFG6" s="88">
        <f t="shared" si="245"/>
        <v>0</v>
      </c>
      <c r="WFH6" s="88">
        <f t="shared" si="245"/>
        <v>0</v>
      </c>
      <c r="WFI6" s="88">
        <f t="shared" si="245"/>
        <v>0</v>
      </c>
      <c r="WFJ6" s="88">
        <f t="shared" si="245"/>
        <v>0</v>
      </c>
      <c r="WFK6" s="88">
        <f t="shared" si="245"/>
        <v>0</v>
      </c>
      <c r="WFL6" s="88">
        <f t="shared" si="245"/>
        <v>0</v>
      </c>
      <c r="WFM6" s="88">
        <f t="shared" si="245"/>
        <v>0</v>
      </c>
      <c r="WFN6" s="88">
        <f t="shared" si="245"/>
        <v>0</v>
      </c>
      <c r="WFO6" s="88">
        <f t="shared" si="245"/>
        <v>0</v>
      </c>
      <c r="WFP6" s="88">
        <f t="shared" si="245"/>
        <v>0</v>
      </c>
      <c r="WFQ6" s="88">
        <f t="shared" si="245"/>
        <v>0</v>
      </c>
      <c r="WFR6" s="88">
        <f t="shared" si="245"/>
        <v>0</v>
      </c>
      <c r="WFS6" s="88">
        <f t="shared" si="245"/>
        <v>0</v>
      </c>
      <c r="WFT6" s="88">
        <f t="shared" si="245"/>
        <v>0</v>
      </c>
      <c r="WFU6" s="88">
        <f t="shared" si="245"/>
        <v>0</v>
      </c>
      <c r="WFV6" s="88">
        <f t="shared" si="245"/>
        <v>0</v>
      </c>
      <c r="WFW6" s="88">
        <f t="shared" si="245"/>
        <v>0</v>
      </c>
      <c r="WFX6" s="88">
        <f t="shared" si="245"/>
        <v>0</v>
      </c>
      <c r="WFY6" s="88">
        <f t="shared" si="245"/>
        <v>0</v>
      </c>
      <c r="WFZ6" s="88">
        <f t="shared" si="245"/>
        <v>0</v>
      </c>
      <c r="WGA6" s="88">
        <f t="shared" si="245"/>
        <v>0</v>
      </c>
      <c r="WGB6" s="88">
        <f t="shared" si="245"/>
        <v>0</v>
      </c>
      <c r="WGC6" s="88">
        <f t="shared" si="245"/>
        <v>0</v>
      </c>
      <c r="WGD6" s="88">
        <f t="shared" si="245"/>
        <v>0</v>
      </c>
      <c r="WGE6" s="88">
        <f t="shared" si="245"/>
        <v>0</v>
      </c>
      <c r="WGF6" s="88">
        <f t="shared" si="245"/>
        <v>0</v>
      </c>
      <c r="WGG6" s="88">
        <f t="shared" si="245"/>
        <v>0</v>
      </c>
      <c r="WGH6" s="88">
        <f t="shared" si="245"/>
        <v>0</v>
      </c>
      <c r="WGI6" s="88">
        <f t="shared" si="245"/>
        <v>0</v>
      </c>
      <c r="WGJ6" s="88">
        <f t="shared" si="245"/>
        <v>0</v>
      </c>
      <c r="WGK6" s="88">
        <f t="shared" si="245"/>
        <v>0</v>
      </c>
      <c r="WGL6" s="88">
        <f t="shared" si="245"/>
        <v>0</v>
      </c>
      <c r="WGM6" s="88">
        <f t="shared" si="245"/>
        <v>0</v>
      </c>
      <c r="WGN6" s="88">
        <f t="shared" si="245"/>
        <v>0</v>
      </c>
      <c r="WGO6" s="88">
        <f t="shared" si="245"/>
        <v>0</v>
      </c>
      <c r="WGP6" s="88">
        <f t="shared" si="245"/>
        <v>0</v>
      </c>
      <c r="WGQ6" s="88">
        <f t="shared" si="245"/>
        <v>0</v>
      </c>
      <c r="WGR6" s="88">
        <f t="shared" si="245"/>
        <v>0</v>
      </c>
      <c r="WGS6" s="88">
        <f t="shared" si="245"/>
        <v>0</v>
      </c>
      <c r="WGT6" s="88">
        <f t="shared" si="245"/>
        <v>0</v>
      </c>
      <c r="WGU6" s="88">
        <f t="shared" si="245"/>
        <v>0</v>
      </c>
      <c r="WGV6" s="88">
        <f t="shared" si="245"/>
        <v>0</v>
      </c>
      <c r="WGW6" s="88">
        <f t="shared" si="245"/>
        <v>0</v>
      </c>
      <c r="WGX6" s="88">
        <f t="shared" si="245"/>
        <v>0</v>
      </c>
      <c r="WGY6" s="88">
        <f t="shared" si="245"/>
        <v>0</v>
      </c>
      <c r="WGZ6" s="88">
        <f t="shared" ref="WGZ6:WJK6" si="246">SUM(WHA3:WHA5)</f>
        <v>0</v>
      </c>
      <c r="WHA6" s="88">
        <f t="shared" si="246"/>
        <v>0</v>
      </c>
      <c r="WHB6" s="88">
        <f t="shared" si="246"/>
        <v>0</v>
      </c>
      <c r="WHC6" s="88">
        <f t="shared" si="246"/>
        <v>0</v>
      </c>
      <c r="WHD6" s="88">
        <f t="shared" si="246"/>
        <v>0</v>
      </c>
      <c r="WHE6" s="88">
        <f t="shared" si="246"/>
        <v>0</v>
      </c>
      <c r="WHF6" s="88">
        <f t="shared" si="246"/>
        <v>0</v>
      </c>
      <c r="WHG6" s="88">
        <f t="shared" si="246"/>
        <v>0</v>
      </c>
      <c r="WHH6" s="88">
        <f t="shared" si="246"/>
        <v>0</v>
      </c>
      <c r="WHI6" s="88">
        <f t="shared" si="246"/>
        <v>0</v>
      </c>
      <c r="WHJ6" s="88">
        <f t="shared" si="246"/>
        <v>0</v>
      </c>
      <c r="WHK6" s="88">
        <f t="shared" si="246"/>
        <v>0</v>
      </c>
      <c r="WHL6" s="88">
        <f t="shared" si="246"/>
        <v>0</v>
      </c>
      <c r="WHM6" s="88">
        <f t="shared" si="246"/>
        <v>0</v>
      </c>
      <c r="WHN6" s="88">
        <f t="shared" si="246"/>
        <v>0</v>
      </c>
      <c r="WHO6" s="88">
        <f t="shared" si="246"/>
        <v>0</v>
      </c>
      <c r="WHP6" s="88">
        <f t="shared" si="246"/>
        <v>0</v>
      </c>
      <c r="WHQ6" s="88">
        <f t="shared" si="246"/>
        <v>0</v>
      </c>
      <c r="WHR6" s="88">
        <f t="shared" si="246"/>
        <v>0</v>
      </c>
      <c r="WHS6" s="88">
        <f t="shared" si="246"/>
        <v>0</v>
      </c>
      <c r="WHT6" s="88">
        <f t="shared" si="246"/>
        <v>0</v>
      </c>
      <c r="WHU6" s="88">
        <f t="shared" si="246"/>
        <v>0</v>
      </c>
      <c r="WHV6" s="88">
        <f t="shared" si="246"/>
        <v>0</v>
      </c>
      <c r="WHW6" s="88">
        <f t="shared" si="246"/>
        <v>0</v>
      </c>
      <c r="WHX6" s="88">
        <f t="shared" si="246"/>
        <v>0</v>
      </c>
      <c r="WHY6" s="88">
        <f t="shared" si="246"/>
        <v>0</v>
      </c>
      <c r="WHZ6" s="88">
        <f t="shared" si="246"/>
        <v>0</v>
      </c>
      <c r="WIA6" s="88">
        <f t="shared" si="246"/>
        <v>0</v>
      </c>
      <c r="WIB6" s="88">
        <f t="shared" si="246"/>
        <v>0</v>
      </c>
      <c r="WIC6" s="88">
        <f t="shared" si="246"/>
        <v>0</v>
      </c>
      <c r="WID6" s="88">
        <f t="shared" si="246"/>
        <v>0</v>
      </c>
      <c r="WIE6" s="88">
        <f t="shared" si="246"/>
        <v>0</v>
      </c>
      <c r="WIF6" s="88">
        <f t="shared" si="246"/>
        <v>0</v>
      </c>
      <c r="WIG6" s="88">
        <f t="shared" si="246"/>
        <v>0</v>
      </c>
      <c r="WIH6" s="88">
        <f t="shared" si="246"/>
        <v>0</v>
      </c>
      <c r="WII6" s="88">
        <f t="shared" si="246"/>
        <v>0</v>
      </c>
      <c r="WIJ6" s="88">
        <f t="shared" si="246"/>
        <v>0</v>
      </c>
      <c r="WIK6" s="88">
        <f t="shared" si="246"/>
        <v>0</v>
      </c>
      <c r="WIL6" s="88">
        <f t="shared" si="246"/>
        <v>0</v>
      </c>
      <c r="WIM6" s="88">
        <f t="shared" si="246"/>
        <v>0</v>
      </c>
      <c r="WIN6" s="88">
        <f t="shared" si="246"/>
        <v>0</v>
      </c>
      <c r="WIO6" s="88">
        <f t="shared" si="246"/>
        <v>0</v>
      </c>
      <c r="WIP6" s="88">
        <f t="shared" si="246"/>
        <v>0</v>
      </c>
      <c r="WIQ6" s="88">
        <f t="shared" si="246"/>
        <v>0</v>
      </c>
      <c r="WIR6" s="88">
        <f t="shared" si="246"/>
        <v>0</v>
      </c>
      <c r="WIS6" s="88">
        <f t="shared" si="246"/>
        <v>0</v>
      </c>
      <c r="WIT6" s="88">
        <f t="shared" si="246"/>
        <v>0</v>
      </c>
      <c r="WIU6" s="88">
        <f t="shared" si="246"/>
        <v>0</v>
      </c>
      <c r="WIV6" s="88">
        <f t="shared" si="246"/>
        <v>0</v>
      </c>
      <c r="WIW6" s="88">
        <f t="shared" si="246"/>
        <v>0</v>
      </c>
      <c r="WIX6" s="88">
        <f t="shared" si="246"/>
        <v>0</v>
      </c>
      <c r="WIY6" s="88">
        <f t="shared" si="246"/>
        <v>0</v>
      </c>
      <c r="WIZ6" s="88">
        <f t="shared" si="246"/>
        <v>0</v>
      </c>
      <c r="WJA6" s="88">
        <f t="shared" si="246"/>
        <v>0</v>
      </c>
      <c r="WJB6" s="88">
        <f t="shared" si="246"/>
        <v>0</v>
      </c>
      <c r="WJC6" s="88">
        <f t="shared" si="246"/>
        <v>0</v>
      </c>
      <c r="WJD6" s="88">
        <f t="shared" si="246"/>
        <v>0</v>
      </c>
      <c r="WJE6" s="88">
        <f t="shared" si="246"/>
        <v>0</v>
      </c>
      <c r="WJF6" s="88">
        <f t="shared" si="246"/>
        <v>0</v>
      </c>
      <c r="WJG6" s="88">
        <f t="shared" si="246"/>
        <v>0</v>
      </c>
      <c r="WJH6" s="88">
        <f t="shared" si="246"/>
        <v>0</v>
      </c>
      <c r="WJI6" s="88">
        <f t="shared" si="246"/>
        <v>0</v>
      </c>
      <c r="WJJ6" s="88">
        <f t="shared" si="246"/>
        <v>0</v>
      </c>
      <c r="WJK6" s="88">
        <f t="shared" si="246"/>
        <v>0</v>
      </c>
      <c r="WJL6" s="88">
        <f t="shared" ref="WJL6:WLW6" si="247">SUM(WJM3:WJM5)</f>
        <v>0</v>
      </c>
      <c r="WJM6" s="88">
        <f t="shared" si="247"/>
        <v>0</v>
      </c>
      <c r="WJN6" s="88">
        <f t="shared" si="247"/>
        <v>0</v>
      </c>
      <c r="WJO6" s="88">
        <f t="shared" si="247"/>
        <v>0</v>
      </c>
      <c r="WJP6" s="88">
        <f t="shared" si="247"/>
        <v>0</v>
      </c>
      <c r="WJQ6" s="88">
        <f t="shared" si="247"/>
        <v>0</v>
      </c>
      <c r="WJR6" s="88">
        <f t="shared" si="247"/>
        <v>0</v>
      </c>
      <c r="WJS6" s="88">
        <f t="shared" si="247"/>
        <v>0</v>
      </c>
      <c r="WJT6" s="88">
        <f t="shared" si="247"/>
        <v>0</v>
      </c>
      <c r="WJU6" s="88">
        <f t="shared" si="247"/>
        <v>0</v>
      </c>
      <c r="WJV6" s="88">
        <f t="shared" si="247"/>
        <v>0</v>
      </c>
      <c r="WJW6" s="88">
        <f t="shared" si="247"/>
        <v>0</v>
      </c>
      <c r="WJX6" s="88">
        <f t="shared" si="247"/>
        <v>0</v>
      </c>
      <c r="WJY6" s="88">
        <f t="shared" si="247"/>
        <v>0</v>
      </c>
      <c r="WJZ6" s="88">
        <f t="shared" si="247"/>
        <v>0</v>
      </c>
      <c r="WKA6" s="88">
        <f t="shared" si="247"/>
        <v>0</v>
      </c>
      <c r="WKB6" s="88">
        <f t="shared" si="247"/>
        <v>0</v>
      </c>
      <c r="WKC6" s="88">
        <f t="shared" si="247"/>
        <v>0</v>
      </c>
      <c r="WKD6" s="88">
        <f t="shared" si="247"/>
        <v>0</v>
      </c>
      <c r="WKE6" s="88">
        <f t="shared" si="247"/>
        <v>0</v>
      </c>
      <c r="WKF6" s="88">
        <f t="shared" si="247"/>
        <v>0</v>
      </c>
      <c r="WKG6" s="88">
        <f t="shared" si="247"/>
        <v>0</v>
      </c>
      <c r="WKH6" s="88">
        <f t="shared" si="247"/>
        <v>0</v>
      </c>
      <c r="WKI6" s="88">
        <f t="shared" si="247"/>
        <v>0</v>
      </c>
      <c r="WKJ6" s="88">
        <f t="shared" si="247"/>
        <v>0</v>
      </c>
      <c r="WKK6" s="88">
        <f t="shared" si="247"/>
        <v>0</v>
      </c>
      <c r="WKL6" s="88">
        <f t="shared" si="247"/>
        <v>0</v>
      </c>
      <c r="WKM6" s="88">
        <f t="shared" si="247"/>
        <v>0</v>
      </c>
      <c r="WKN6" s="88">
        <f t="shared" si="247"/>
        <v>0</v>
      </c>
      <c r="WKO6" s="88">
        <f t="shared" si="247"/>
        <v>0</v>
      </c>
      <c r="WKP6" s="88">
        <f t="shared" si="247"/>
        <v>0</v>
      </c>
      <c r="WKQ6" s="88">
        <f t="shared" si="247"/>
        <v>0</v>
      </c>
      <c r="WKR6" s="88">
        <f t="shared" si="247"/>
        <v>0</v>
      </c>
      <c r="WKS6" s="88">
        <f t="shared" si="247"/>
        <v>0</v>
      </c>
      <c r="WKT6" s="88">
        <f t="shared" si="247"/>
        <v>0</v>
      </c>
      <c r="WKU6" s="88">
        <f t="shared" si="247"/>
        <v>0</v>
      </c>
      <c r="WKV6" s="88">
        <f t="shared" si="247"/>
        <v>0</v>
      </c>
      <c r="WKW6" s="88">
        <f t="shared" si="247"/>
        <v>0</v>
      </c>
      <c r="WKX6" s="88">
        <f t="shared" si="247"/>
        <v>0</v>
      </c>
      <c r="WKY6" s="88">
        <f t="shared" si="247"/>
        <v>0</v>
      </c>
      <c r="WKZ6" s="88">
        <f t="shared" si="247"/>
        <v>0</v>
      </c>
      <c r="WLA6" s="88">
        <f t="shared" si="247"/>
        <v>0</v>
      </c>
      <c r="WLB6" s="88">
        <f t="shared" si="247"/>
        <v>0</v>
      </c>
      <c r="WLC6" s="88">
        <f t="shared" si="247"/>
        <v>0</v>
      </c>
      <c r="WLD6" s="88">
        <f t="shared" si="247"/>
        <v>0</v>
      </c>
      <c r="WLE6" s="88">
        <f t="shared" si="247"/>
        <v>0</v>
      </c>
      <c r="WLF6" s="88">
        <f t="shared" si="247"/>
        <v>0</v>
      </c>
      <c r="WLG6" s="88">
        <f t="shared" si="247"/>
        <v>0</v>
      </c>
      <c r="WLH6" s="88">
        <f t="shared" si="247"/>
        <v>0</v>
      </c>
      <c r="WLI6" s="88">
        <f t="shared" si="247"/>
        <v>0</v>
      </c>
      <c r="WLJ6" s="88">
        <f t="shared" si="247"/>
        <v>0</v>
      </c>
      <c r="WLK6" s="88">
        <f t="shared" si="247"/>
        <v>0</v>
      </c>
      <c r="WLL6" s="88">
        <f t="shared" si="247"/>
        <v>0</v>
      </c>
      <c r="WLM6" s="88">
        <f t="shared" si="247"/>
        <v>0</v>
      </c>
      <c r="WLN6" s="88">
        <f t="shared" si="247"/>
        <v>0</v>
      </c>
      <c r="WLO6" s="88">
        <f t="shared" si="247"/>
        <v>0</v>
      </c>
      <c r="WLP6" s="88">
        <f t="shared" si="247"/>
        <v>0</v>
      </c>
      <c r="WLQ6" s="88">
        <f t="shared" si="247"/>
        <v>0</v>
      </c>
      <c r="WLR6" s="88">
        <f t="shared" si="247"/>
        <v>0</v>
      </c>
      <c r="WLS6" s="88">
        <f t="shared" si="247"/>
        <v>0</v>
      </c>
      <c r="WLT6" s="88">
        <f t="shared" si="247"/>
        <v>0</v>
      </c>
      <c r="WLU6" s="88">
        <f t="shared" si="247"/>
        <v>0</v>
      </c>
      <c r="WLV6" s="88">
        <f t="shared" si="247"/>
        <v>0</v>
      </c>
      <c r="WLW6" s="88">
        <f t="shared" si="247"/>
        <v>0</v>
      </c>
      <c r="WLX6" s="88">
        <f t="shared" ref="WLX6:WOI6" si="248">SUM(WLY3:WLY5)</f>
        <v>0</v>
      </c>
      <c r="WLY6" s="88">
        <f t="shared" si="248"/>
        <v>0</v>
      </c>
      <c r="WLZ6" s="88">
        <f t="shared" si="248"/>
        <v>0</v>
      </c>
      <c r="WMA6" s="88">
        <f t="shared" si="248"/>
        <v>0</v>
      </c>
      <c r="WMB6" s="88">
        <f t="shared" si="248"/>
        <v>0</v>
      </c>
      <c r="WMC6" s="88">
        <f t="shared" si="248"/>
        <v>0</v>
      </c>
      <c r="WMD6" s="88">
        <f t="shared" si="248"/>
        <v>0</v>
      </c>
      <c r="WME6" s="88">
        <f t="shared" si="248"/>
        <v>0</v>
      </c>
      <c r="WMF6" s="88">
        <f t="shared" si="248"/>
        <v>0</v>
      </c>
      <c r="WMG6" s="88">
        <f t="shared" si="248"/>
        <v>0</v>
      </c>
      <c r="WMH6" s="88">
        <f t="shared" si="248"/>
        <v>0</v>
      </c>
      <c r="WMI6" s="88">
        <f t="shared" si="248"/>
        <v>0</v>
      </c>
      <c r="WMJ6" s="88">
        <f t="shared" si="248"/>
        <v>0</v>
      </c>
      <c r="WMK6" s="88">
        <f t="shared" si="248"/>
        <v>0</v>
      </c>
      <c r="WML6" s="88">
        <f t="shared" si="248"/>
        <v>0</v>
      </c>
      <c r="WMM6" s="88">
        <f t="shared" si="248"/>
        <v>0</v>
      </c>
      <c r="WMN6" s="88">
        <f t="shared" si="248"/>
        <v>0</v>
      </c>
      <c r="WMO6" s="88">
        <f t="shared" si="248"/>
        <v>0</v>
      </c>
      <c r="WMP6" s="88">
        <f t="shared" si="248"/>
        <v>0</v>
      </c>
      <c r="WMQ6" s="88">
        <f t="shared" si="248"/>
        <v>0</v>
      </c>
      <c r="WMR6" s="88">
        <f t="shared" si="248"/>
        <v>0</v>
      </c>
      <c r="WMS6" s="88">
        <f t="shared" si="248"/>
        <v>0</v>
      </c>
      <c r="WMT6" s="88">
        <f t="shared" si="248"/>
        <v>0</v>
      </c>
      <c r="WMU6" s="88">
        <f t="shared" si="248"/>
        <v>0</v>
      </c>
      <c r="WMV6" s="88">
        <f t="shared" si="248"/>
        <v>0</v>
      </c>
      <c r="WMW6" s="88">
        <f t="shared" si="248"/>
        <v>0</v>
      </c>
      <c r="WMX6" s="88">
        <f t="shared" si="248"/>
        <v>0</v>
      </c>
      <c r="WMY6" s="88">
        <f t="shared" si="248"/>
        <v>0</v>
      </c>
      <c r="WMZ6" s="88">
        <f t="shared" si="248"/>
        <v>0</v>
      </c>
      <c r="WNA6" s="88">
        <f t="shared" si="248"/>
        <v>0</v>
      </c>
      <c r="WNB6" s="88">
        <f t="shared" si="248"/>
        <v>0</v>
      </c>
      <c r="WNC6" s="88">
        <f t="shared" si="248"/>
        <v>0</v>
      </c>
      <c r="WND6" s="88">
        <f t="shared" si="248"/>
        <v>0</v>
      </c>
      <c r="WNE6" s="88">
        <f t="shared" si="248"/>
        <v>0</v>
      </c>
      <c r="WNF6" s="88">
        <f t="shared" si="248"/>
        <v>0</v>
      </c>
      <c r="WNG6" s="88">
        <f t="shared" si="248"/>
        <v>0</v>
      </c>
      <c r="WNH6" s="88">
        <f t="shared" si="248"/>
        <v>0</v>
      </c>
      <c r="WNI6" s="88">
        <f t="shared" si="248"/>
        <v>0</v>
      </c>
      <c r="WNJ6" s="88">
        <f t="shared" si="248"/>
        <v>0</v>
      </c>
      <c r="WNK6" s="88">
        <f t="shared" si="248"/>
        <v>0</v>
      </c>
      <c r="WNL6" s="88">
        <f t="shared" si="248"/>
        <v>0</v>
      </c>
      <c r="WNM6" s="88">
        <f t="shared" si="248"/>
        <v>0</v>
      </c>
      <c r="WNN6" s="88">
        <f t="shared" si="248"/>
        <v>0</v>
      </c>
      <c r="WNO6" s="88">
        <f t="shared" si="248"/>
        <v>0</v>
      </c>
      <c r="WNP6" s="88">
        <f t="shared" si="248"/>
        <v>0</v>
      </c>
      <c r="WNQ6" s="88">
        <f t="shared" si="248"/>
        <v>0</v>
      </c>
      <c r="WNR6" s="88">
        <f t="shared" si="248"/>
        <v>0</v>
      </c>
      <c r="WNS6" s="88">
        <f t="shared" si="248"/>
        <v>0</v>
      </c>
      <c r="WNT6" s="88">
        <f t="shared" si="248"/>
        <v>0</v>
      </c>
      <c r="WNU6" s="88">
        <f t="shared" si="248"/>
        <v>0</v>
      </c>
      <c r="WNV6" s="88">
        <f t="shared" si="248"/>
        <v>0</v>
      </c>
      <c r="WNW6" s="88">
        <f t="shared" si="248"/>
        <v>0</v>
      </c>
      <c r="WNX6" s="88">
        <f t="shared" si="248"/>
        <v>0</v>
      </c>
      <c r="WNY6" s="88">
        <f t="shared" si="248"/>
        <v>0</v>
      </c>
      <c r="WNZ6" s="88">
        <f t="shared" si="248"/>
        <v>0</v>
      </c>
      <c r="WOA6" s="88">
        <f t="shared" si="248"/>
        <v>0</v>
      </c>
      <c r="WOB6" s="88">
        <f t="shared" si="248"/>
        <v>0</v>
      </c>
      <c r="WOC6" s="88">
        <f t="shared" si="248"/>
        <v>0</v>
      </c>
      <c r="WOD6" s="88">
        <f t="shared" si="248"/>
        <v>0</v>
      </c>
      <c r="WOE6" s="88">
        <f t="shared" si="248"/>
        <v>0</v>
      </c>
      <c r="WOF6" s="88">
        <f t="shared" si="248"/>
        <v>0</v>
      </c>
      <c r="WOG6" s="88">
        <f t="shared" si="248"/>
        <v>0</v>
      </c>
      <c r="WOH6" s="88">
        <f t="shared" si="248"/>
        <v>0</v>
      </c>
      <c r="WOI6" s="88">
        <f t="shared" si="248"/>
        <v>0</v>
      </c>
      <c r="WOJ6" s="88">
        <f t="shared" ref="WOJ6:WQU6" si="249">SUM(WOK3:WOK5)</f>
        <v>0</v>
      </c>
      <c r="WOK6" s="88">
        <f t="shared" si="249"/>
        <v>0</v>
      </c>
      <c r="WOL6" s="88">
        <f t="shared" si="249"/>
        <v>0</v>
      </c>
      <c r="WOM6" s="88">
        <f t="shared" si="249"/>
        <v>0</v>
      </c>
      <c r="WON6" s="88">
        <f t="shared" si="249"/>
        <v>0</v>
      </c>
      <c r="WOO6" s="88">
        <f t="shared" si="249"/>
        <v>0</v>
      </c>
      <c r="WOP6" s="88">
        <f t="shared" si="249"/>
        <v>0</v>
      </c>
      <c r="WOQ6" s="88">
        <f t="shared" si="249"/>
        <v>0</v>
      </c>
      <c r="WOR6" s="88">
        <f t="shared" si="249"/>
        <v>0</v>
      </c>
      <c r="WOS6" s="88">
        <f t="shared" si="249"/>
        <v>0</v>
      </c>
      <c r="WOT6" s="88">
        <f t="shared" si="249"/>
        <v>0</v>
      </c>
      <c r="WOU6" s="88">
        <f t="shared" si="249"/>
        <v>0</v>
      </c>
      <c r="WOV6" s="88">
        <f t="shared" si="249"/>
        <v>0</v>
      </c>
      <c r="WOW6" s="88">
        <f t="shared" si="249"/>
        <v>0</v>
      </c>
      <c r="WOX6" s="88">
        <f t="shared" si="249"/>
        <v>0</v>
      </c>
      <c r="WOY6" s="88">
        <f t="shared" si="249"/>
        <v>0</v>
      </c>
      <c r="WOZ6" s="88">
        <f t="shared" si="249"/>
        <v>0</v>
      </c>
      <c r="WPA6" s="88">
        <f t="shared" si="249"/>
        <v>0</v>
      </c>
      <c r="WPB6" s="88">
        <f t="shared" si="249"/>
        <v>0</v>
      </c>
      <c r="WPC6" s="88">
        <f t="shared" si="249"/>
        <v>0</v>
      </c>
      <c r="WPD6" s="88">
        <f t="shared" si="249"/>
        <v>0</v>
      </c>
      <c r="WPE6" s="88">
        <f t="shared" si="249"/>
        <v>0</v>
      </c>
      <c r="WPF6" s="88">
        <f t="shared" si="249"/>
        <v>0</v>
      </c>
      <c r="WPG6" s="88">
        <f t="shared" si="249"/>
        <v>0</v>
      </c>
      <c r="WPH6" s="88">
        <f t="shared" si="249"/>
        <v>0</v>
      </c>
      <c r="WPI6" s="88">
        <f t="shared" si="249"/>
        <v>0</v>
      </c>
      <c r="WPJ6" s="88">
        <f t="shared" si="249"/>
        <v>0</v>
      </c>
      <c r="WPK6" s="88">
        <f t="shared" si="249"/>
        <v>0</v>
      </c>
      <c r="WPL6" s="88">
        <f t="shared" si="249"/>
        <v>0</v>
      </c>
      <c r="WPM6" s="88">
        <f t="shared" si="249"/>
        <v>0</v>
      </c>
      <c r="WPN6" s="88">
        <f t="shared" si="249"/>
        <v>0</v>
      </c>
      <c r="WPO6" s="88">
        <f t="shared" si="249"/>
        <v>0</v>
      </c>
      <c r="WPP6" s="88">
        <f t="shared" si="249"/>
        <v>0</v>
      </c>
      <c r="WPQ6" s="88">
        <f t="shared" si="249"/>
        <v>0</v>
      </c>
      <c r="WPR6" s="88">
        <f t="shared" si="249"/>
        <v>0</v>
      </c>
      <c r="WPS6" s="88">
        <f t="shared" si="249"/>
        <v>0</v>
      </c>
      <c r="WPT6" s="88">
        <f t="shared" si="249"/>
        <v>0</v>
      </c>
      <c r="WPU6" s="88">
        <f t="shared" si="249"/>
        <v>0</v>
      </c>
      <c r="WPV6" s="88">
        <f t="shared" si="249"/>
        <v>0</v>
      </c>
      <c r="WPW6" s="88">
        <f t="shared" si="249"/>
        <v>0</v>
      </c>
      <c r="WPX6" s="88">
        <f t="shared" si="249"/>
        <v>0</v>
      </c>
      <c r="WPY6" s="88">
        <f t="shared" si="249"/>
        <v>0</v>
      </c>
      <c r="WPZ6" s="88">
        <f t="shared" si="249"/>
        <v>0</v>
      </c>
      <c r="WQA6" s="88">
        <f t="shared" si="249"/>
        <v>0</v>
      </c>
      <c r="WQB6" s="88">
        <f t="shared" si="249"/>
        <v>0</v>
      </c>
      <c r="WQC6" s="88">
        <f t="shared" si="249"/>
        <v>0</v>
      </c>
      <c r="WQD6" s="88">
        <f t="shared" si="249"/>
        <v>0</v>
      </c>
      <c r="WQE6" s="88">
        <f t="shared" si="249"/>
        <v>0</v>
      </c>
      <c r="WQF6" s="88">
        <f t="shared" si="249"/>
        <v>0</v>
      </c>
      <c r="WQG6" s="88">
        <f t="shared" si="249"/>
        <v>0</v>
      </c>
      <c r="WQH6" s="88">
        <f t="shared" si="249"/>
        <v>0</v>
      </c>
      <c r="WQI6" s="88">
        <f t="shared" si="249"/>
        <v>0</v>
      </c>
      <c r="WQJ6" s="88">
        <f t="shared" si="249"/>
        <v>0</v>
      </c>
      <c r="WQK6" s="88">
        <f t="shared" si="249"/>
        <v>0</v>
      </c>
      <c r="WQL6" s="88">
        <f t="shared" si="249"/>
        <v>0</v>
      </c>
      <c r="WQM6" s="88">
        <f t="shared" si="249"/>
        <v>0</v>
      </c>
      <c r="WQN6" s="88">
        <f t="shared" si="249"/>
        <v>0</v>
      </c>
      <c r="WQO6" s="88">
        <f t="shared" si="249"/>
        <v>0</v>
      </c>
      <c r="WQP6" s="88">
        <f t="shared" si="249"/>
        <v>0</v>
      </c>
      <c r="WQQ6" s="88">
        <f t="shared" si="249"/>
        <v>0</v>
      </c>
      <c r="WQR6" s="88">
        <f t="shared" si="249"/>
        <v>0</v>
      </c>
      <c r="WQS6" s="88">
        <f t="shared" si="249"/>
        <v>0</v>
      </c>
      <c r="WQT6" s="88">
        <f t="shared" si="249"/>
        <v>0</v>
      </c>
      <c r="WQU6" s="88">
        <f t="shared" si="249"/>
        <v>0</v>
      </c>
      <c r="WQV6" s="88">
        <f t="shared" ref="WQV6:WTG6" si="250">SUM(WQW3:WQW5)</f>
        <v>0</v>
      </c>
      <c r="WQW6" s="88">
        <f t="shared" si="250"/>
        <v>0</v>
      </c>
      <c r="WQX6" s="88">
        <f t="shared" si="250"/>
        <v>0</v>
      </c>
      <c r="WQY6" s="88">
        <f t="shared" si="250"/>
        <v>0</v>
      </c>
      <c r="WQZ6" s="88">
        <f t="shared" si="250"/>
        <v>0</v>
      </c>
      <c r="WRA6" s="88">
        <f t="shared" si="250"/>
        <v>0</v>
      </c>
      <c r="WRB6" s="88">
        <f t="shared" si="250"/>
        <v>0</v>
      </c>
      <c r="WRC6" s="88">
        <f t="shared" si="250"/>
        <v>0</v>
      </c>
      <c r="WRD6" s="88">
        <f t="shared" si="250"/>
        <v>0</v>
      </c>
      <c r="WRE6" s="88">
        <f t="shared" si="250"/>
        <v>0</v>
      </c>
      <c r="WRF6" s="88">
        <f t="shared" si="250"/>
        <v>0</v>
      </c>
      <c r="WRG6" s="88">
        <f t="shared" si="250"/>
        <v>0</v>
      </c>
      <c r="WRH6" s="88">
        <f t="shared" si="250"/>
        <v>0</v>
      </c>
      <c r="WRI6" s="88">
        <f t="shared" si="250"/>
        <v>0</v>
      </c>
      <c r="WRJ6" s="88">
        <f t="shared" si="250"/>
        <v>0</v>
      </c>
      <c r="WRK6" s="88">
        <f t="shared" si="250"/>
        <v>0</v>
      </c>
      <c r="WRL6" s="88">
        <f t="shared" si="250"/>
        <v>0</v>
      </c>
      <c r="WRM6" s="88">
        <f t="shared" si="250"/>
        <v>0</v>
      </c>
      <c r="WRN6" s="88">
        <f t="shared" si="250"/>
        <v>0</v>
      </c>
      <c r="WRO6" s="88">
        <f t="shared" si="250"/>
        <v>0</v>
      </c>
      <c r="WRP6" s="88">
        <f t="shared" si="250"/>
        <v>0</v>
      </c>
      <c r="WRQ6" s="88">
        <f t="shared" si="250"/>
        <v>0</v>
      </c>
      <c r="WRR6" s="88">
        <f t="shared" si="250"/>
        <v>0</v>
      </c>
      <c r="WRS6" s="88">
        <f t="shared" si="250"/>
        <v>0</v>
      </c>
      <c r="WRT6" s="88">
        <f t="shared" si="250"/>
        <v>0</v>
      </c>
      <c r="WRU6" s="88">
        <f t="shared" si="250"/>
        <v>0</v>
      </c>
      <c r="WRV6" s="88">
        <f t="shared" si="250"/>
        <v>0</v>
      </c>
      <c r="WRW6" s="88">
        <f t="shared" si="250"/>
        <v>0</v>
      </c>
      <c r="WRX6" s="88">
        <f t="shared" si="250"/>
        <v>0</v>
      </c>
      <c r="WRY6" s="88">
        <f t="shared" si="250"/>
        <v>0</v>
      </c>
      <c r="WRZ6" s="88">
        <f t="shared" si="250"/>
        <v>0</v>
      </c>
      <c r="WSA6" s="88">
        <f t="shared" si="250"/>
        <v>0</v>
      </c>
      <c r="WSB6" s="88">
        <f t="shared" si="250"/>
        <v>0</v>
      </c>
      <c r="WSC6" s="88">
        <f t="shared" si="250"/>
        <v>0</v>
      </c>
      <c r="WSD6" s="88">
        <f t="shared" si="250"/>
        <v>0</v>
      </c>
      <c r="WSE6" s="88">
        <f t="shared" si="250"/>
        <v>0</v>
      </c>
      <c r="WSF6" s="88">
        <f t="shared" si="250"/>
        <v>0</v>
      </c>
      <c r="WSG6" s="88">
        <f t="shared" si="250"/>
        <v>0</v>
      </c>
      <c r="WSH6" s="88">
        <f t="shared" si="250"/>
        <v>0</v>
      </c>
      <c r="WSI6" s="88">
        <f t="shared" si="250"/>
        <v>0</v>
      </c>
      <c r="WSJ6" s="88">
        <f t="shared" si="250"/>
        <v>0</v>
      </c>
      <c r="WSK6" s="88">
        <f t="shared" si="250"/>
        <v>0</v>
      </c>
      <c r="WSL6" s="88">
        <f t="shared" si="250"/>
        <v>0</v>
      </c>
      <c r="WSM6" s="88">
        <f t="shared" si="250"/>
        <v>0</v>
      </c>
      <c r="WSN6" s="88">
        <f t="shared" si="250"/>
        <v>0</v>
      </c>
      <c r="WSO6" s="88">
        <f t="shared" si="250"/>
        <v>0</v>
      </c>
      <c r="WSP6" s="88">
        <f t="shared" si="250"/>
        <v>0</v>
      </c>
      <c r="WSQ6" s="88">
        <f t="shared" si="250"/>
        <v>0</v>
      </c>
      <c r="WSR6" s="88">
        <f t="shared" si="250"/>
        <v>0</v>
      </c>
      <c r="WSS6" s="88">
        <f t="shared" si="250"/>
        <v>0</v>
      </c>
      <c r="WST6" s="88">
        <f t="shared" si="250"/>
        <v>0</v>
      </c>
      <c r="WSU6" s="88">
        <f t="shared" si="250"/>
        <v>0</v>
      </c>
      <c r="WSV6" s="88">
        <f t="shared" si="250"/>
        <v>0</v>
      </c>
      <c r="WSW6" s="88">
        <f t="shared" si="250"/>
        <v>0</v>
      </c>
      <c r="WSX6" s="88">
        <f t="shared" si="250"/>
        <v>0</v>
      </c>
      <c r="WSY6" s="88">
        <f t="shared" si="250"/>
        <v>0</v>
      </c>
      <c r="WSZ6" s="88">
        <f t="shared" si="250"/>
        <v>0</v>
      </c>
      <c r="WTA6" s="88">
        <f t="shared" si="250"/>
        <v>0</v>
      </c>
      <c r="WTB6" s="88">
        <f t="shared" si="250"/>
        <v>0</v>
      </c>
      <c r="WTC6" s="88">
        <f t="shared" si="250"/>
        <v>0</v>
      </c>
      <c r="WTD6" s="88">
        <f t="shared" si="250"/>
        <v>0</v>
      </c>
      <c r="WTE6" s="88">
        <f t="shared" si="250"/>
        <v>0</v>
      </c>
      <c r="WTF6" s="88">
        <f t="shared" si="250"/>
        <v>0</v>
      </c>
      <c r="WTG6" s="88">
        <f t="shared" si="250"/>
        <v>0</v>
      </c>
      <c r="WTH6" s="88">
        <f t="shared" ref="WTH6:WVS6" si="251">SUM(WTI3:WTI5)</f>
        <v>0</v>
      </c>
      <c r="WTI6" s="88">
        <f t="shared" si="251"/>
        <v>0</v>
      </c>
      <c r="WTJ6" s="88">
        <f t="shared" si="251"/>
        <v>0</v>
      </c>
      <c r="WTK6" s="88">
        <f t="shared" si="251"/>
        <v>0</v>
      </c>
      <c r="WTL6" s="88">
        <f t="shared" si="251"/>
        <v>0</v>
      </c>
      <c r="WTM6" s="88">
        <f t="shared" si="251"/>
        <v>0</v>
      </c>
      <c r="WTN6" s="88">
        <f t="shared" si="251"/>
        <v>0</v>
      </c>
      <c r="WTO6" s="88">
        <f t="shared" si="251"/>
        <v>0</v>
      </c>
      <c r="WTP6" s="88">
        <f t="shared" si="251"/>
        <v>0</v>
      </c>
      <c r="WTQ6" s="88">
        <f t="shared" si="251"/>
        <v>0</v>
      </c>
      <c r="WTR6" s="88">
        <f t="shared" si="251"/>
        <v>0</v>
      </c>
      <c r="WTS6" s="88">
        <f t="shared" si="251"/>
        <v>0</v>
      </c>
      <c r="WTT6" s="88">
        <f t="shared" si="251"/>
        <v>0</v>
      </c>
      <c r="WTU6" s="88">
        <f t="shared" si="251"/>
        <v>0</v>
      </c>
      <c r="WTV6" s="88">
        <f t="shared" si="251"/>
        <v>0</v>
      </c>
      <c r="WTW6" s="88">
        <f t="shared" si="251"/>
        <v>0</v>
      </c>
      <c r="WTX6" s="88">
        <f t="shared" si="251"/>
        <v>0</v>
      </c>
      <c r="WTY6" s="88">
        <f t="shared" si="251"/>
        <v>0</v>
      </c>
      <c r="WTZ6" s="88">
        <f t="shared" si="251"/>
        <v>0</v>
      </c>
      <c r="WUA6" s="88">
        <f t="shared" si="251"/>
        <v>0</v>
      </c>
      <c r="WUB6" s="88">
        <f t="shared" si="251"/>
        <v>0</v>
      </c>
      <c r="WUC6" s="88">
        <f t="shared" si="251"/>
        <v>0</v>
      </c>
      <c r="WUD6" s="88">
        <f t="shared" si="251"/>
        <v>0</v>
      </c>
      <c r="WUE6" s="88">
        <f t="shared" si="251"/>
        <v>0</v>
      </c>
      <c r="WUF6" s="88">
        <f t="shared" si="251"/>
        <v>0</v>
      </c>
      <c r="WUG6" s="88">
        <f t="shared" si="251"/>
        <v>0</v>
      </c>
      <c r="WUH6" s="88">
        <f t="shared" si="251"/>
        <v>0</v>
      </c>
      <c r="WUI6" s="88">
        <f t="shared" si="251"/>
        <v>0</v>
      </c>
      <c r="WUJ6" s="88">
        <f t="shared" si="251"/>
        <v>0</v>
      </c>
      <c r="WUK6" s="88">
        <f t="shared" si="251"/>
        <v>0</v>
      </c>
      <c r="WUL6" s="88">
        <f t="shared" si="251"/>
        <v>0</v>
      </c>
      <c r="WUM6" s="88">
        <f t="shared" si="251"/>
        <v>0</v>
      </c>
      <c r="WUN6" s="88">
        <f t="shared" si="251"/>
        <v>0</v>
      </c>
      <c r="WUO6" s="88">
        <f t="shared" si="251"/>
        <v>0</v>
      </c>
      <c r="WUP6" s="88">
        <f t="shared" si="251"/>
        <v>0</v>
      </c>
      <c r="WUQ6" s="88">
        <f t="shared" si="251"/>
        <v>0</v>
      </c>
      <c r="WUR6" s="88">
        <f t="shared" si="251"/>
        <v>0</v>
      </c>
      <c r="WUS6" s="88">
        <f t="shared" si="251"/>
        <v>0</v>
      </c>
      <c r="WUT6" s="88">
        <f t="shared" si="251"/>
        <v>0</v>
      </c>
      <c r="WUU6" s="88">
        <f t="shared" si="251"/>
        <v>0</v>
      </c>
      <c r="WUV6" s="88">
        <f t="shared" si="251"/>
        <v>0</v>
      </c>
      <c r="WUW6" s="88">
        <f t="shared" si="251"/>
        <v>0</v>
      </c>
      <c r="WUX6" s="88">
        <f t="shared" si="251"/>
        <v>0</v>
      </c>
      <c r="WUY6" s="88">
        <f t="shared" si="251"/>
        <v>0</v>
      </c>
      <c r="WUZ6" s="88">
        <f t="shared" si="251"/>
        <v>0</v>
      </c>
      <c r="WVA6" s="88">
        <f t="shared" si="251"/>
        <v>0</v>
      </c>
      <c r="WVB6" s="88">
        <f t="shared" si="251"/>
        <v>0</v>
      </c>
      <c r="WVC6" s="88">
        <f t="shared" si="251"/>
        <v>0</v>
      </c>
      <c r="WVD6" s="88">
        <f t="shared" si="251"/>
        <v>0</v>
      </c>
      <c r="WVE6" s="88">
        <f t="shared" si="251"/>
        <v>0</v>
      </c>
      <c r="WVF6" s="88">
        <f t="shared" si="251"/>
        <v>0</v>
      </c>
      <c r="WVG6" s="88">
        <f t="shared" si="251"/>
        <v>0</v>
      </c>
      <c r="WVH6" s="88">
        <f t="shared" si="251"/>
        <v>0</v>
      </c>
      <c r="WVI6" s="88">
        <f t="shared" si="251"/>
        <v>0</v>
      </c>
      <c r="WVJ6" s="88">
        <f t="shared" si="251"/>
        <v>0</v>
      </c>
      <c r="WVK6" s="88">
        <f t="shared" si="251"/>
        <v>0</v>
      </c>
      <c r="WVL6" s="88">
        <f t="shared" si="251"/>
        <v>0</v>
      </c>
      <c r="WVM6" s="88">
        <f t="shared" si="251"/>
        <v>0</v>
      </c>
      <c r="WVN6" s="88">
        <f t="shared" si="251"/>
        <v>0</v>
      </c>
      <c r="WVO6" s="88">
        <f t="shared" si="251"/>
        <v>0</v>
      </c>
      <c r="WVP6" s="88">
        <f t="shared" si="251"/>
        <v>0</v>
      </c>
      <c r="WVQ6" s="88">
        <f t="shared" si="251"/>
        <v>0</v>
      </c>
      <c r="WVR6" s="88">
        <f t="shared" si="251"/>
        <v>0</v>
      </c>
      <c r="WVS6" s="88">
        <f t="shared" si="251"/>
        <v>0</v>
      </c>
      <c r="WVT6" s="88">
        <f t="shared" ref="WVT6:WYE6" si="252">SUM(WVU3:WVU5)</f>
        <v>0</v>
      </c>
      <c r="WVU6" s="88">
        <f t="shared" si="252"/>
        <v>0</v>
      </c>
      <c r="WVV6" s="88">
        <f t="shared" si="252"/>
        <v>0</v>
      </c>
      <c r="WVW6" s="88">
        <f t="shared" si="252"/>
        <v>0</v>
      </c>
      <c r="WVX6" s="88">
        <f t="shared" si="252"/>
        <v>0</v>
      </c>
      <c r="WVY6" s="88">
        <f t="shared" si="252"/>
        <v>0</v>
      </c>
      <c r="WVZ6" s="88">
        <f t="shared" si="252"/>
        <v>0</v>
      </c>
      <c r="WWA6" s="88">
        <f t="shared" si="252"/>
        <v>0</v>
      </c>
      <c r="WWB6" s="88">
        <f t="shared" si="252"/>
        <v>0</v>
      </c>
      <c r="WWC6" s="88">
        <f t="shared" si="252"/>
        <v>0</v>
      </c>
      <c r="WWD6" s="88">
        <f t="shared" si="252"/>
        <v>0</v>
      </c>
      <c r="WWE6" s="88">
        <f t="shared" si="252"/>
        <v>0</v>
      </c>
      <c r="WWF6" s="88">
        <f t="shared" si="252"/>
        <v>0</v>
      </c>
      <c r="WWG6" s="88">
        <f t="shared" si="252"/>
        <v>0</v>
      </c>
      <c r="WWH6" s="88">
        <f t="shared" si="252"/>
        <v>0</v>
      </c>
      <c r="WWI6" s="88">
        <f t="shared" si="252"/>
        <v>0</v>
      </c>
      <c r="WWJ6" s="88">
        <f t="shared" si="252"/>
        <v>0</v>
      </c>
      <c r="WWK6" s="88">
        <f t="shared" si="252"/>
        <v>0</v>
      </c>
      <c r="WWL6" s="88">
        <f t="shared" si="252"/>
        <v>0</v>
      </c>
      <c r="WWM6" s="88">
        <f t="shared" si="252"/>
        <v>0</v>
      </c>
      <c r="WWN6" s="88">
        <f t="shared" si="252"/>
        <v>0</v>
      </c>
      <c r="WWO6" s="88">
        <f t="shared" si="252"/>
        <v>0</v>
      </c>
      <c r="WWP6" s="88">
        <f t="shared" si="252"/>
        <v>0</v>
      </c>
      <c r="WWQ6" s="88">
        <f t="shared" si="252"/>
        <v>0</v>
      </c>
      <c r="WWR6" s="88">
        <f t="shared" si="252"/>
        <v>0</v>
      </c>
      <c r="WWS6" s="88">
        <f t="shared" si="252"/>
        <v>0</v>
      </c>
      <c r="WWT6" s="88">
        <f t="shared" si="252"/>
        <v>0</v>
      </c>
      <c r="WWU6" s="88">
        <f t="shared" si="252"/>
        <v>0</v>
      </c>
      <c r="WWV6" s="88">
        <f t="shared" si="252"/>
        <v>0</v>
      </c>
      <c r="WWW6" s="88">
        <f t="shared" si="252"/>
        <v>0</v>
      </c>
      <c r="WWX6" s="88">
        <f t="shared" si="252"/>
        <v>0</v>
      </c>
      <c r="WWY6" s="88">
        <f t="shared" si="252"/>
        <v>0</v>
      </c>
      <c r="WWZ6" s="88">
        <f t="shared" si="252"/>
        <v>0</v>
      </c>
      <c r="WXA6" s="88">
        <f t="shared" si="252"/>
        <v>0</v>
      </c>
      <c r="WXB6" s="88">
        <f t="shared" si="252"/>
        <v>0</v>
      </c>
      <c r="WXC6" s="88">
        <f t="shared" si="252"/>
        <v>0</v>
      </c>
      <c r="WXD6" s="88">
        <f t="shared" si="252"/>
        <v>0</v>
      </c>
      <c r="WXE6" s="88">
        <f t="shared" si="252"/>
        <v>0</v>
      </c>
      <c r="WXF6" s="88">
        <f t="shared" si="252"/>
        <v>0</v>
      </c>
      <c r="WXG6" s="88">
        <f t="shared" si="252"/>
        <v>0</v>
      </c>
      <c r="WXH6" s="88">
        <f t="shared" si="252"/>
        <v>0</v>
      </c>
      <c r="WXI6" s="88">
        <f t="shared" si="252"/>
        <v>0</v>
      </c>
      <c r="WXJ6" s="88">
        <f t="shared" si="252"/>
        <v>0</v>
      </c>
      <c r="WXK6" s="88">
        <f t="shared" si="252"/>
        <v>0</v>
      </c>
      <c r="WXL6" s="88">
        <f t="shared" si="252"/>
        <v>0</v>
      </c>
      <c r="WXM6" s="88">
        <f t="shared" si="252"/>
        <v>0</v>
      </c>
      <c r="WXN6" s="88">
        <f t="shared" si="252"/>
        <v>0</v>
      </c>
      <c r="WXO6" s="88">
        <f t="shared" si="252"/>
        <v>0</v>
      </c>
      <c r="WXP6" s="88">
        <f t="shared" si="252"/>
        <v>0</v>
      </c>
      <c r="WXQ6" s="88">
        <f t="shared" si="252"/>
        <v>0</v>
      </c>
      <c r="WXR6" s="88">
        <f t="shared" si="252"/>
        <v>0</v>
      </c>
      <c r="WXS6" s="88">
        <f t="shared" si="252"/>
        <v>0</v>
      </c>
      <c r="WXT6" s="88">
        <f t="shared" si="252"/>
        <v>0</v>
      </c>
      <c r="WXU6" s="88">
        <f t="shared" si="252"/>
        <v>0</v>
      </c>
      <c r="WXV6" s="88">
        <f t="shared" si="252"/>
        <v>0</v>
      </c>
      <c r="WXW6" s="88">
        <f t="shared" si="252"/>
        <v>0</v>
      </c>
      <c r="WXX6" s="88">
        <f t="shared" si="252"/>
        <v>0</v>
      </c>
      <c r="WXY6" s="88">
        <f t="shared" si="252"/>
        <v>0</v>
      </c>
      <c r="WXZ6" s="88">
        <f t="shared" si="252"/>
        <v>0</v>
      </c>
      <c r="WYA6" s="88">
        <f t="shared" si="252"/>
        <v>0</v>
      </c>
      <c r="WYB6" s="88">
        <f t="shared" si="252"/>
        <v>0</v>
      </c>
      <c r="WYC6" s="88">
        <f t="shared" si="252"/>
        <v>0</v>
      </c>
      <c r="WYD6" s="88">
        <f t="shared" si="252"/>
        <v>0</v>
      </c>
      <c r="WYE6" s="88">
        <f t="shared" si="252"/>
        <v>0</v>
      </c>
      <c r="WYF6" s="88">
        <f t="shared" ref="WYF6:XAQ6" si="253">SUM(WYG3:WYG5)</f>
        <v>0</v>
      </c>
      <c r="WYG6" s="88">
        <f t="shared" si="253"/>
        <v>0</v>
      </c>
      <c r="WYH6" s="88">
        <f t="shared" si="253"/>
        <v>0</v>
      </c>
      <c r="WYI6" s="88">
        <f t="shared" si="253"/>
        <v>0</v>
      </c>
      <c r="WYJ6" s="88">
        <f t="shared" si="253"/>
        <v>0</v>
      </c>
      <c r="WYK6" s="88">
        <f t="shared" si="253"/>
        <v>0</v>
      </c>
      <c r="WYL6" s="88">
        <f t="shared" si="253"/>
        <v>0</v>
      </c>
      <c r="WYM6" s="88">
        <f t="shared" si="253"/>
        <v>0</v>
      </c>
      <c r="WYN6" s="88">
        <f t="shared" si="253"/>
        <v>0</v>
      </c>
      <c r="WYO6" s="88">
        <f t="shared" si="253"/>
        <v>0</v>
      </c>
      <c r="WYP6" s="88">
        <f t="shared" si="253"/>
        <v>0</v>
      </c>
      <c r="WYQ6" s="88">
        <f t="shared" si="253"/>
        <v>0</v>
      </c>
      <c r="WYR6" s="88">
        <f t="shared" si="253"/>
        <v>0</v>
      </c>
      <c r="WYS6" s="88">
        <f t="shared" si="253"/>
        <v>0</v>
      </c>
      <c r="WYT6" s="88">
        <f t="shared" si="253"/>
        <v>0</v>
      </c>
      <c r="WYU6" s="88">
        <f t="shared" si="253"/>
        <v>0</v>
      </c>
      <c r="WYV6" s="88">
        <f t="shared" si="253"/>
        <v>0</v>
      </c>
      <c r="WYW6" s="88">
        <f t="shared" si="253"/>
        <v>0</v>
      </c>
      <c r="WYX6" s="88">
        <f t="shared" si="253"/>
        <v>0</v>
      </c>
      <c r="WYY6" s="88">
        <f t="shared" si="253"/>
        <v>0</v>
      </c>
      <c r="WYZ6" s="88">
        <f t="shared" si="253"/>
        <v>0</v>
      </c>
      <c r="WZA6" s="88">
        <f t="shared" si="253"/>
        <v>0</v>
      </c>
      <c r="WZB6" s="88">
        <f t="shared" si="253"/>
        <v>0</v>
      </c>
      <c r="WZC6" s="88">
        <f t="shared" si="253"/>
        <v>0</v>
      </c>
      <c r="WZD6" s="88">
        <f t="shared" si="253"/>
        <v>0</v>
      </c>
      <c r="WZE6" s="88">
        <f t="shared" si="253"/>
        <v>0</v>
      </c>
      <c r="WZF6" s="88">
        <f t="shared" si="253"/>
        <v>0</v>
      </c>
      <c r="WZG6" s="88">
        <f t="shared" si="253"/>
        <v>0</v>
      </c>
      <c r="WZH6" s="88">
        <f t="shared" si="253"/>
        <v>0</v>
      </c>
      <c r="WZI6" s="88">
        <f t="shared" si="253"/>
        <v>0</v>
      </c>
      <c r="WZJ6" s="88">
        <f t="shared" si="253"/>
        <v>0</v>
      </c>
      <c r="WZK6" s="88">
        <f t="shared" si="253"/>
        <v>0</v>
      </c>
      <c r="WZL6" s="88">
        <f t="shared" si="253"/>
        <v>0</v>
      </c>
      <c r="WZM6" s="88">
        <f t="shared" si="253"/>
        <v>0</v>
      </c>
      <c r="WZN6" s="88">
        <f t="shared" si="253"/>
        <v>0</v>
      </c>
      <c r="WZO6" s="88">
        <f t="shared" si="253"/>
        <v>0</v>
      </c>
      <c r="WZP6" s="88">
        <f t="shared" si="253"/>
        <v>0</v>
      </c>
      <c r="WZQ6" s="88">
        <f t="shared" si="253"/>
        <v>0</v>
      </c>
      <c r="WZR6" s="88">
        <f t="shared" si="253"/>
        <v>0</v>
      </c>
      <c r="WZS6" s="88">
        <f t="shared" si="253"/>
        <v>0</v>
      </c>
      <c r="WZT6" s="88">
        <f t="shared" si="253"/>
        <v>0</v>
      </c>
      <c r="WZU6" s="88">
        <f t="shared" si="253"/>
        <v>0</v>
      </c>
      <c r="WZV6" s="88">
        <f t="shared" si="253"/>
        <v>0</v>
      </c>
      <c r="WZW6" s="88">
        <f t="shared" si="253"/>
        <v>0</v>
      </c>
      <c r="WZX6" s="88">
        <f t="shared" si="253"/>
        <v>0</v>
      </c>
      <c r="WZY6" s="88">
        <f t="shared" si="253"/>
        <v>0</v>
      </c>
      <c r="WZZ6" s="88">
        <f t="shared" si="253"/>
        <v>0</v>
      </c>
      <c r="XAA6" s="88">
        <f t="shared" si="253"/>
        <v>0</v>
      </c>
      <c r="XAB6" s="88">
        <f t="shared" si="253"/>
        <v>0</v>
      </c>
      <c r="XAC6" s="88">
        <f t="shared" si="253"/>
        <v>0</v>
      </c>
      <c r="XAD6" s="88">
        <f t="shared" si="253"/>
        <v>0</v>
      </c>
      <c r="XAE6" s="88">
        <f t="shared" si="253"/>
        <v>0</v>
      </c>
      <c r="XAF6" s="88">
        <f t="shared" si="253"/>
        <v>0</v>
      </c>
      <c r="XAG6" s="88">
        <f t="shared" si="253"/>
        <v>0</v>
      </c>
      <c r="XAH6" s="88">
        <f t="shared" si="253"/>
        <v>0</v>
      </c>
      <c r="XAI6" s="88">
        <f t="shared" si="253"/>
        <v>0</v>
      </c>
      <c r="XAJ6" s="88">
        <f t="shared" si="253"/>
        <v>0</v>
      </c>
      <c r="XAK6" s="88">
        <f t="shared" si="253"/>
        <v>0</v>
      </c>
      <c r="XAL6" s="88">
        <f t="shared" si="253"/>
        <v>0</v>
      </c>
      <c r="XAM6" s="88">
        <f t="shared" si="253"/>
        <v>0</v>
      </c>
      <c r="XAN6" s="88">
        <f t="shared" si="253"/>
        <v>0</v>
      </c>
      <c r="XAO6" s="88">
        <f t="shared" si="253"/>
        <v>0</v>
      </c>
      <c r="XAP6" s="88">
        <f t="shared" si="253"/>
        <v>0</v>
      </c>
      <c r="XAQ6" s="88">
        <f t="shared" si="253"/>
        <v>0</v>
      </c>
      <c r="XAR6" s="88">
        <f t="shared" ref="XAR6:XDC6" si="254">SUM(XAS3:XAS5)</f>
        <v>0</v>
      </c>
      <c r="XAS6" s="88">
        <f t="shared" si="254"/>
        <v>0</v>
      </c>
      <c r="XAT6" s="88">
        <f t="shared" si="254"/>
        <v>0</v>
      </c>
      <c r="XAU6" s="88">
        <f t="shared" si="254"/>
        <v>0</v>
      </c>
      <c r="XAV6" s="88">
        <f t="shared" si="254"/>
        <v>0</v>
      </c>
      <c r="XAW6" s="88">
        <f t="shared" si="254"/>
        <v>0</v>
      </c>
      <c r="XAX6" s="88">
        <f t="shared" si="254"/>
        <v>0</v>
      </c>
      <c r="XAY6" s="88">
        <f t="shared" si="254"/>
        <v>0</v>
      </c>
      <c r="XAZ6" s="88">
        <f t="shared" si="254"/>
        <v>0</v>
      </c>
      <c r="XBA6" s="88">
        <f t="shared" si="254"/>
        <v>0</v>
      </c>
      <c r="XBB6" s="88">
        <f t="shared" si="254"/>
        <v>0</v>
      </c>
      <c r="XBC6" s="88">
        <f t="shared" si="254"/>
        <v>0</v>
      </c>
      <c r="XBD6" s="88">
        <f t="shared" si="254"/>
        <v>0</v>
      </c>
      <c r="XBE6" s="88">
        <f t="shared" si="254"/>
        <v>0</v>
      </c>
      <c r="XBF6" s="88">
        <f t="shared" si="254"/>
        <v>0</v>
      </c>
      <c r="XBG6" s="88">
        <f t="shared" si="254"/>
        <v>0</v>
      </c>
      <c r="XBH6" s="88">
        <f t="shared" si="254"/>
        <v>0</v>
      </c>
      <c r="XBI6" s="88">
        <f t="shared" si="254"/>
        <v>0</v>
      </c>
      <c r="XBJ6" s="88">
        <f t="shared" si="254"/>
        <v>0</v>
      </c>
      <c r="XBK6" s="88">
        <f t="shared" si="254"/>
        <v>0</v>
      </c>
      <c r="XBL6" s="88">
        <f t="shared" si="254"/>
        <v>0</v>
      </c>
      <c r="XBM6" s="88">
        <f t="shared" si="254"/>
        <v>0</v>
      </c>
      <c r="XBN6" s="88">
        <f t="shared" si="254"/>
        <v>0</v>
      </c>
      <c r="XBO6" s="88">
        <f t="shared" si="254"/>
        <v>0</v>
      </c>
      <c r="XBP6" s="88">
        <f t="shared" si="254"/>
        <v>0</v>
      </c>
      <c r="XBQ6" s="88">
        <f t="shared" si="254"/>
        <v>0</v>
      </c>
      <c r="XBR6" s="88">
        <f t="shared" si="254"/>
        <v>0</v>
      </c>
      <c r="XBS6" s="88">
        <f t="shared" si="254"/>
        <v>0</v>
      </c>
      <c r="XBT6" s="88">
        <f t="shared" si="254"/>
        <v>0</v>
      </c>
      <c r="XBU6" s="88">
        <f t="shared" si="254"/>
        <v>0</v>
      </c>
      <c r="XBV6" s="88">
        <f t="shared" si="254"/>
        <v>0</v>
      </c>
      <c r="XBW6" s="88">
        <f t="shared" si="254"/>
        <v>0</v>
      </c>
      <c r="XBX6" s="88">
        <f t="shared" si="254"/>
        <v>0</v>
      </c>
      <c r="XBY6" s="88">
        <f t="shared" si="254"/>
        <v>0</v>
      </c>
      <c r="XBZ6" s="88">
        <f t="shared" si="254"/>
        <v>0</v>
      </c>
      <c r="XCA6" s="88">
        <f t="shared" si="254"/>
        <v>0</v>
      </c>
      <c r="XCB6" s="88">
        <f t="shared" si="254"/>
        <v>0</v>
      </c>
      <c r="XCC6" s="88">
        <f t="shared" si="254"/>
        <v>0</v>
      </c>
      <c r="XCD6" s="88">
        <f t="shared" si="254"/>
        <v>0</v>
      </c>
      <c r="XCE6" s="88">
        <f t="shared" si="254"/>
        <v>0</v>
      </c>
      <c r="XCF6" s="88">
        <f t="shared" si="254"/>
        <v>0</v>
      </c>
      <c r="XCG6" s="88">
        <f t="shared" si="254"/>
        <v>0</v>
      </c>
      <c r="XCH6" s="88">
        <f t="shared" si="254"/>
        <v>0</v>
      </c>
      <c r="XCI6" s="88">
        <f t="shared" si="254"/>
        <v>0</v>
      </c>
      <c r="XCJ6" s="88">
        <f t="shared" si="254"/>
        <v>0</v>
      </c>
      <c r="XCK6" s="88">
        <f t="shared" si="254"/>
        <v>0</v>
      </c>
      <c r="XCL6" s="88">
        <f t="shared" si="254"/>
        <v>0</v>
      </c>
      <c r="XCM6" s="88">
        <f t="shared" si="254"/>
        <v>0</v>
      </c>
      <c r="XCN6" s="88">
        <f t="shared" si="254"/>
        <v>0</v>
      </c>
      <c r="XCO6" s="88">
        <f t="shared" si="254"/>
        <v>0</v>
      </c>
      <c r="XCP6" s="88">
        <f t="shared" si="254"/>
        <v>0</v>
      </c>
      <c r="XCQ6" s="88">
        <f t="shared" si="254"/>
        <v>0</v>
      </c>
      <c r="XCR6" s="88">
        <f t="shared" si="254"/>
        <v>0</v>
      </c>
      <c r="XCS6" s="88">
        <f t="shared" si="254"/>
        <v>0</v>
      </c>
      <c r="XCT6" s="88">
        <f t="shared" si="254"/>
        <v>0</v>
      </c>
      <c r="XCU6" s="88">
        <f t="shared" si="254"/>
        <v>0</v>
      </c>
      <c r="XCV6" s="88">
        <f t="shared" si="254"/>
        <v>0</v>
      </c>
      <c r="XCW6" s="88">
        <f t="shared" si="254"/>
        <v>0</v>
      </c>
      <c r="XCX6" s="88">
        <f t="shared" si="254"/>
        <v>0</v>
      </c>
      <c r="XCY6" s="88">
        <f t="shared" si="254"/>
        <v>0</v>
      </c>
      <c r="XCZ6" s="88">
        <f t="shared" si="254"/>
        <v>0</v>
      </c>
      <c r="XDA6" s="88">
        <f t="shared" si="254"/>
        <v>0</v>
      </c>
      <c r="XDB6" s="88">
        <f t="shared" si="254"/>
        <v>0</v>
      </c>
      <c r="XDC6" s="88">
        <f t="shared" si="254"/>
        <v>0</v>
      </c>
      <c r="XDD6" s="88">
        <f t="shared" ref="XDD6:XFA6" si="255">SUM(XDE3:XDE5)</f>
        <v>0</v>
      </c>
      <c r="XDE6" s="88">
        <f t="shared" si="255"/>
        <v>0</v>
      </c>
      <c r="XDF6" s="88">
        <f t="shared" si="255"/>
        <v>0</v>
      </c>
      <c r="XDG6" s="88">
        <f t="shared" si="255"/>
        <v>0</v>
      </c>
      <c r="XDH6" s="88">
        <f t="shared" si="255"/>
        <v>0</v>
      </c>
      <c r="XDI6" s="88">
        <f t="shared" si="255"/>
        <v>0</v>
      </c>
      <c r="XDJ6" s="88">
        <f t="shared" si="255"/>
        <v>0</v>
      </c>
      <c r="XDK6" s="88">
        <f t="shared" si="255"/>
        <v>0</v>
      </c>
      <c r="XDL6" s="88">
        <f t="shared" si="255"/>
        <v>0</v>
      </c>
      <c r="XDM6" s="88">
        <f t="shared" si="255"/>
        <v>0</v>
      </c>
      <c r="XDN6" s="88">
        <f t="shared" si="255"/>
        <v>0</v>
      </c>
      <c r="XDO6" s="88">
        <f t="shared" si="255"/>
        <v>0</v>
      </c>
      <c r="XDP6" s="88">
        <f t="shared" si="255"/>
        <v>0</v>
      </c>
      <c r="XDQ6" s="88">
        <f t="shared" si="255"/>
        <v>0</v>
      </c>
      <c r="XDR6" s="88">
        <f t="shared" si="255"/>
        <v>0</v>
      </c>
      <c r="XDS6" s="88">
        <f t="shared" si="255"/>
        <v>0</v>
      </c>
      <c r="XDT6" s="88">
        <f t="shared" si="255"/>
        <v>0</v>
      </c>
      <c r="XDU6" s="88">
        <f t="shared" si="255"/>
        <v>0</v>
      </c>
      <c r="XDV6" s="88">
        <f t="shared" si="255"/>
        <v>0</v>
      </c>
      <c r="XDW6" s="88">
        <f t="shared" si="255"/>
        <v>0</v>
      </c>
      <c r="XDX6" s="88">
        <f t="shared" si="255"/>
        <v>0</v>
      </c>
      <c r="XDY6" s="88">
        <f t="shared" si="255"/>
        <v>0</v>
      </c>
      <c r="XDZ6" s="88">
        <f t="shared" si="255"/>
        <v>0</v>
      </c>
      <c r="XEA6" s="88">
        <f t="shared" si="255"/>
        <v>0</v>
      </c>
      <c r="XEB6" s="88">
        <f t="shared" si="255"/>
        <v>0</v>
      </c>
      <c r="XEC6" s="88">
        <f t="shared" si="255"/>
        <v>0</v>
      </c>
      <c r="XED6" s="88">
        <f t="shared" si="255"/>
        <v>0</v>
      </c>
      <c r="XEE6" s="88">
        <f t="shared" si="255"/>
        <v>0</v>
      </c>
      <c r="XEF6" s="88">
        <f t="shared" si="255"/>
        <v>0</v>
      </c>
      <c r="XEG6" s="88">
        <f t="shared" si="255"/>
        <v>0</v>
      </c>
      <c r="XEH6" s="88">
        <f t="shared" si="255"/>
        <v>0</v>
      </c>
      <c r="XEI6" s="88">
        <f t="shared" si="255"/>
        <v>0</v>
      </c>
      <c r="XEJ6" s="88">
        <f t="shared" si="255"/>
        <v>0</v>
      </c>
      <c r="XEK6" s="88">
        <f t="shared" si="255"/>
        <v>0</v>
      </c>
      <c r="XEL6" s="88">
        <f t="shared" si="255"/>
        <v>0</v>
      </c>
      <c r="XEM6" s="88">
        <f t="shared" si="255"/>
        <v>0</v>
      </c>
      <c r="XEN6" s="88">
        <f t="shared" si="255"/>
        <v>0</v>
      </c>
      <c r="XEO6" s="88">
        <f t="shared" si="255"/>
        <v>0</v>
      </c>
      <c r="XEP6" s="88">
        <f t="shared" si="255"/>
        <v>0</v>
      </c>
      <c r="XEQ6" s="88">
        <f t="shared" si="255"/>
        <v>0</v>
      </c>
      <c r="XER6" s="88">
        <f t="shared" si="255"/>
        <v>0</v>
      </c>
      <c r="XES6" s="88">
        <f t="shared" si="255"/>
        <v>0</v>
      </c>
      <c r="XET6" s="88">
        <f t="shared" si="255"/>
        <v>0</v>
      </c>
      <c r="XEU6" s="88">
        <f t="shared" si="255"/>
        <v>0</v>
      </c>
      <c r="XEV6" s="88">
        <f t="shared" si="255"/>
        <v>0</v>
      </c>
      <c r="XEW6" s="88">
        <f t="shared" si="255"/>
        <v>0</v>
      </c>
      <c r="XEX6" s="88">
        <f t="shared" si="255"/>
        <v>0</v>
      </c>
      <c r="XEY6" s="88">
        <f t="shared" si="255"/>
        <v>0</v>
      </c>
      <c r="XEZ6" s="88">
        <f t="shared" si="255"/>
        <v>0</v>
      </c>
      <c r="XFA6" s="88">
        <f t="shared" si="255"/>
        <v>0</v>
      </c>
      <c r="XFB6" s="88">
        <f>SUM(XFC3:XFD5)</f>
        <v>0</v>
      </c>
      <c r="XFC6" s="88" t="e">
        <f>SUM(#REF!)</f>
        <v>#REF!</v>
      </c>
    </row>
    <row r="7" spans="1:16383">
      <c r="E7" s="274"/>
      <c r="F7" s="257"/>
      <c r="G7" s="88"/>
      <c r="H7" s="275"/>
    </row>
    <row r="8" spans="1:16383">
      <c r="D8" s="276"/>
      <c r="F8" s="277"/>
      <c r="G8" s="276"/>
      <c r="H8" s="88"/>
    </row>
    <row r="9" spans="1:16383">
      <c r="F9" s="278"/>
      <c r="G9" s="88"/>
      <c r="H9" s="275"/>
    </row>
    <row r="11" spans="1:16383">
      <c r="G11" s="8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AB22-3318-442A-8B05-719A4B42CB12}">
  <sheetPr codeName="Hoja37"/>
  <dimension ref="B2:F4"/>
  <sheetViews>
    <sheetView workbookViewId="0">
      <selection activeCell="A4" sqref="A4:XFD4"/>
    </sheetView>
  </sheetViews>
  <sheetFormatPr baseColWidth="10" defaultColWidth="11.5" defaultRowHeight="15"/>
  <cols>
    <col min="2" max="2" width="12" style="30" customWidth="1"/>
    <col min="3" max="3" width="29.1640625" customWidth="1"/>
    <col min="5" max="5" width="13.5" customWidth="1"/>
  </cols>
  <sheetData>
    <row r="2" spans="2:6">
      <c r="F2" s="97"/>
    </row>
    <row r="3" spans="2:6">
      <c r="B3" s="92" t="s">
        <v>220</v>
      </c>
      <c r="C3" s="23" t="s">
        <v>221</v>
      </c>
      <c r="D3" s="23" t="s">
        <v>219</v>
      </c>
      <c r="E3" s="93" t="s">
        <v>222</v>
      </c>
    </row>
    <row r="4" spans="2:6">
      <c r="B4" s="92" t="s">
        <v>224</v>
      </c>
      <c r="C4" s="23" t="s">
        <v>225</v>
      </c>
      <c r="D4" s="23" t="s">
        <v>223</v>
      </c>
      <c r="E4" s="93" t="s">
        <v>226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8"/>
  <dimension ref="A1:P63"/>
  <sheetViews>
    <sheetView topLeftCell="A19" zoomScale="75" zoomScaleNormal="75" workbookViewId="0">
      <selection activeCell="O19" sqref="O19"/>
    </sheetView>
  </sheetViews>
  <sheetFormatPr baseColWidth="10" defaultColWidth="11.5" defaultRowHeight="15"/>
  <cols>
    <col min="1" max="1" width="2.83203125" customWidth="1"/>
    <col min="2" max="2" width="68.5" customWidth="1"/>
    <col min="3" max="7" width="14.5" customWidth="1"/>
    <col min="8" max="8" width="12.5" customWidth="1"/>
    <col min="9" max="10" width="14.5" customWidth="1"/>
    <col min="11" max="11" width="23.5" customWidth="1"/>
    <col min="12" max="12" width="14.5" bestFit="1" customWidth="1"/>
    <col min="13" max="13" width="18.5" bestFit="1" customWidth="1"/>
    <col min="14" max="14" width="17.83203125" customWidth="1"/>
    <col min="15" max="15" width="20.5" customWidth="1"/>
    <col min="16" max="16" width="23.83203125" customWidth="1"/>
  </cols>
  <sheetData>
    <row r="1" spans="1:15" ht="16" thickBot="1">
      <c r="M1" s="22" t="e">
        <f>SUM('Flujo Redco 2025 v1'!#REF!)</f>
        <v>#REF!</v>
      </c>
      <c r="N1" s="22" t="e">
        <f>SUM('Flujo Redco 2025 v1'!#REF!)</f>
        <v>#REF!</v>
      </c>
    </row>
    <row r="2" spans="1:15" ht="18" customHeight="1" thickBot="1">
      <c r="A2" s="3"/>
      <c r="B2" s="29" t="s">
        <v>233</v>
      </c>
      <c r="C2" s="10">
        <v>43831</v>
      </c>
      <c r="D2" s="10">
        <v>43862</v>
      </c>
      <c r="E2" s="10">
        <v>43891</v>
      </c>
      <c r="F2" s="10">
        <v>43922</v>
      </c>
      <c r="G2" s="10">
        <v>44317</v>
      </c>
      <c r="H2" s="10">
        <v>44348</v>
      </c>
      <c r="I2" s="10">
        <v>44378</v>
      </c>
      <c r="J2" s="10">
        <v>44409</v>
      </c>
      <c r="K2" s="10">
        <v>44440</v>
      </c>
      <c r="L2" s="10">
        <v>44470</v>
      </c>
      <c r="M2" s="10">
        <v>44501</v>
      </c>
      <c r="N2" s="10">
        <v>44531</v>
      </c>
      <c r="O2" s="10" t="s">
        <v>212</v>
      </c>
    </row>
    <row r="3" spans="1:15" ht="18.75" customHeight="1" thickBot="1">
      <c r="A3" s="3"/>
      <c r="B3" s="11" t="s">
        <v>22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</row>
    <row r="4" spans="1:15">
      <c r="A4" s="3"/>
      <c r="B4" s="33" t="s">
        <v>234</v>
      </c>
      <c r="C4" s="34">
        <v>6474381.1669999994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35">
        <f>SUM(C4:N4)</f>
        <v>6474381.1669999994</v>
      </c>
    </row>
    <row r="5" spans="1:15">
      <c r="A5" s="3" t="s">
        <v>235</v>
      </c>
      <c r="B5" s="36" t="s">
        <v>236</v>
      </c>
      <c r="C5" s="37">
        <v>47998010</v>
      </c>
      <c r="D5" s="20">
        <v>18383280</v>
      </c>
      <c r="E5" s="12">
        <v>27173480</v>
      </c>
      <c r="F5" s="20">
        <f>7721015+11608443</f>
        <v>19329458</v>
      </c>
      <c r="G5" s="20"/>
      <c r="H5" s="20"/>
      <c r="I5" s="12"/>
      <c r="J5" s="20">
        <v>17173754</v>
      </c>
      <c r="K5" s="20"/>
      <c r="L5" s="23"/>
      <c r="N5" s="20"/>
      <c r="O5" s="35">
        <f t="shared" ref="O5:O18" si="0">SUM(C5:N5)</f>
        <v>130057982</v>
      </c>
    </row>
    <row r="6" spans="1:15" ht="16.5" customHeight="1">
      <c r="A6" s="38" t="s">
        <v>237</v>
      </c>
      <c r="B6" s="39" t="s">
        <v>238</v>
      </c>
      <c r="C6" s="37"/>
      <c r="D6" s="20"/>
      <c r="E6" s="20"/>
      <c r="F6" s="20"/>
      <c r="G6" s="20"/>
      <c r="H6" s="12"/>
      <c r="I6" s="23"/>
      <c r="J6" s="12"/>
      <c r="K6" s="20"/>
      <c r="L6" s="23"/>
      <c r="M6" s="67">
        <v>83802062</v>
      </c>
      <c r="N6" s="20"/>
      <c r="O6" s="35">
        <f t="shared" si="0"/>
        <v>83802062</v>
      </c>
    </row>
    <row r="7" spans="1:15" ht="16.5" customHeight="1">
      <c r="A7" s="38" t="s">
        <v>239</v>
      </c>
      <c r="B7" s="40" t="s">
        <v>240</v>
      </c>
      <c r="C7" s="37"/>
      <c r="D7" s="20"/>
      <c r="E7" s="20"/>
      <c r="F7" s="20"/>
      <c r="G7" s="20"/>
      <c r="H7" s="12"/>
      <c r="I7" s="23"/>
      <c r="J7" s="12"/>
      <c r="K7" s="20"/>
      <c r="L7" s="20">
        <v>10717320</v>
      </c>
      <c r="M7" s="20"/>
      <c r="N7" s="20"/>
      <c r="O7" s="35">
        <f t="shared" si="0"/>
        <v>10717320</v>
      </c>
    </row>
    <row r="8" spans="1:15" ht="16.5" customHeight="1">
      <c r="A8" s="38" t="s">
        <v>241</v>
      </c>
      <c r="B8" s="40" t="s">
        <v>242</v>
      </c>
      <c r="C8" s="37"/>
      <c r="D8" s="20"/>
      <c r="E8" s="20"/>
      <c r="F8" s="20"/>
      <c r="G8" s="20"/>
      <c r="H8" s="12"/>
      <c r="I8" s="23"/>
      <c r="J8" s="12"/>
      <c r="K8" s="20"/>
      <c r="L8" s="20"/>
      <c r="M8" s="20"/>
      <c r="N8" s="20">
        <f>23723675+23112091+2</f>
        <v>46835768</v>
      </c>
      <c r="O8" s="35">
        <f t="shared" si="0"/>
        <v>46835768</v>
      </c>
    </row>
    <row r="9" spans="1:15" ht="16.5" customHeight="1">
      <c r="A9" s="38" t="s">
        <v>243</v>
      </c>
      <c r="B9" s="36" t="s">
        <v>244</v>
      </c>
      <c r="C9" s="37"/>
      <c r="D9" s="20"/>
      <c r="E9" s="20"/>
      <c r="F9" s="20"/>
      <c r="G9" s="20"/>
      <c r="H9" s="12"/>
      <c r="I9" s="12"/>
      <c r="J9" s="12"/>
      <c r="K9" s="20"/>
      <c r="M9" s="20">
        <v>198219046</v>
      </c>
      <c r="N9" s="20"/>
      <c r="O9" s="35">
        <f t="shared" si="0"/>
        <v>198219046</v>
      </c>
    </row>
    <row r="10" spans="1:15">
      <c r="A10" s="3"/>
      <c r="B10" s="36" t="s">
        <v>245</v>
      </c>
      <c r="C10" s="34">
        <v>85382634</v>
      </c>
      <c r="D10" s="20">
        <v>38505894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35">
        <f t="shared" si="0"/>
        <v>123888528</v>
      </c>
    </row>
    <row r="11" spans="1:15">
      <c r="A11" s="3"/>
      <c r="B11" s="36" t="s">
        <v>246</v>
      </c>
      <c r="C11" s="37"/>
      <c r="D11" s="41">
        <v>17308739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35">
        <f t="shared" si="0"/>
        <v>17308739</v>
      </c>
    </row>
    <row r="12" spans="1:15">
      <c r="A12" s="3"/>
      <c r="B12" s="42" t="s">
        <v>247</v>
      </c>
      <c r="C12" s="37"/>
      <c r="D12" s="20">
        <v>21356888</v>
      </c>
      <c r="E12" s="20">
        <v>36659056</v>
      </c>
      <c r="F12" s="20">
        <v>36381538</v>
      </c>
      <c r="G12" s="20">
        <v>36844068</v>
      </c>
      <c r="H12" s="12">
        <v>34501001</v>
      </c>
      <c r="I12" s="12">
        <v>32653412</v>
      </c>
      <c r="J12" s="12">
        <v>39055346</v>
      </c>
      <c r="K12" s="20"/>
      <c r="L12" s="20">
        <f>28484298+25152809</f>
        <v>53637107</v>
      </c>
      <c r="M12" s="66">
        <v>26364259</v>
      </c>
      <c r="N12" s="20"/>
      <c r="O12" s="35">
        <f t="shared" si="0"/>
        <v>317452675</v>
      </c>
    </row>
    <row r="13" spans="1:15" ht="16.5" customHeight="1">
      <c r="A13" s="43"/>
      <c r="B13" s="36" t="s">
        <v>248</v>
      </c>
      <c r="C13" s="37"/>
      <c r="D13" s="20"/>
      <c r="E13" s="20"/>
      <c r="F13" s="20"/>
      <c r="G13" s="20"/>
      <c r="H13" s="12"/>
      <c r="I13" s="12">
        <v>25013163</v>
      </c>
      <c r="J13" s="12">
        <v>26748043</v>
      </c>
      <c r="K13" s="20"/>
      <c r="L13" s="20"/>
      <c r="M13" s="20"/>
      <c r="N13" s="20"/>
      <c r="O13" s="35">
        <f t="shared" si="0"/>
        <v>51761206</v>
      </c>
    </row>
    <row r="14" spans="1:15" ht="16.5" customHeight="1">
      <c r="A14" s="43"/>
      <c r="B14" s="36" t="s">
        <v>249</v>
      </c>
      <c r="C14" s="37"/>
      <c r="D14" s="20"/>
      <c r="E14" s="20"/>
      <c r="F14" s="20"/>
      <c r="G14" s="20"/>
      <c r="H14" s="12"/>
      <c r="I14" s="12"/>
      <c r="J14" s="12">
        <v>41885250</v>
      </c>
      <c r="K14" s="20">
        <v>23058459</v>
      </c>
      <c r="L14" s="20">
        <v>10213761</v>
      </c>
      <c r="M14" s="20"/>
      <c r="N14" s="20"/>
      <c r="O14" s="35">
        <f t="shared" si="0"/>
        <v>75157470</v>
      </c>
    </row>
    <row r="15" spans="1:15" ht="16.5" customHeight="1">
      <c r="A15" s="43"/>
      <c r="B15" s="36" t="s">
        <v>250</v>
      </c>
      <c r="C15" s="37"/>
      <c r="D15" s="20"/>
      <c r="E15" s="20"/>
      <c r="F15" s="20"/>
      <c r="G15" s="20"/>
      <c r="H15" s="12"/>
      <c r="I15" s="12"/>
      <c r="J15" s="12">
        <v>18841750</v>
      </c>
      <c r="K15" s="20"/>
      <c r="L15" s="20"/>
      <c r="M15" s="20"/>
      <c r="N15" s="20"/>
      <c r="O15" s="35">
        <f t="shared" si="0"/>
        <v>18841750</v>
      </c>
    </row>
    <row r="16" spans="1:15" ht="16.5" customHeight="1">
      <c r="A16" s="43"/>
      <c r="B16" s="36" t="s">
        <v>251</v>
      </c>
      <c r="C16" s="37"/>
      <c r="D16" s="20"/>
      <c r="E16" s="20"/>
      <c r="F16" s="20"/>
      <c r="G16" s="20"/>
      <c r="H16" s="12"/>
      <c r="I16" s="12"/>
      <c r="J16" s="12">
        <f>2032559+24650433</f>
        <v>26682992</v>
      </c>
      <c r="K16" s="20"/>
      <c r="L16" s="20">
        <f>8535884+21158432</f>
        <v>29694316</v>
      </c>
      <c r="M16" s="66">
        <v>26477862</v>
      </c>
      <c r="N16" s="63">
        <f>20122460+52200343</f>
        <v>72322803</v>
      </c>
      <c r="O16" s="35">
        <f t="shared" si="0"/>
        <v>155177973</v>
      </c>
    </row>
    <row r="17" spans="1:16" ht="16.5" customHeight="1">
      <c r="A17" s="38" t="s">
        <v>252</v>
      </c>
      <c r="B17" s="36" t="s">
        <v>253</v>
      </c>
      <c r="C17" s="37"/>
      <c r="D17" s="20"/>
      <c r="E17" s="20"/>
      <c r="F17" s="20"/>
      <c r="G17" s="20"/>
      <c r="H17" s="12"/>
      <c r="I17" s="12"/>
      <c r="J17" s="12"/>
      <c r="K17" s="20"/>
      <c r="L17" s="20"/>
      <c r="M17" s="20"/>
      <c r="N17" s="20">
        <f>54561054+26174645</f>
        <v>80735699</v>
      </c>
      <c r="O17" s="35">
        <f t="shared" si="0"/>
        <v>80735699</v>
      </c>
    </row>
    <row r="18" spans="1:16" ht="16.5" customHeight="1" thickBot="1">
      <c r="A18" s="44"/>
      <c r="B18" s="45" t="s">
        <v>254</v>
      </c>
      <c r="C18" s="46"/>
      <c r="D18" s="47"/>
      <c r="E18" s="47"/>
      <c r="F18" s="47"/>
      <c r="G18" s="47"/>
      <c r="H18" s="48"/>
      <c r="I18" s="48"/>
      <c r="J18" s="48"/>
      <c r="K18" s="47"/>
      <c r="L18" s="47"/>
      <c r="M18" s="68">
        <v>26314859</v>
      </c>
      <c r="N18" s="64">
        <f>15523376+14014989</f>
        <v>29538365</v>
      </c>
      <c r="O18" s="35">
        <f t="shared" si="0"/>
        <v>55853224</v>
      </c>
    </row>
    <row r="19" spans="1:16" ht="23.25" customHeight="1" thickBot="1">
      <c r="A19" s="43"/>
      <c r="B19" s="7" t="s">
        <v>231</v>
      </c>
      <c r="C19" s="49">
        <f>SUM(C4:C13)</f>
        <v>139855025.167</v>
      </c>
      <c r="D19" s="27">
        <f t="shared" ref="D19:O19" si="1">SUM(D4:D18)</f>
        <v>95554801</v>
      </c>
      <c r="E19" s="27">
        <f t="shared" si="1"/>
        <v>63832536</v>
      </c>
      <c r="F19" s="27">
        <f t="shared" si="1"/>
        <v>55710996</v>
      </c>
      <c r="G19" s="27">
        <f t="shared" si="1"/>
        <v>36844068</v>
      </c>
      <c r="H19" s="27">
        <f t="shared" si="1"/>
        <v>34501001</v>
      </c>
      <c r="I19" s="27">
        <f t="shared" si="1"/>
        <v>57666575</v>
      </c>
      <c r="J19" s="27">
        <f t="shared" si="1"/>
        <v>170387135</v>
      </c>
      <c r="K19" s="27">
        <f t="shared" si="1"/>
        <v>23058459</v>
      </c>
      <c r="L19" s="27">
        <f t="shared" si="1"/>
        <v>104262504</v>
      </c>
      <c r="M19" s="27">
        <f>SUM(M4:M18)</f>
        <v>361178088</v>
      </c>
      <c r="N19" s="27">
        <f>SUM(N4:N18)</f>
        <v>229432635</v>
      </c>
      <c r="O19" s="27">
        <f t="shared" si="1"/>
        <v>1372283823.1670001</v>
      </c>
      <c r="P19" s="2" t="e">
        <f>SUM(O19-'Flujo Redco 2025 v1'!#REF!)</f>
        <v>#REF!</v>
      </c>
    </row>
    <row r="20" spans="1:16" ht="23.25" customHeight="1">
      <c r="A20" s="43"/>
      <c r="B20" s="1"/>
      <c r="C20" s="50" t="e">
        <f>SUM('Flujo Redco 2025 v1'!#REF!)</f>
        <v>#REF!</v>
      </c>
      <c r="D20" s="50" t="e">
        <f>SUM('Flujo Redco 2025 v1'!#REF!)</f>
        <v>#REF!</v>
      </c>
      <c r="E20" s="50" t="e">
        <f>SUM('Flujo Redco 2025 v1'!#REF!)</f>
        <v>#REF!</v>
      </c>
      <c r="F20" s="50" t="e">
        <f>SUM('Flujo Redco 2025 v1'!#REF!)</f>
        <v>#REF!</v>
      </c>
      <c r="G20" s="50" t="e">
        <f>SUM('Flujo Redco 2025 v1'!#REF!)</f>
        <v>#REF!</v>
      </c>
      <c r="H20" s="50" t="e">
        <f>SUM('Flujo Redco 2025 v1'!#REF!)</f>
        <v>#REF!</v>
      </c>
      <c r="I20" s="50" t="e">
        <f>SUM('Flujo Redco 2025 v1'!#REF!)</f>
        <v>#REF!</v>
      </c>
      <c r="J20" s="50" t="e">
        <f>SUM('Flujo Redco 2025 v1'!#REF!)</f>
        <v>#REF!</v>
      </c>
      <c r="K20" s="50" t="e">
        <f>SUM('Flujo Redco 2025 v1'!#REF!)</f>
        <v>#REF!</v>
      </c>
      <c r="L20" s="50" t="e">
        <f>SUM('Flujo Redco 2025 v1'!#REF!)</f>
        <v>#REF!</v>
      </c>
      <c r="M20" s="2527" t="s">
        <v>255</v>
      </c>
      <c r="N20" s="2527"/>
      <c r="O20" s="5">
        <v>8167262</v>
      </c>
    </row>
    <row r="21" spans="1:16" ht="23.25" customHeight="1">
      <c r="A21" s="43"/>
      <c r="B21" s="6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2528" t="s">
        <v>256</v>
      </c>
      <c r="N21" s="2529"/>
      <c r="O21" s="51">
        <v>-17314376</v>
      </c>
    </row>
    <row r="22" spans="1:16" ht="23.25" customHeight="1">
      <c r="A22" s="43"/>
      <c r="B22" s="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2528" t="s">
        <v>257</v>
      </c>
      <c r="N22" s="2529"/>
      <c r="O22" s="51">
        <f>SUM(C4+C10+D11)*-1</f>
        <v>-109165754.167</v>
      </c>
    </row>
    <row r="23" spans="1:16" ht="23.25" customHeight="1">
      <c r="A23" s="43"/>
      <c r="B23" s="1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" t="s">
        <v>258</v>
      </c>
      <c r="N23" s="5"/>
      <c r="O23" s="5">
        <v>87654150</v>
      </c>
    </row>
    <row r="24" spans="1:16" ht="23.25" customHeight="1">
      <c r="A24" s="43"/>
      <c r="B24" s="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2530" t="s">
        <v>259</v>
      </c>
      <c r="N24" s="2531" t="s">
        <v>260</v>
      </c>
      <c r="O24" s="52">
        <f>SUM(O44:O48)</f>
        <v>1341625107</v>
      </c>
    </row>
    <row r="26" spans="1:16" s="53" customFormat="1"/>
    <row r="27" spans="1:16" s="53" customFormat="1" ht="16" thickBot="1"/>
    <row r="28" spans="1:16" ht="18" customHeight="1" thickBot="1">
      <c r="A28" s="3"/>
      <c r="B28" s="54" t="s">
        <v>261</v>
      </c>
      <c r="C28" s="55">
        <v>43831</v>
      </c>
      <c r="D28" s="55">
        <v>43862</v>
      </c>
      <c r="E28" s="55">
        <v>43891</v>
      </c>
      <c r="F28" s="55">
        <v>43922</v>
      </c>
      <c r="G28" s="55">
        <v>44317</v>
      </c>
      <c r="H28" s="55">
        <v>44348</v>
      </c>
      <c r="I28" s="55">
        <v>44378</v>
      </c>
      <c r="J28" s="55">
        <v>44409</v>
      </c>
      <c r="K28" s="55">
        <v>44440</v>
      </c>
      <c r="L28" s="55">
        <v>44470</v>
      </c>
      <c r="M28" s="55">
        <v>44501</v>
      </c>
      <c r="N28" s="55">
        <v>44531</v>
      </c>
      <c r="O28" s="55" t="s">
        <v>262</v>
      </c>
    </row>
    <row r="29" spans="1:16" ht="18.75" customHeight="1" thickBot="1">
      <c r="A29" s="3"/>
      <c r="B29" s="11" t="s">
        <v>22</v>
      </c>
      <c r="C29" s="4" t="s">
        <v>23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</row>
    <row r="30" spans="1:16" s="53" customFormat="1">
      <c r="B30" s="17" t="s">
        <v>263</v>
      </c>
      <c r="C30" s="28">
        <v>21356888</v>
      </c>
      <c r="D30" s="5"/>
      <c r="E30" s="5">
        <f>36659056+36381538</f>
        <v>73040594</v>
      </c>
      <c r="F30" s="5"/>
      <c r="G30" s="5">
        <v>36844068</v>
      </c>
      <c r="H30" s="5">
        <v>34501001</v>
      </c>
      <c r="I30" s="5">
        <v>32653412</v>
      </c>
      <c r="J30" s="5">
        <v>39055346</v>
      </c>
      <c r="K30" s="5">
        <v>28484298</v>
      </c>
      <c r="L30" s="5">
        <v>25152809</v>
      </c>
      <c r="M30" s="5">
        <v>26364259</v>
      </c>
      <c r="N30" s="5"/>
      <c r="O30" s="56">
        <f>SUM(C30:N30)</f>
        <v>317452675</v>
      </c>
    </row>
    <row r="31" spans="1:16" s="53" customFormat="1">
      <c r="B31" s="25" t="s">
        <v>264</v>
      </c>
      <c r="C31" s="57">
        <v>-17314376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6">
        <f t="shared" ref="O31:O43" si="2">SUM(C31:N31)</f>
        <v>-17314376</v>
      </c>
    </row>
    <row r="32" spans="1:16" s="53" customFormat="1">
      <c r="B32" s="25" t="s">
        <v>265</v>
      </c>
      <c r="C32" s="28"/>
      <c r="D32" s="5">
        <v>38505894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6">
        <f t="shared" si="2"/>
        <v>38505894</v>
      </c>
    </row>
    <row r="33" spans="1:15" s="53" customFormat="1">
      <c r="B33" s="25" t="s">
        <v>266</v>
      </c>
      <c r="C33" s="28"/>
      <c r="D33" s="5"/>
      <c r="E33" s="5"/>
      <c r="F33" s="5"/>
      <c r="G33" s="5"/>
      <c r="H33" s="5">
        <v>25013163</v>
      </c>
      <c r="I33" s="5">
        <v>26748043</v>
      </c>
      <c r="J33" s="5"/>
      <c r="K33" s="5"/>
      <c r="L33" s="5"/>
      <c r="M33" s="5"/>
      <c r="N33" s="5"/>
      <c r="O33" s="56">
        <f t="shared" si="2"/>
        <v>51761206</v>
      </c>
    </row>
    <row r="34" spans="1:15" s="53" customFormat="1">
      <c r="B34" s="25" t="s">
        <v>251</v>
      </c>
      <c r="C34" s="28"/>
      <c r="D34" s="5"/>
      <c r="E34" s="5"/>
      <c r="F34" s="5"/>
      <c r="G34" s="5"/>
      <c r="H34" s="5"/>
      <c r="I34" s="5">
        <f>2139536+25947824</f>
        <v>28087360</v>
      </c>
      <c r="J34" s="5"/>
      <c r="K34" s="5">
        <v>8985141</v>
      </c>
      <c r="L34" s="5">
        <v>22272034</v>
      </c>
      <c r="M34" s="5">
        <f>27871434+21181537</f>
        <v>49052971</v>
      </c>
      <c r="N34" s="5">
        <f>87654150+54947730</f>
        <v>142601880</v>
      </c>
      <c r="O34" s="56">
        <f t="shared" si="2"/>
        <v>250999386</v>
      </c>
    </row>
    <row r="35" spans="1:15" s="53" customFormat="1">
      <c r="B35" s="25" t="s">
        <v>267</v>
      </c>
      <c r="C35" s="28"/>
      <c r="D35" s="5"/>
      <c r="E35" s="5"/>
      <c r="F35" s="5"/>
      <c r="G35" s="5"/>
      <c r="H35" s="5"/>
      <c r="I35" s="5">
        <f>15968473+2873277</f>
        <v>18841750</v>
      </c>
      <c r="J35" s="5"/>
      <c r="K35" s="5"/>
      <c r="L35" s="5"/>
      <c r="M35" s="5"/>
      <c r="N35" s="5"/>
      <c r="O35" s="56">
        <f t="shared" si="2"/>
        <v>18841750</v>
      </c>
    </row>
    <row r="36" spans="1:15" s="53" customFormat="1">
      <c r="B36" s="25" t="s">
        <v>268</v>
      </c>
      <c r="C36" s="28"/>
      <c r="D36" s="5"/>
      <c r="E36" s="5"/>
      <c r="F36" s="5"/>
      <c r="G36" s="5"/>
      <c r="H36" s="5"/>
      <c r="I36" s="5">
        <f>19262456+22622794</f>
        <v>41885250</v>
      </c>
      <c r="J36" s="5">
        <v>23058459</v>
      </c>
      <c r="K36" s="5">
        <v>10213761</v>
      </c>
      <c r="L36" s="5"/>
      <c r="M36" s="5"/>
      <c r="N36" s="5"/>
      <c r="O36" s="56">
        <f t="shared" si="2"/>
        <v>75157470</v>
      </c>
    </row>
    <row r="37" spans="1:15" s="53" customFormat="1">
      <c r="B37" s="25" t="s">
        <v>269</v>
      </c>
      <c r="C37" s="28"/>
      <c r="D37" s="5"/>
      <c r="E37" s="5"/>
      <c r="F37" s="5"/>
      <c r="G37" s="5"/>
      <c r="H37" s="5"/>
      <c r="I37" s="5"/>
      <c r="J37" s="5"/>
      <c r="K37" s="5"/>
      <c r="L37" s="5">
        <v>26314859</v>
      </c>
      <c r="M37" s="5">
        <f>15523376+14014989</f>
        <v>29538365</v>
      </c>
      <c r="N37" s="5"/>
      <c r="O37" s="56">
        <f t="shared" si="2"/>
        <v>55853224</v>
      </c>
    </row>
    <row r="38" spans="1:15" s="53" customFormat="1">
      <c r="B38" s="25" t="s">
        <v>270</v>
      </c>
      <c r="C38" s="28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54561055+26174645</f>
        <v>80735700</v>
      </c>
      <c r="O38" s="56">
        <f t="shared" si="2"/>
        <v>80735700</v>
      </c>
    </row>
    <row r="39" spans="1:15">
      <c r="A39" s="43" t="s">
        <v>235</v>
      </c>
      <c r="B39" s="25" t="s">
        <v>236</v>
      </c>
      <c r="C39" s="37">
        <v>47998010</v>
      </c>
      <c r="D39" s="20">
        <v>18383280</v>
      </c>
      <c r="E39" s="12">
        <v>27173480</v>
      </c>
      <c r="F39" s="20">
        <f>7721015+11608443</f>
        <v>19329458</v>
      </c>
      <c r="G39" s="20"/>
      <c r="H39" s="20"/>
      <c r="I39" s="12"/>
      <c r="J39" s="20">
        <v>17173754</v>
      </c>
      <c r="K39" s="20"/>
      <c r="L39" s="23"/>
      <c r="M39" s="23"/>
      <c r="N39" s="20"/>
      <c r="O39" s="56">
        <f t="shared" si="2"/>
        <v>130057982</v>
      </c>
    </row>
    <row r="40" spans="1:15" ht="16.5" customHeight="1">
      <c r="A40" s="38" t="s">
        <v>237</v>
      </c>
      <c r="B40" s="25" t="s">
        <v>238</v>
      </c>
      <c r="C40" s="37"/>
      <c r="D40" s="20"/>
      <c r="E40" s="20"/>
      <c r="F40" s="20"/>
      <c r="G40" s="20"/>
      <c r="H40" s="12"/>
      <c r="I40" s="23"/>
      <c r="J40" s="12"/>
      <c r="K40" s="20"/>
      <c r="L40" s="23"/>
      <c r="M40" s="5">
        <v>83802062</v>
      </c>
      <c r="N40" s="20"/>
      <c r="O40" s="56">
        <f t="shared" si="2"/>
        <v>83802062</v>
      </c>
    </row>
    <row r="41" spans="1:15" ht="16.5" customHeight="1">
      <c r="A41" s="38" t="s">
        <v>239</v>
      </c>
      <c r="B41" s="25" t="s">
        <v>271</v>
      </c>
      <c r="C41" s="37"/>
      <c r="D41" s="20"/>
      <c r="E41" s="20"/>
      <c r="F41" s="20"/>
      <c r="G41" s="20"/>
      <c r="H41" s="12"/>
      <c r="I41" s="23"/>
      <c r="J41" s="12"/>
      <c r="K41" s="20"/>
      <c r="L41" s="20">
        <v>10717320</v>
      </c>
      <c r="M41" s="20"/>
      <c r="N41" s="20"/>
      <c r="O41" s="56">
        <f t="shared" si="2"/>
        <v>10717320</v>
      </c>
    </row>
    <row r="42" spans="1:15" ht="16.5" customHeight="1">
      <c r="A42" s="38" t="s">
        <v>241</v>
      </c>
      <c r="B42" s="25" t="s">
        <v>272</v>
      </c>
      <c r="C42" s="37"/>
      <c r="D42" s="20"/>
      <c r="E42" s="20"/>
      <c r="F42" s="20"/>
      <c r="G42" s="20"/>
      <c r="H42" s="12"/>
      <c r="I42" s="23"/>
      <c r="J42" s="12"/>
      <c r="K42" s="20"/>
      <c r="L42" s="20"/>
      <c r="M42" s="20"/>
      <c r="N42" s="20">
        <v>46835768</v>
      </c>
      <c r="O42" s="56">
        <f t="shared" si="2"/>
        <v>46835768</v>
      </c>
    </row>
    <row r="43" spans="1:15" ht="16.5" customHeight="1" thickBot="1">
      <c r="A43" s="38" t="s">
        <v>243</v>
      </c>
      <c r="B43" s="58" t="s">
        <v>244</v>
      </c>
      <c r="C43" s="46"/>
      <c r="D43" s="47"/>
      <c r="E43" s="47"/>
      <c r="F43" s="47"/>
      <c r="G43" s="47"/>
      <c r="H43" s="48"/>
      <c r="I43" s="48"/>
      <c r="J43" s="48"/>
      <c r="K43" s="47"/>
      <c r="L43" s="6"/>
      <c r="M43" s="47">
        <v>198219046</v>
      </c>
      <c r="N43" s="47"/>
      <c r="O43" s="59">
        <f t="shared" si="2"/>
        <v>198219046</v>
      </c>
    </row>
    <row r="44" spans="1:15" s="53" customFormat="1" ht="20.25" customHeight="1" thickBot="1">
      <c r="B44" s="27" t="s">
        <v>273</v>
      </c>
      <c r="C44" s="60">
        <f t="shared" ref="C44:O44" si="3">SUM(C30:C43)</f>
        <v>52040522</v>
      </c>
      <c r="D44" s="32">
        <f t="shared" si="3"/>
        <v>56889174</v>
      </c>
      <c r="E44" s="32">
        <f t="shared" si="3"/>
        <v>100214074</v>
      </c>
      <c r="F44" s="32">
        <f t="shared" si="3"/>
        <v>19329458</v>
      </c>
      <c r="G44" s="32">
        <f t="shared" si="3"/>
        <v>36844068</v>
      </c>
      <c r="H44" s="32">
        <f t="shared" si="3"/>
        <v>59514164</v>
      </c>
      <c r="I44" s="32">
        <f t="shared" si="3"/>
        <v>148215815</v>
      </c>
      <c r="J44" s="32">
        <f t="shared" si="3"/>
        <v>79287559</v>
      </c>
      <c r="K44" s="32">
        <f t="shared" si="3"/>
        <v>47683200</v>
      </c>
      <c r="L44" s="32">
        <f t="shared" si="3"/>
        <v>84457022</v>
      </c>
      <c r="M44" s="32">
        <f t="shared" si="3"/>
        <v>386976703</v>
      </c>
      <c r="N44" s="32">
        <f t="shared" si="3"/>
        <v>270173348</v>
      </c>
      <c r="O44" s="61">
        <f t="shared" si="3"/>
        <v>1341625107</v>
      </c>
    </row>
    <row r="45" spans="1:15" s="53" customFormat="1"/>
    <row r="46" spans="1:15" s="53" customFormat="1"/>
    <row r="47" spans="1:15" s="53" customFormat="1"/>
    <row r="48" spans="1:15" s="53" customFormat="1"/>
    <row r="49" spans="13:14" s="53" customFormat="1"/>
    <row r="50" spans="13:14" s="53" customFormat="1"/>
    <row r="51" spans="13:14" s="53" customFormat="1">
      <c r="M51" s="62"/>
      <c r="N51" s="62"/>
    </row>
    <row r="52" spans="13:14" s="53" customFormat="1"/>
    <row r="53" spans="13:14" s="53" customFormat="1"/>
    <row r="54" spans="13:14" s="53" customFormat="1"/>
    <row r="55" spans="13:14" s="53" customFormat="1"/>
    <row r="56" spans="13:14" s="53" customFormat="1"/>
    <row r="57" spans="13:14" s="53" customFormat="1"/>
    <row r="58" spans="13:14" s="53" customFormat="1"/>
    <row r="59" spans="13:14" s="53" customFormat="1"/>
    <row r="60" spans="13:14" s="53" customFormat="1"/>
    <row r="61" spans="13:14" s="53" customFormat="1"/>
    <row r="62" spans="13:14" s="53" customFormat="1"/>
    <row r="63" spans="13:14" s="53" customFormat="1"/>
  </sheetData>
  <mergeCells count="4">
    <mergeCell ref="M20:N20"/>
    <mergeCell ref="M21:N21"/>
    <mergeCell ref="M22:N22"/>
    <mergeCell ref="M24:N2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6E07D2-5D2F-4F5A-A214-1563A29C4B3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A2E0E4A-CA41-42F5-8E28-BD4F5F1A5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a94c6-a08a-4f31-80d4-9ed0227976f0"/>
    <ds:schemaRef ds:uri="379e1408-2888-4c35-8838-6acad26c5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3BEC7E-4318-4A18-85DA-ED0FEFD726D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9A36FC5-E576-4DD4-814D-9A82D3259C28}">
  <ds:schemaRefs>
    <ds:schemaRef ds:uri="379e1408-2888-4c35-8838-6acad26c5d63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aaa94c6-a08a-4f31-80d4-9ed0227976f0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39</vt:i4>
      </vt:variant>
      <vt:variant>
        <vt:lpstr>Rangos con nombre</vt:lpstr>
      </vt:variant>
      <vt:variant>
        <vt:i4>8</vt:i4>
      </vt:variant>
    </vt:vector>
  </HeadingPairs>
  <TitlesOfParts>
    <vt:vector size="47" baseType="lpstr">
      <vt:lpstr>Flujo Redco 2025 v1</vt:lpstr>
      <vt:lpstr>Bono Anual 2024</vt:lpstr>
      <vt:lpstr>Resumen Flujo consolidado </vt:lpstr>
      <vt:lpstr>Tabla Análisis (2)</vt:lpstr>
      <vt:lpstr>Ppto vs Real_Nov</vt:lpstr>
      <vt:lpstr>Tabla datos unidades_Dic</vt:lpstr>
      <vt:lpstr>Tabla datos unidades_Sept</vt:lpstr>
      <vt:lpstr>Tabla datos unidades</vt:lpstr>
      <vt:lpstr>Flujo Anual por unidad 2025</vt:lpstr>
      <vt:lpstr>Flujo Consolidado por mes</vt:lpstr>
      <vt:lpstr>Flujo por empresa acum.</vt:lpstr>
      <vt:lpstr>Tabla Análisis</vt:lpstr>
      <vt:lpstr>Gasto Operacional_Dic</vt:lpstr>
      <vt:lpstr>Flujo Redco Chile</vt:lpstr>
      <vt:lpstr>Flujo Redco Perú</vt:lpstr>
      <vt:lpstr>Flujo Redco Brasil</vt:lpstr>
      <vt:lpstr>Flujo Redco USA</vt:lpstr>
      <vt:lpstr>Flujo Redco BVI</vt:lpstr>
      <vt:lpstr>Facturas e Ingresos 2025</vt:lpstr>
      <vt:lpstr>Ingresos febrero</vt:lpstr>
      <vt:lpstr>Ingresos marzo</vt:lpstr>
      <vt:lpstr>Préstamo BVI</vt:lpstr>
      <vt:lpstr>FFMM</vt:lpstr>
      <vt:lpstr>ANGLO AMERICAN</vt:lpstr>
      <vt:lpstr>CMP Ret. 5%</vt:lpstr>
      <vt:lpstr>Facts. e Ingresos Perú</vt:lpstr>
      <vt:lpstr>Facts. e Ingresos Brasil</vt:lpstr>
      <vt:lpstr>Facts. e Ingresos USA</vt:lpstr>
      <vt:lpstr>Saldos ctas. ctes.</vt:lpstr>
      <vt:lpstr>Pagos sept.</vt:lpstr>
      <vt:lpstr>Hoja2</vt:lpstr>
      <vt:lpstr>Pagos agosto</vt:lpstr>
      <vt:lpstr>Nómina de pago mayo 2025</vt:lpstr>
      <vt:lpstr>Nómina pagos abril 2025</vt:lpstr>
      <vt:lpstr>Nómina de pago junio</vt:lpstr>
      <vt:lpstr>Facturas e Ingresos 2024</vt:lpstr>
      <vt:lpstr>Boletas Gtía.</vt:lpstr>
      <vt:lpstr>Btas. de garantía</vt:lpstr>
      <vt:lpstr>INGRESOS </vt:lpstr>
      <vt:lpstr>'Facturas e Ingresos 2024'!Área_de_impresión</vt:lpstr>
      <vt:lpstr>'Facturas e Ingresos 2025'!Área_de_impresión</vt:lpstr>
      <vt:lpstr>'Flujo Anual por unidad 2025'!Área_de_impresión</vt:lpstr>
      <vt:lpstr>'Flujo por empresa acum.'!Área_de_impresión</vt:lpstr>
      <vt:lpstr>'Flujo Redco 2025 v1'!Área_de_impresión</vt:lpstr>
      <vt:lpstr>'Nómina de pago mayo 2025'!Área_de_impresión</vt:lpstr>
      <vt:lpstr>'Nómina pagos abril 2025'!Área_de_impresión</vt:lpstr>
      <vt:lpstr>'Pagos sept.'!Área_de_impresión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</dc:creator>
  <cp:keywords/>
  <dc:description/>
  <cp:lastModifiedBy>Daniel Cuero</cp:lastModifiedBy>
  <cp:revision/>
  <cp:lastPrinted>2025-10-07T17:23:36Z</cp:lastPrinted>
  <dcterms:created xsi:type="dcterms:W3CDTF">2017-01-31T13:08:05Z</dcterms:created>
  <dcterms:modified xsi:type="dcterms:W3CDTF">2026-07-06T05:32:18Z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