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1.xml" ContentType="application/vnd.openxmlformats-officedocument.themeOverride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cm/udd/redco_proyect/pilar_a/data/Archivos 2026/"/>
    </mc:Choice>
  </mc:AlternateContent>
  <xr:revisionPtr revIDLastSave="0" documentId="13_ncr:1_{EB8CAE78-8A39-804E-82C0-DA6BE821FA65}" xr6:coauthVersionLast="47" xr6:coauthVersionMax="47" xr10:uidLastSave="{00000000-0000-0000-0000-000000000000}"/>
  <bookViews>
    <workbookView xWindow="3820" yWindow="2380" windowWidth="23260" windowHeight="13020" activeTab="7" xr2:uid="{4C009CC9-234F-4387-A9FC-237F9D80746C}"/>
  </bookViews>
  <sheets>
    <sheet name="KPIs_v1" sheetId="4" state="hidden" r:id="rId1"/>
    <sheet name="Respaldo" sheetId="3" state="hidden" r:id="rId2"/>
    <sheet name="KPI´s de negocio 2024" sheetId="1" state="hidden" r:id="rId3"/>
    <sheet name="KPI´s de negocio REDCO" sheetId="5" state="hidden" r:id="rId4"/>
    <sheet name="Modulo 2025" sheetId="6" state="hidden" r:id="rId5"/>
    <sheet name="Compromisos" sheetId="8" state="hidden" r:id="rId6"/>
    <sheet name="KPI´s de negocio 2025" sheetId="7" r:id="rId7"/>
    <sheet name="KPI´s de negocio 2026" sheetId="10" r:id="rId8"/>
    <sheet name="Ventas 2026" sheetId="11" state="hidden" r:id="rId9"/>
    <sheet name="Análisis Comparativo" sheetId="15" r:id="rId10"/>
    <sheet name="Dashboard 2026" sheetId="14" r:id="rId11"/>
    <sheet name="Vasos comunicantes" sheetId="16" r:id="rId1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0" l="1"/>
  <c r="BV15" i="10"/>
  <c r="H112" i="15"/>
  <c r="G112" i="15"/>
  <c r="D112" i="15"/>
  <c r="C112" i="15"/>
  <c r="P112" i="15"/>
  <c r="O112" i="15"/>
  <c r="L112" i="15"/>
  <c r="K112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E63" i="15"/>
  <c r="E62" i="15"/>
  <c r="E61" i="15"/>
  <c r="E60" i="15"/>
  <c r="E59" i="15"/>
  <c r="E58" i="15"/>
  <c r="E57" i="15"/>
  <c r="E56" i="15"/>
  <c r="E55" i="15"/>
  <c r="E54" i="15"/>
  <c r="E53" i="15"/>
  <c r="E52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R29" i="15"/>
  <c r="Q29" i="15"/>
  <c r="P29" i="15"/>
  <c r="R28" i="15"/>
  <c r="Q28" i="15"/>
  <c r="P28" i="15"/>
  <c r="R27" i="15"/>
  <c r="Q27" i="15"/>
  <c r="P27" i="15"/>
  <c r="R26" i="15"/>
  <c r="Q26" i="15"/>
  <c r="P26" i="15"/>
  <c r="R25" i="15"/>
  <c r="Q25" i="15"/>
  <c r="P25" i="15"/>
  <c r="R24" i="15"/>
  <c r="Q24" i="15"/>
  <c r="P24" i="15"/>
  <c r="R23" i="15"/>
  <c r="Q23" i="15"/>
  <c r="P23" i="15"/>
  <c r="R22" i="15"/>
  <c r="Q22" i="15"/>
  <c r="P22" i="15"/>
  <c r="R21" i="15"/>
  <c r="Q21" i="15"/>
  <c r="P21" i="15"/>
  <c r="R20" i="15"/>
  <c r="Q20" i="15"/>
  <c r="P20" i="15"/>
  <c r="R19" i="15"/>
  <c r="Q19" i="15"/>
  <c r="P19" i="15"/>
  <c r="R18" i="15"/>
  <c r="Q18" i="15"/>
  <c r="P18" i="15"/>
  <c r="R17" i="15"/>
  <c r="Q17" i="15"/>
  <c r="P17" i="15"/>
  <c r="R16" i="15"/>
  <c r="Q16" i="15"/>
  <c r="P16" i="15"/>
  <c r="BU25" i="10"/>
  <c r="BU24" i="10"/>
  <c r="BU15" i="10"/>
  <c r="BU14" i="10"/>
  <c r="BU13" i="10"/>
  <c r="BU12" i="10"/>
  <c r="BU11" i="10"/>
  <c r="BU10" i="10"/>
  <c r="BU9" i="10"/>
  <c r="BU8" i="10"/>
  <c r="BU7" i="10"/>
  <c r="BU6" i="10"/>
  <c r="BU5" i="10"/>
  <c r="BU4" i="10"/>
  <c r="BU3" i="10"/>
  <c r="BT17" i="10" l="1"/>
  <c r="BT16" i="10"/>
  <c r="BT15" i="10"/>
  <c r="BT11" i="10"/>
  <c r="BT9" i="10"/>
  <c r="BT7" i="10"/>
  <c r="BT5" i="10"/>
  <c r="BT3" i="10"/>
  <c r="AL27" i="10"/>
  <c r="BT26" i="10" s="1"/>
  <c r="AL26" i="10"/>
  <c r="BU26" i="10" s="1"/>
  <c r="AL25" i="10"/>
  <c r="AL24" i="10"/>
  <c r="AL23" i="10"/>
  <c r="AL22" i="10"/>
  <c r="BU22" i="10" s="1"/>
  <c r="AL21" i="10"/>
  <c r="BU21" i="10" s="1"/>
  <c r="AL20" i="10"/>
  <c r="BU20" i="10" s="1"/>
  <c r="AH19" i="10"/>
  <c r="AH18" i="10"/>
  <c r="AL15" i="10"/>
  <c r="AF10" i="10"/>
  <c r="AF9" i="10"/>
  <c r="CC4" i="10" l="1"/>
  <c r="BU27" i="10"/>
  <c r="CC5" i="10"/>
  <c r="BU23" i="10"/>
  <c r="BT20" i="10"/>
  <c r="BT22" i="10"/>
  <c r="BT24" i="10"/>
  <c r="AA12" i="10" l="1"/>
  <c r="AA11" i="10"/>
  <c r="AA10" i="10"/>
  <c r="BU17" i="10"/>
  <c r="AG27" i="10" l="1"/>
  <c r="AG26" i="10"/>
  <c r="AG25" i="10"/>
  <c r="AG24" i="10"/>
  <c r="AG23" i="10"/>
  <c r="AG22" i="10"/>
  <c r="AG21" i="10"/>
  <c r="AG20" i="10"/>
  <c r="AG15" i="10"/>
  <c r="AE15" i="10" l="1"/>
  <c r="AF19" i="10" l="1"/>
  <c r="AE19" i="10"/>
  <c r="AD19" i="10"/>
  <c r="AF18" i="10"/>
  <c r="AE18" i="10"/>
  <c r="AD18" i="10"/>
  <c r="AC18" i="10"/>
  <c r="AC19" i="10"/>
  <c r="AA9" i="10"/>
  <c r="J11" i="14"/>
  <c r="H11" i="14"/>
  <c r="F11" i="14"/>
  <c r="D11" i="14"/>
  <c r="B11" i="14"/>
  <c r="J7" i="14"/>
  <c r="H7" i="14"/>
  <c r="F7" i="14"/>
  <c r="D7" i="14"/>
  <c r="B7" i="14"/>
  <c r="K54" i="16"/>
  <c r="E54" i="16"/>
  <c r="F54" i="16" s="1"/>
  <c r="F53" i="16"/>
  <c r="F52" i="16"/>
  <c r="F51" i="16"/>
  <c r="F50" i="16"/>
  <c r="U12" i="10" l="1"/>
  <c r="U11" i="10"/>
  <c r="U9" i="10"/>
  <c r="U10" i="10"/>
  <c r="AB27" i="10" l="1"/>
  <c r="AB26" i="10"/>
  <c r="AB23" i="10"/>
  <c r="AB22" i="10"/>
  <c r="AB21" i="10"/>
  <c r="AB20" i="10"/>
  <c r="AB25" i="10"/>
  <c r="AB24" i="10"/>
  <c r="AA18" i="10"/>
  <c r="AB18" i="10" s="1"/>
  <c r="AA19" i="10"/>
  <c r="AB19" i="10" s="1"/>
  <c r="AB15" i="10"/>
  <c r="N28" i="15" s="1"/>
  <c r="M28" i="15"/>
  <c r="M25" i="15"/>
  <c r="M24" i="15"/>
  <c r="J28" i="15"/>
  <c r="J26" i="15"/>
  <c r="J25" i="15"/>
  <c r="H28" i="15"/>
  <c r="G28" i="15"/>
  <c r="G27" i="15"/>
  <c r="K109" i="15" s="1"/>
  <c r="G26" i="15"/>
  <c r="G25" i="15"/>
  <c r="G24" i="15"/>
  <c r="E28" i="15"/>
  <c r="D28" i="15"/>
  <c r="D27" i="15"/>
  <c r="D26" i="15"/>
  <c r="D25" i="15"/>
  <c r="D24" i="15"/>
  <c r="Z10" i="10"/>
  <c r="Z9" i="10"/>
  <c r="V6" i="10"/>
  <c r="K19" i="15" s="1"/>
  <c r="V5" i="10"/>
  <c r="K18" i="15" s="1"/>
  <c r="O111" i="15" l="1"/>
  <c r="K108" i="15"/>
  <c r="O28" i="15"/>
  <c r="P111" i="15"/>
  <c r="F28" i="15"/>
  <c r="O108" i="15"/>
  <c r="O109" i="15"/>
  <c r="O110" i="15"/>
  <c r="D110" i="15"/>
  <c r="P108" i="15"/>
  <c r="P109" i="15"/>
  <c r="I28" i="15"/>
  <c r="I58" i="15" l="1"/>
  <c r="I62" i="15"/>
  <c r="J9" i="15"/>
  <c r="F58" i="15"/>
  <c r="F62" i="15"/>
  <c r="Z12" i="10" l="1"/>
  <c r="Z11" i="10"/>
  <c r="Z18" i="10"/>
  <c r="Z19" i="10"/>
  <c r="Y23" i="10" l="1"/>
  <c r="Y19" i="10" s="1"/>
  <c r="Y18" i="10"/>
  <c r="X23" i="10"/>
  <c r="X19" i="10" s="1"/>
  <c r="X18" i="10"/>
  <c r="K8" i="10"/>
  <c r="K7" i="10"/>
  <c r="U23" i="10"/>
  <c r="V23" i="10" s="1"/>
  <c r="V22" i="10"/>
  <c r="V17" i="10" l="1"/>
  <c r="Q17" i="10"/>
  <c r="L17" i="10"/>
  <c r="Q25" i="10"/>
  <c r="Q24" i="10"/>
  <c r="U18" i="10"/>
  <c r="V25" i="10"/>
  <c r="V24" i="10"/>
  <c r="K12" i="10"/>
  <c r="K10" i="10"/>
  <c r="U8" i="10"/>
  <c r="P8" i="10"/>
  <c r="U16" i="10" l="1"/>
  <c r="K16" i="10"/>
  <c r="P16" i="10"/>
  <c r="U19" i="10"/>
  <c r="V15" i="10" l="1"/>
  <c r="K28" i="15" l="1"/>
  <c r="L27" i="10"/>
  <c r="L26" i="10"/>
  <c r="L25" i="10"/>
  <c r="L24" i="10"/>
  <c r="L23" i="10"/>
  <c r="L22" i="10"/>
  <c r="L21" i="10"/>
  <c r="L20" i="10"/>
  <c r="L14" i="10"/>
  <c r="L13" i="10"/>
  <c r="L12" i="10"/>
  <c r="L11" i="10"/>
  <c r="L10" i="10"/>
  <c r="L9" i="10"/>
  <c r="L8" i="10"/>
  <c r="L7" i="10"/>
  <c r="L6" i="10"/>
  <c r="E19" i="15" s="1"/>
  <c r="L5" i="10"/>
  <c r="E18" i="15" s="1"/>
  <c r="O55" i="14" l="1"/>
  <c r="E23" i="15"/>
  <c r="C55" i="14"/>
  <c r="E20" i="15"/>
  <c r="CB10" i="10"/>
  <c r="P55" i="14"/>
  <c r="E25" i="15"/>
  <c r="D108" i="15"/>
  <c r="D55" i="14"/>
  <c r="CC10" i="10"/>
  <c r="E22" i="15"/>
  <c r="E27" i="15"/>
  <c r="Q55" i="14"/>
  <c r="E21" i="15"/>
  <c r="I55" i="14"/>
  <c r="CD10" i="10"/>
  <c r="E24" i="15"/>
  <c r="E55" i="14"/>
  <c r="F55" i="14"/>
  <c r="E26" i="15"/>
  <c r="CE10" i="10"/>
  <c r="P110" i="15"/>
  <c r="L28" i="15"/>
  <c r="G24" i="10"/>
  <c r="G18" i="10"/>
  <c r="G15" i="10"/>
  <c r="G13" i="10"/>
  <c r="G11" i="10"/>
  <c r="G9" i="10"/>
  <c r="G7" i="10"/>
  <c r="G3" i="10"/>
  <c r="BM12" i="10"/>
  <c r="BM11" i="10"/>
  <c r="CD20" i="10" s="1"/>
  <c r="BH12" i="10"/>
  <c r="BH11" i="10"/>
  <c r="CD19" i="10" s="1"/>
  <c r="AW14" i="10"/>
  <c r="AW13" i="10"/>
  <c r="CE17" i="10" s="1"/>
  <c r="AW12" i="10"/>
  <c r="AW11" i="10"/>
  <c r="CD17" i="10" s="1"/>
  <c r="AR14" i="10"/>
  <c r="AR13" i="10"/>
  <c r="CE16" i="10" s="1"/>
  <c r="AR12" i="10"/>
  <c r="AR11" i="10"/>
  <c r="CD16" i="10" s="1"/>
  <c r="AL14" i="10"/>
  <c r="AL13" i="10"/>
  <c r="AG14" i="10"/>
  <c r="BX14" i="10" s="1"/>
  <c r="AG13" i="10"/>
  <c r="BX13" i="10" s="1"/>
  <c r="AG12" i="10"/>
  <c r="BX12" i="10" s="1"/>
  <c r="AG11" i="10"/>
  <c r="BX11" i="10" s="1"/>
  <c r="AB14" i="10"/>
  <c r="AB13" i="10"/>
  <c r="AB12" i="10"/>
  <c r="AB11" i="10"/>
  <c r="V14" i="10"/>
  <c r="V13" i="10"/>
  <c r="V12" i="10"/>
  <c r="V11" i="10"/>
  <c r="Q14" i="10"/>
  <c r="Q13" i="10"/>
  <c r="Q12" i="10"/>
  <c r="Q11" i="10"/>
  <c r="BS27" i="10"/>
  <c r="BM27" i="10"/>
  <c r="BH27" i="10"/>
  <c r="BB27" i="10"/>
  <c r="AW27" i="10"/>
  <c r="AR27" i="10"/>
  <c r="V27" i="10"/>
  <c r="Q27" i="10"/>
  <c r="BS26" i="10"/>
  <c r="BM26" i="10"/>
  <c r="BH26" i="10"/>
  <c r="BB26" i="10"/>
  <c r="AW26" i="10"/>
  <c r="AR26" i="10"/>
  <c r="V26" i="10"/>
  <c r="Q26" i="10"/>
  <c r="BS25" i="10"/>
  <c r="BM25" i="10"/>
  <c r="BH25" i="10"/>
  <c r="BS24" i="10"/>
  <c r="BM24" i="10"/>
  <c r="BH24" i="10"/>
  <c r="BS23" i="10"/>
  <c r="BM23" i="10"/>
  <c r="BH23" i="10"/>
  <c r="BB23" i="10"/>
  <c r="AW23" i="10"/>
  <c r="AR23" i="10"/>
  <c r="Q23" i="10"/>
  <c r="BS22" i="10"/>
  <c r="BM22" i="10"/>
  <c r="BH22" i="10"/>
  <c r="BB22" i="10"/>
  <c r="AW22" i="10"/>
  <c r="AR22" i="10"/>
  <c r="Q22" i="10"/>
  <c r="BS21" i="10"/>
  <c r="BM21" i="10"/>
  <c r="BH21" i="10"/>
  <c r="BB21" i="10"/>
  <c r="AW21" i="10"/>
  <c r="AR21" i="10"/>
  <c r="V21" i="10"/>
  <c r="Q21" i="10"/>
  <c r="BS20" i="10"/>
  <c r="BM20" i="10"/>
  <c r="BH20" i="10"/>
  <c r="BB20" i="10"/>
  <c r="AW20" i="10"/>
  <c r="AR20" i="10"/>
  <c r="V20" i="10"/>
  <c r="Q20" i="10"/>
  <c r="L18" i="10"/>
  <c r="BV17" i="10"/>
  <c r="BS14" i="10"/>
  <c r="BM14" i="10"/>
  <c r="BH14" i="10"/>
  <c r="BB14" i="10"/>
  <c r="BS13" i="10"/>
  <c r="CE21" i="10" s="1"/>
  <c r="BM13" i="10"/>
  <c r="CE20" i="10" s="1"/>
  <c r="BH13" i="10"/>
  <c r="CE19" i="10" s="1"/>
  <c r="BB13" i="10"/>
  <c r="CE18" i="10" s="1"/>
  <c r="BS12" i="10"/>
  <c r="BB12" i="10"/>
  <c r="AL12" i="10"/>
  <c r="BS11" i="10"/>
  <c r="CD21" i="10" s="1"/>
  <c r="BB11" i="10"/>
  <c r="CD18" i="10" s="1"/>
  <c r="AL11" i="10"/>
  <c r="CD15" i="10" s="1"/>
  <c r="BS10" i="10"/>
  <c r="BM10" i="10"/>
  <c r="BH10" i="10"/>
  <c r="BB10" i="10"/>
  <c r="AW10" i="10"/>
  <c r="AR10" i="10"/>
  <c r="AL10" i="10"/>
  <c r="AB10" i="10"/>
  <c r="V10" i="10"/>
  <c r="Q10" i="10"/>
  <c r="BS9" i="10"/>
  <c r="CC21" i="10" s="1"/>
  <c r="BM9" i="10"/>
  <c r="CC20" i="10" s="1"/>
  <c r="BH9" i="10"/>
  <c r="CC19" i="10" s="1"/>
  <c r="BB9" i="10"/>
  <c r="CC18" i="10" s="1"/>
  <c r="AW9" i="10"/>
  <c r="CC17" i="10" s="1"/>
  <c r="AR9" i="10"/>
  <c r="CC16" i="10" s="1"/>
  <c r="AL9" i="10"/>
  <c r="CC15" i="10" s="1"/>
  <c r="AG9" i="10"/>
  <c r="AB9" i="10"/>
  <c r="V9" i="10"/>
  <c r="Q9" i="10"/>
  <c r="BS8" i="10"/>
  <c r="BM8" i="10"/>
  <c r="BH8" i="10"/>
  <c r="BB8" i="10"/>
  <c r="AW8" i="10"/>
  <c r="AR8" i="10"/>
  <c r="AL8" i="10"/>
  <c r="AG8" i="10"/>
  <c r="BX8" i="10" s="1"/>
  <c r="AB8" i="10"/>
  <c r="V8" i="10"/>
  <c r="Q8" i="10"/>
  <c r="BS7" i="10"/>
  <c r="CB21" i="10" s="1"/>
  <c r="BM7" i="10"/>
  <c r="CB20" i="10" s="1"/>
  <c r="BH7" i="10"/>
  <c r="CB19" i="10" s="1"/>
  <c r="BB7" i="10"/>
  <c r="CB18" i="10" s="1"/>
  <c r="AW7" i="10"/>
  <c r="CB17" i="10" s="1"/>
  <c r="AR7" i="10"/>
  <c r="CB16" i="10" s="1"/>
  <c r="AL7" i="10"/>
  <c r="CB15" i="10" s="1"/>
  <c r="AG7" i="10"/>
  <c r="BX7" i="10" s="1"/>
  <c r="AB7" i="10"/>
  <c r="V7" i="10"/>
  <c r="Q7" i="10"/>
  <c r="BS6" i="10"/>
  <c r="BM6" i="10"/>
  <c r="BH6" i="10"/>
  <c r="BB6" i="10"/>
  <c r="AW6" i="10"/>
  <c r="AR6" i="10"/>
  <c r="AL6" i="10"/>
  <c r="AG6" i="10"/>
  <c r="AB6" i="10"/>
  <c r="N19" i="15" s="1"/>
  <c r="Q6" i="10"/>
  <c r="H19" i="15" s="1"/>
  <c r="BS5" i="10"/>
  <c r="BM5" i="10"/>
  <c r="BH5" i="10"/>
  <c r="BB5" i="10"/>
  <c r="AW5" i="10"/>
  <c r="AR5" i="10"/>
  <c r="AL5" i="10"/>
  <c r="AG5" i="10"/>
  <c r="AB5" i="10"/>
  <c r="N18" i="15" s="1"/>
  <c r="Q5" i="10"/>
  <c r="H18" i="15" s="1"/>
  <c r="BS4" i="10"/>
  <c r="BM4" i="10"/>
  <c r="BH4" i="10"/>
  <c r="BB4" i="10"/>
  <c r="AW4" i="10"/>
  <c r="AR4" i="10"/>
  <c r="AL4" i="10"/>
  <c r="AB4" i="10"/>
  <c r="N17" i="15" s="1"/>
  <c r="V4" i="10"/>
  <c r="K17" i="15" s="1"/>
  <c r="Q4" i="10"/>
  <c r="H17" i="15" s="1"/>
  <c r="L4" i="10"/>
  <c r="E17" i="15" s="1"/>
  <c r="BS3" i="10"/>
  <c r="BM3" i="10"/>
  <c r="BH3" i="10"/>
  <c r="BB3" i="10"/>
  <c r="AW3" i="10"/>
  <c r="AR3" i="10"/>
  <c r="AL3" i="10"/>
  <c r="AG3" i="10"/>
  <c r="AB3" i="10"/>
  <c r="N16" i="15" s="1"/>
  <c r="V3" i="10"/>
  <c r="K16" i="15" s="1"/>
  <c r="Q3" i="10"/>
  <c r="H16" i="15" s="1"/>
  <c r="L3" i="10"/>
  <c r="E16" i="15" s="1"/>
  <c r="CE15" i="10" l="1"/>
  <c r="BT13" i="10"/>
  <c r="CC14" i="10"/>
  <c r="BX9" i="10"/>
  <c r="C57" i="14"/>
  <c r="CB12" i="10"/>
  <c r="K20" i="15"/>
  <c r="I63" i="15"/>
  <c r="K26" i="15"/>
  <c r="L26" i="15" s="1"/>
  <c r="CE12" i="10"/>
  <c r="F57" i="14"/>
  <c r="G46" i="15"/>
  <c r="F46" i="15"/>
  <c r="H25" i="15"/>
  <c r="I25" i="15" s="1"/>
  <c r="P56" i="14"/>
  <c r="Q56" i="14"/>
  <c r="H27" i="15"/>
  <c r="Q57" i="14"/>
  <c r="K27" i="15"/>
  <c r="D56" i="14"/>
  <c r="H22" i="15"/>
  <c r="CC11" i="10"/>
  <c r="F6" i="14"/>
  <c r="F25" i="15"/>
  <c r="F27" i="15"/>
  <c r="L108" i="15"/>
  <c r="F26" i="15"/>
  <c r="CD11" i="10"/>
  <c r="E56" i="14"/>
  <c r="H24" i="15"/>
  <c r="I24" i="15" s="1"/>
  <c r="C56" i="14"/>
  <c r="CB11" i="10"/>
  <c r="H20" i="15"/>
  <c r="CE11" i="10"/>
  <c r="H26" i="15"/>
  <c r="I26" i="15" s="1"/>
  <c r="F56" i="14"/>
  <c r="H21" i="15"/>
  <c r="I56" i="14"/>
  <c r="F24" i="15"/>
  <c r="D109" i="15"/>
  <c r="F63" i="15"/>
  <c r="B10" i="14"/>
  <c r="K21" i="15"/>
  <c r="I57" i="14"/>
  <c r="H23" i="15"/>
  <c r="O56" i="14"/>
  <c r="B6" i="14"/>
  <c r="H6" i="14"/>
  <c r="CD14" i="10"/>
  <c r="H10" i="14"/>
  <c r="J6" i="14"/>
  <c r="CE14" i="10"/>
  <c r="BZ14" i="10"/>
  <c r="D6" i="14"/>
  <c r="CB14" i="10"/>
  <c r="D10" i="14"/>
  <c r="P57" i="14"/>
  <c r="K25" i="15"/>
  <c r="L25" i="15" s="1"/>
  <c r="E57" i="14"/>
  <c r="CD12" i="10"/>
  <c r="K24" i="15"/>
  <c r="CC12" i="10"/>
  <c r="K22" i="15"/>
  <c r="D57" i="14"/>
  <c r="O57" i="14"/>
  <c r="K23" i="15"/>
  <c r="Q58" i="14"/>
  <c r="N27" i="15"/>
  <c r="F58" i="14"/>
  <c r="N26" i="15"/>
  <c r="CE13" i="10"/>
  <c r="P58" i="14"/>
  <c r="N25" i="15"/>
  <c r="CD13" i="10"/>
  <c r="E58" i="14"/>
  <c r="N24" i="15"/>
  <c r="N23" i="15"/>
  <c r="O58" i="14"/>
  <c r="CC13" i="10"/>
  <c r="D58" i="14"/>
  <c r="N22" i="15"/>
  <c r="I58" i="14"/>
  <c r="N21" i="15"/>
  <c r="CB13" i="10"/>
  <c r="N20" i="15"/>
  <c r="C58" i="14"/>
  <c r="D111" i="15"/>
  <c r="AB16" i="10"/>
  <c r="AL16" i="10"/>
  <c r="BV26" i="10"/>
  <c r="BV22" i="10"/>
  <c r="BV20" i="10"/>
  <c r="BH18" i="10"/>
  <c r="V18" i="10"/>
  <c r="BM18" i="10"/>
  <c r="AG19" i="10"/>
  <c r="L19" i="10"/>
  <c r="AR18" i="10"/>
  <c r="Q19" i="10"/>
  <c r="BM19" i="10"/>
  <c r="AR19" i="10"/>
  <c r="AW18" i="10"/>
  <c r="AW19" i="10"/>
  <c r="V19" i="10"/>
  <c r="Q18" i="10"/>
  <c r="BB18" i="10"/>
  <c r="BM16" i="10"/>
  <c r="BB16" i="10"/>
  <c r="BH16" i="10"/>
  <c r="AL19" i="10"/>
  <c r="AR16" i="10"/>
  <c r="V16" i="10"/>
  <c r="AG4" i="10"/>
  <c r="AW16" i="10"/>
  <c r="AG18" i="10"/>
  <c r="BB19" i="10"/>
  <c r="AL18" i="10"/>
  <c r="BU18" i="10" s="1"/>
  <c r="BH19" i="10"/>
  <c r="BV24" i="10"/>
  <c r="CB4" i="10"/>
  <c r="L16" i="10"/>
  <c r="E29" i="15" s="1"/>
  <c r="BS18" i="10"/>
  <c r="BS19" i="10"/>
  <c r="BS16" i="10"/>
  <c r="Q16" i="10"/>
  <c r="H29" i="15" s="1"/>
  <c r="BU19" i="10" l="1"/>
  <c r="BT18" i="10"/>
  <c r="BX4" i="10"/>
  <c r="L56" i="14"/>
  <c r="F53" i="15"/>
  <c r="I53" i="15"/>
  <c r="F55" i="15"/>
  <c r="H109" i="15"/>
  <c r="H108" i="15"/>
  <c r="L109" i="15"/>
  <c r="I27" i="15"/>
  <c r="L110" i="15"/>
  <c r="J10" i="14"/>
  <c r="K29" i="15"/>
  <c r="I55" i="15"/>
  <c r="L111" i="15"/>
  <c r="O25" i="15"/>
  <c r="O24" i="15"/>
  <c r="N29" i="15"/>
  <c r="B8" i="15"/>
  <c r="BV11" i="10"/>
  <c r="BV7" i="10"/>
  <c r="BV13" i="10"/>
  <c r="BV5" i="10"/>
  <c r="CC6" i="10"/>
  <c r="BV3" i="10"/>
  <c r="CB3" i="10"/>
  <c r="I61" i="15" l="1"/>
  <c r="L55" i="14"/>
  <c r="F59" i="15"/>
  <c r="I57" i="15"/>
  <c r="H110" i="15"/>
  <c r="F57" i="15"/>
  <c r="F61" i="15"/>
  <c r="M8" i="15"/>
  <c r="G43" i="15"/>
  <c r="J10" i="15" s="1"/>
  <c r="F43" i="15"/>
  <c r="I59" i="15"/>
  <c r="J8" i="15"/>
  <c r="G8" i="15"/>
  <c r="H111" i="15"/>
  <c r="D8" i="15"/>
  <c r="BV18" i="10"/>
  <c r="CB5" i="10"/>
  <c r="CB6" i="10" l="1"/>
  <c r="L57" i="14"/>
  <c r="BY27" i="7"/>
  <c r="BY26" i="7"/>
  <c r="BY25" i="7"/>
  <c r="BY24" i="7"/>
  <c r="BY23" i="7"/>
  <c r="BY22" i="7"/>
  <c r="BY21" i="7"/>
  <c r="BY20" i="7"/>
  <c r="BX19" i="7"/>
  <c r="BX18" i="7"/>
  <c r="CA17" i="7"/>
  <c r="BY14" i="7"/>
  <c r="BY13" i="7"/>
  <c r="BY12" i="7"/>
  <c r="BY11" i="7"/>
  <c r="BY10" i="7"/>
  <c r="BY9" i="7"/>
  <c r="BY8" i="7"/>
  <c r="BY7" i="7"/>
  <c r="BY6" i="7"/>
  <c r="BY5" i="7"/>
  <c r="BY4" i="7"/>
  <c r="BY3" i="7"/>
  <c r="BW19" i="7"/>
  <c r="BW18" i="7"/>
  <c r="CD4" i="10" l="1"/>
  <c r="CD3" i="10"/>
  <c r="CD5" i="10"/>
  <c r="A3" i="8"/>
  <c r="A4" i="8" s="1"/>
  <c r="A5" i="8" s="1"/>
  <c r="A6" i="8" s="1"/>
  <c r="A7" i="8" s="1"/>
  <c r="CE7" i="7"/>
  <c r="CE8" i="7"/>
  <c r="CE10" i="7"/>
  <c r="CE11" i="7"/>
  <c r="CE12" i="7"/>
  <c r="CE13" i="7"/>
  <c r="CE14" i="7"/>
  <c r="CE6" i="7"/>
  <c r="BV19" i="7"/>
  <c r="BV18" i="7"/>
  <c r="CA27" i="7"/>
  <c r="CA26" i="7"/>
  <c r="CA25" i="7"/>
  <c r="CA24" i="7"/>
  <c r="CA21" i="7"/>
  <c r="CA22" i="7"/>
  <c r="CA23" i="7"/>
  <c r="CE9" i="7"/>
  <c r="BZ9" i="7"/>
  <c r="BZ11" i="7"/>
  <c r="CA15" i="7"/>
  <c r="CB15" i="7" s="1"/>
  <c r="BZ17" i="7"/>
  <c r="BZ15" i="7"/>
  <c r="BU19" i="7"/>
  <c r="BU18" i="7"/>
  <c r="BZ20" i="7" l="1"/>
  <c r="BZ13" i="7"/>
  <c r="BY16" i="7"/>
  <c r="BZ16" i="7" s="1"/>
  <c r="BZ5" i="7"/>
  <c r="BZ3" i="7"/>
  <c r="BZ7" i="7"/>
  <c r="BZ26" i="7"/>
  <c r="CI4" i="7"/>
  <c r="CI5" i="7"/>
  <c r="CA20" i="7"/>
  <c r="BZ22" i="7"/>
  <c r="BZ24" i="7"/>
  <c r="BY19" i="7"/>
  <c r="CA19" i="7" s="1"/>
  <c r="BY18" i="7"/>
  <c r="CA18" i="7" s="1"/>
  <c r="BZ18" i="7" l="1"/>
  <c r="BT19" i="7" l="1"/>
  <c r="BT18" i="7"/>
  <c r="BT16" i="7"/>
  <c r="CC15" i="7"/>
  <c r="BM14" i="7" l="1"/>
  <c r="BN14" i="7" s="1"/>
  <c r="BM13" i="7"/>
  <c r="BN13" i="7" s="1"/>
  <c r="BG12" i="7"/>
  <c r="BH12" i="7" s="1"/>
  <c r="BG11" i="7"/>
  <c r="BH11" i="7" s="1"/>
  <c r="BS3" i="7"/>
  <c r="BS6" i="7"/>
  <c r="BS5" i="7"/>
  <c r="BS27" i="7"/>
  <c r="BS26" i="7"/>
  <c r="BS25" i="7"/>
  <c r="BS24" i="7"/>
  <c r="BS23" i="7"/>
  <c r="BS22" i="7"/>
  <c r="BS21" i="7"/>
  <c r="BS20" i="7"/>
  <c r="BR19" i="7"/>
  <c r="BR18" i="7"/>
  <c r="BS8" i="7"/>
  <c r="BS7" i="7"/>
  <c r="BS14" i="7"/>
  <c r="BS13" i="7"/>
  <c r="BS11" i="7"/>
  <c r="BS10" i="7"/>
  <c r="BS9" i="7"/>
  <c r="BS18" i="7" l="1"/>
  <c r="BS19" i="7"/>
  <c r="BQ18" i="7" l="1"/>
  <c r="BQ19" i="7"/>
  <c r="BS16" i="7" l="1"/>
  <c r="BP19" i="7" l="1"/>
  <c r="BP18" i="7"/>
  <c r="BP4" i="7"/>
  <c r="BS4" i="7" s="1"/>
  <c r="BO19" i="7"/>
  <c r="BO18" i="7"/>
  <c r="BM9" i="7"/>
  <c r="BM10" i="7"/>
  <c r="CB24" i="7" l="1"/>
  <c r="CB18" i="7" l="1"/>
  <c r="I30" i="6"/>
  <c r="I31" i="6"/>
  <c r="I32" i="6"/>
  <c r="I33" i="6"/>
  <c r="I29" i="6"/>
  <c r="I34" i="6" l="1"/>
  <c r="I51" i="6"/>
  <c r="F51" i="6" s="1"/>
  <c r="G45" i="6"/>
  <c r="O39" i="6"/>
  <c r="P37" i="6"/>
  <c r="P39" i="6" s="1"/>
  <c r="E33" i="6"/>
  <c r="F33" i="6" s="1"/>
  <c r="E30" i="6"/>
  <c r="F30" i="6" s="1"/>
  <c r="E31" i="6"/>
  <c r="F31" i="6" s="1"/>
  <c r="E32" i="6"/>
  <c r="F32" i="6" s="1"/>
  <c r="E29" i="6"/>
  <c r="F29" i="6" s="1"/>
  <c r="F34" i="6" l="1"/>
  <c r="F38" i="6" s="1"/>
  <c r="I38" i="6" s="1"/>
  <c r="G51" i="6"/>
  <c r="BN27" i="7"/>
  <c r="BN26" i="7"/>
  <c r="BN25" i="7"/>
  <c r="BN24" i="7"/>
  <c r="BN23" i="7"/>
  <c r="BN22" i="7"/>
  <c r="BN21" i="7"/>
  <c r="BN20" i="7"/>
  <c r="BN11" i="7"/>
  <c r="BN10" i="7"/>
  <c r="BN9" i="7"/>
  <c r="BN7" i="7"/>
  <c r="BN6" i="7"/>
  <c r="BN5" i="7"/>
  <c r="BN3" i="7"/>
  <c r="F39" i="6" l="1"/>
  <c r="F40" i="6" s="1"/>
  <c r="I40" i="6" s="1"/>
  <c r="Q39" i="6"/>
  <c r="Q37" i="6" s="1"/>
  <c r="I39" i="6" l="1"/>
  <c r="F41" i="6"/>
  <c r="F42" i="6"/>
  <c r="I42" i="6" s="1"/>
  <c r="F43" i="6"/>
  <c r="I43" i="6" s="1"/>
  <c r="F44" i="6"/>
  <c r="I44" i="6" s="1"/>
  <c r="F45" i="6" l="1"/>
  <c r="F49" i="6" s="1"/>
  <c r="I49" i="6"/>
  <c r="I41" i="6"/>
  <c r="G49" i="6" l="1"/>
  <c r="F53" i="6"/>
  <c r="G53" i="6" s="1"/>
  <c r="L49" i="6" l="1"/>
  <c r="L50" i="6"/>
  <c r="L53" i="6"/>
  <c r="L51" i="6"/>
  <c r="L52" i="6"/>
  <c r="BG9" i="7"/>
  <c r="BH9" i="7" s="1"/>
  <c r="BG10" i="7"/>
  <c r="BH10" i="7" s="1"/>
  <c r="AO36" i="7"/>
  <c r="CB17" i="7"/>
  <c r="L17" i="7"/>
  <c r="M17" i="7" s="1"/>
  <c r="P16" i="7"/>
  <c r="O16" i="7"/>
  <c r="J16" i="7"/>
  <c r="I16" i="7"/>
  <c r="BH27" i="7"/>
  <c r="BC27" i="7"/>
  <c r="AX27" i="7"/>
  <c r="AR27" i="7"/>
  <c r="AM27" i="7"/>
  <c r="AH27" i="7"/>
  <c r="AB27" i="7"/>
  <c r="W27" i="7"/>
  <c r="Q27" i="7"/>
  <c r="R27" i="7" s="1"/>
  <c r="L27" i="7"/>
  <c r="BH26" i="7"/>
  <c r="BC26" i="7"/>
  <c r="AX26" i="7"/>
  <c r="AR26" i="7"/>
  <c r="AM26" i="7"/>
  <c r="AH26" i="7"/>
  <c r="AB26" i="7"/>
  <c r="W26" i="7"/>
  <c r="R26" i="7"/>
  <c r="L26" i="7"/>
  <c r="BG14" i="7"/>
  <c r="BH14" i="7" s="1"/>
  <c r="BC14" i="7"/>
  <c r="AW14" i="7"/>
  <c r="AX14" i="7" s="1"/>
  <c r="AM14" i="7"/>
  <c r="AH14" i="7"/>
  <c r="M27" i="15" s="1"/>
  <c r="AB14" i="7"/>
  <c r="J27" i="15" s="1"/>
  <c r="AA14" i="7"/>
  <c r="X14" i="7"/>
  <c r="V14" i="7"/>
  <c r="U14" i="7"/>
  <c r="L14" i="7"/>
  <c r="BG13" i="7"/>
  <c r="BH13" i="7" s="1"/>
  <c r="BC13" i="7"/>
  <c r="AW13" i="7"/>
  <c r="AX13" i="7" s="1"/>
  <c r="AR13" i="7"/>
  <c r="AM13" i="7"/>
  <c r="AD13" i="7"/>
  <c r="AH13" i="7" s="1"/>
  <c r="M26" i="15" s="1"/>
  <c r="AA13" i="7"/>
  <c r="V13" i="7"/>
  <c r="U13" i="7"/>
  <c r="L13" i="7"/>
  <c r="BH23" i="7"/>
  <c r="BC23" i="7"/>
  <c r="AX23" i="7"/>
  <c r="AQ23" i="7"/>
  <c r="AR23" i="7" s="1"/>
  <c r="AO23" i="7"/>
  <c r="AM23" i="7"/>
  <c r="AJ23" i="7"/>
  <c r="AH23" i="7"/>
  <c r="AB23" i="7"/>
  <c r="X23" i="7"/>
  <c r="V23" i="7"/>
  <c r="W23" i="7" s="1"/>
  <c r="T23" i="7"/>
  <c r="R23" i="7"/>
  <c r="L23" i="7"/>
  <c r="BH22" i="7"/>
  <c r="BC22" i="7"/>
  <c r="AX22" i="7"/>
  <c r="AR22" i="7"/>
  <c r="AM22" i="7"/>
  <c r="AH22" i="7"/>
  <c r="AB22" i="7"/>
  <c r="X22" i="7"/>
  <c r="V22" i="7"/>
  <c r="W22" i="7" s="1"/>
  <c r="R22" i="7"/>
  <c r="L22" i="7"/>
  <c r="BH21" i="7"/>
  <c r="BC21" i="7"/>
  <c r="AX21" i="7"/>
  <c r="AR21" i="7"/>
  <c r="AM21" i="7"/>
  <c r="AH21" i="7"/>
  <c r="AB21" i="7"/>
  <c r="W21" i="7"/>
  <c r="R21" i="7"/>
  <c r="BH20" i="7"/>
  <c r="BC20" i="7"/>
  <c r="AX20" i="7"/>
  <c r="AR20" i="7"/>
  <c r="AM20" i="7"/>
  <c r="AH20" i="7"/>
  <c r="AB20" i="7"/>
  <c r="W20" i="7"/>
  <c r="R20" i="7"/>
  <c r="BB12" i="7"/>
  <c r="BC12" i="7" s="1"/>
  <c r="AW12" i="7"/>
  <c r="AX12" i="7" s="1"/>
  <c r="AQ12" i="7"/>
  <c r="AR12" i="7" s="1"/>
  <c r="AL12" i="7"/>
  <c r="AA12" i="7"/>
  <c r="Y12" i="7"/>
  <c r="X12" i="7"/>
  <c r="Q12" i="7"/>
  <c r="L12" i="7"/>
  <c r="BB11" i="7"/>
  <c r="BC11" i="7" s="1"/>
  <c r="AW11" i="7"/>
  <c r="AX11" i="7" s="1"/>
  <c r="AR11" i="7"/>
  <c r="AM11" i="7"/>
  <c r="AA11" i="7"/>
  <c r="Y11" i="7"/>
  <c r="Q11" i="7"/>
  <c r="L11" i="7"/>
  <c r="BB10" i="7"/>
  <c r="BC10" i="7" s="1"/>
  <c r="AW10" i="7"/>
  <c r="AV10" i="7"/>
  <c r="AQ10" i="7"/>
  <c r="AR10" i="7" s="1"/>
  <c r="AL10" i="7"/>
  <c r="AM10" i="7" s="1"/>
  <c r="AG10" i="7"/>
  <c r="AH10" i="7" s="1"/>
  <c r="M23" i="15" s="1"/>
  <c r="AA10" i="7"/>
  <c r="AB10" i="7" s="1"/>
  <c r="J23" i="15" s="1"/>
  <c r="L23" i="15" s="1"/>
  <c r="W10" i="7"/>
  <c r="G23" i="15" s="1"/>
  <c r="I23" i="15" s="1"/>
  <c r="Q10" i="7"/>
  <c r="Q16" i="7" s="1"/>
  <c r="K10" i="7"/>
  <c r="K16" i="7" s="1"/>
  <c r="BB9" i="7"/>
  <c r="BC9" i="7" s="1"/>
  <c r="AW9" i="7"/>
  <c r="AX9" i="7" s="1"/>
  <c r="AQ9" i="7"/>
  <c r="AR9" i="7" s="1"/>
  <c r="AM9" i="7"/>
  <c r="AH9" i="7"/>
  <c r="M22" i="15" s="1"/>
  <c r="O22" i="15" s="1"/>
  <c r="AA9" i="7"/>
  <c r="AB9" i="7" s="1"/>
  <c r="J22" i="15" s="1"/>
  <c r="L22" i="15" s="1"/>
  <c r="W9" i="7"/>
  <c r="G22" i="15" s="1"/>
  <c r="I22" i="15" s="1"/>
  <c r="R9" i="7"/>
  <c r="D22" i="15" s="1"/>
  <c r="L9" i="7"/>
  <c r="BL8" i="7"/>
  <c r="BN8" i="7" s="1"/>
  <c r="BH8" i="7"/>
  <c r="BC8" i="7"/>
  <c r="AX8" i="7"/>
  <c r="AR8" i="7"/>
  <c r="AM8" i="7"/>
  <c r="AH8" i="7"/>
  <c r="M21" i="15" s="1"/>
  <c r="O21" i="15" s="1"/>
  <c r="AB8" i="7"/>
  <c r="J21" i="15" s="1"/>
  <c r="L21" i="15" s="1"/>
  <c r="W8" i="7"/>
  <c r="G21" i="15" s="1"/>
  <c r="I21" i="15" s="1"/>
  <c r="R8" i="7"/>
  <c r="D21" i="15" s="1"/>
  <c r="L8" i="7"/>
  <c r="BH7" i="7"/>
  <c r="BC7" i="7"/>
  <c r="AX7" i="7"/>
  <c r="AR7" i="7"/>
  <c r="AM7" i="7"/>
  <c r="AH7" i="7"/>
  <c r="M20" i="15" s="1"/>
  <c r="O20" i="15" s="1"/>
  <c r="AB7" i="7"/>
  <c r="J20" i="15" s="1"/>
  <c r="L20" i="15" s="1"/>
  <c r="W7" i="7"/>
  <c r="G20" i="15" s="1"/>
  <c r="I20" i="15" s="1"/>
  <c r="R7" i="7"/>
  <c r="D20" i="15" s="1"/>
  <c r="L7" i="7"/>
  <c r="BH6" i="7"/>
  <c r="AZ6" i="7"/>
  <c r="BC6" i="7" s="1"/>
  <c r="AX6" i="7"/>
  <c r="AQ6" i="7"/>
  <c r="AR6" i="7" s="1"/>
  <c r="AM6" i="7"/>
  <c r="AG6" i="7"/>
  <c r="AF6" i="7"/>
  <c r="AB6" i="7"/>
  <c r="J19" i="15" s="1"/>
  <c r="S6" i="7"/>
  <c r="W6" i="7" s="1"/>
  <c r="G19" i="15" s="1"/>
  <c r="R6" i="7"/>
  <c r="D19" i="15" s="1"/>
  <c r="BH5" i="7"/>
  <c r="BC5" i="7"/>
  <c r="AX5" i="7"/>
  <c r="AR5" i="7"/>
  <c r="AM5" i="7"/>
  <c r="AH5" i="7"/>
  <c r="M18" i="15" s="1"/>
  <c r="O18" i="15" s="1"/>
  <c r="AB5" i="7"/>
  <c r="J18" i="15" s="1"/>
  <c r="L18" i="15" s="1"/>
  <c r="W5" i="7"/>
  <c r="G18" i="15" s="1"/>
  <c r="I18" i="15" s="1"/>
  <c r="R5" i="7"/>
  <c r="D18" i="15" s="1"/>
  <c r="L5" i="7"/>
  <c r="BL4" i="7"/>
  <c r="BN4" i="7" s="1"/>
  <c r="BF4" i="7"/>
  <c r="BD4" i="7"/>
  <c r="BC4" i="7"/>
  <c r="AX4" i="7"/>
  <c r="AR4" i="7"/>
  <c r="AK4" i="7"/>
  <c r="AJ4" i="7"/>
  <c r="AG4" i="7"/>
  <c r="AH4" i="7" s="1"/>
  <c r="M17" i="15" s="1"/>
  <c r="AB4" i="7"/>
  <c r="J17" i="15" s="1"/>
  <c r="L17" i="15" s="1"/>
  <c r="U4" i="7"/>
  <c r="W4" i="7" s="1"/>
  <c r="G17" i="15" s="1"/>
  <c r="I17" i="15" s="1"/>
  <c r="R4" i="7"/>
  <c r="D17" i="15" s="1"/>
  <c r="I4" i="7"/>
  <c r="H4" i="7"/>
  <c r="F4" i="7"/>
  <c r="BH3" i="7"/>
  <c r="BC3" i="7"/>
  <c r="AX3" i="7"/>
  <c r="AR3" i="7"/>
  <c r="AM3" i="7"/>
  <c r="AH3" i="7"/>
  <c r="M16" i="15" s="1"/>
  <c r="O16" i="15" s="1"/>
  <c r="AB3" i="7"/>
  <c r="J16" i="15" s="1"/>
  <c r="L16" i="15" s="1"/>
  <c r="W3" i="7"/>
  <c r="G16" i="15" s="1"/>
  <c r="I16" i="15" s="1"/>
  <c r="R3" i="7"/>
  <c r="D16" i="15" s="1"/>
  <c r="K3" i="7"/>
  <c r="J3" i="7"/>
  <c r="I3" i="7"/>
  <c r="F3" i="7"/>
  <c r="BQ25" i="5"/>
  <c r="F16" i="15" l="1"/>
  <c r="K111" i="15"/>
  <c r="O27" i="15"/>
  <c r="O26" i="15"/>
  <c r="F17" i="15"/>
  <c r="K110" i="15"/>
  <c r="L27" i="15"/>
  <c r="F18" i="15"/>
  <c r="F20" i="15"/>
  <c r="C108" i="15"/>
  <c r="F19" i="15"/>
  <c r="C109" i="15"/>
  <c r="I19" i="15"/>
  <c r="F21" i="15"/>
  <c r="F22" i="15"/>
  <c r="O17" i="15"/>
  <c r="C110" i="15"/>
  <c r="L19" i="15"/>
  <c r="O23" i="15"/>
  <c r="CA14" i="7"/>
  <c r="CA13" i="7"/>
  <c r="CA9" i="7"/>
  <c r="CA8" i="7"/>
  <c r="CA3" i="7"/>
  <c r="CA5" i="7"/>
  <c r="CA7" i="7"/>
  <c r="CA12" i="7"/>
  <c r="CC14" i="7"/>
  <c r="CC8" i="7"/>
  <c r="CC12" i="7"/>
  <c r="AM19" i="7"/>
  <c r="CH4" i="7"/>
  <c r="AX18" i="7"/>
  <c r="AM18" i="7"/>
  <c r="AB19" i="7"/>
  <c r="W19" i="7"/>
  <c r="AX19" i="7"/>
  <c r="AR18" i="7"/>
  <c r="BC18" i="7"/>
  <c r="BH18" i="7"/>
  <c r="AH18" i="7"/>
  <c r="AR19" i="7"/>
  <c r="BC19" i="7"/>
  <c r="BN18" i="7"/>
  <c r="AB18" i="7"/>
  <c r="AH19" i="7"/>
  <c r="R18" i="7"/>
  <c r="W18" i="7"/>
  <c r="BH19" i="7"/>
  <c r="R19" i="7"/>
  <c r="BN19" i="7"/>
  <c r="AM4" i="7"/>
  <c r="AH6" i="7"/>
  <c r="L3" i="7"/>
  <c r="M13" i="7"/>
  <c r="AB16" i="7"/>
  <c r="J29" i="15" s="1"/>
  <c r="AH16" i="7"/>
  <c r="M29" i="15" s="1"/>
  <c r="AR16" i="7"/>
  <c r="M26" i="7"/>
  <c r="M7" i="7"/>
  <c r="AB11" i="7"/>
  <c r="AX10" i="7"/>
  <c r="AX16" i="7" s="1"/>
  <c r="BH16" i="7"/>
  <c r="M11" i="7"/>
  <c r="CB26" i="7"/>
  <c r="L10" i="7"/>
  <c r="M9" i="7" s="1"/>
  <c r="BC16" i="7"/>
  <c r="R10" i="7"/>
  <c r="D23" i="15" s="1"/>
  <c r="W16" i="7"/>
  <c r="G29" i="15" s="1"/>
  <c r="CB22" i="7"/>
  <c r="L16" i="7"/>
  <c r="M16" i="7" s="1"/>
  <c r="M22" i="7"/>
  <c r="BH4" i="7"/>
  <c r="CE4" i="7" s="1"/>
  <c r="AM16" i="7"/>
  <c r="BN16" i="7"/>
  <c r="CB20" i="7"/>
  <c r="I60" i="15" l="1"/>
  <c r="I52" i="15"/>
  <c r="F56" i="15"/>
  <c r="F23" i="15"/>
  <c r="F52" i="15"/>
  <c r="G35" i="15"/>
  <c r="F35" i="15"/>
  <c r="G44" i="15"/>
  <c r="F44" i="15"/>
  <c r="D9" i="15"/>
  <c r="F39" i="15"/>
  <c r="G39" i="15"/>
  <c r="D10" i="15" s="1"/>
  <c r="CA6" i="7"/>
  <c r="CB5" i="7" s="1"/>
  <c r="M19" i="15"/>
  <c r="G40" i="15"/>
  <c r="F40" i="15"/>
  <c r="G110" i="15"/>
  <c r="L29" i="15"/>
  <c r="M9" i="15"/>
  <c r="G45" i="15"/>
  <c r="M10" i="15" s="1"/>
  <c r="F45" i="15"/>
  <c r="F60" i="15"/>
  <c r="G38" i="15"/>
  <c r="F38" i="15"/>
  <c r="G109" i="15"/>
  <c r="I29" i="15"/>
  <c r="CA11" i="7"/>
  <c r="CB11" i="7" s="1"/>
  <c r="J24" i="15"/>
  <c r="G111" i="15"/>
  <c r="O29" i="15"/>
  <c r="F36" i="15"/>
  <c r="G36" i="15"/>
  <c r="F34" i="15"/>
  <c r="G34" i="15"/>
  <c r="CC10" i="7"/>
  <c r="CA4" i="7"/>
  <c r="CA10" i="7"/>
  <c r="CB9" i="7" s="1"/>
  <c r="CC6" i="7"/>
  <c r="CC4" i="7"/>
  <c r="CH3" i="7"/>
  <c r="R16" i="7"/>
  <c r="CI6" i="7"/>
  <c r="CB7" i="7"/>
  <c r="CB13" i="7"/>
  <c r="I56" i="15" l="1"/>
  <c r="L24" i="15"/>
  <c r="C111" i="15"/>
  <c r="O19" i="15"/>
  <c r="G9" i="15"/>
  <c r="F41" i="15"/>
  <c r="G41" i="15"/>
  <c r="G10" i="15" s="1"/>
  <c r="CA16" i="7"/>
  <c r="CB16" i="7" s="1"/>
  <c r="D29" i="15"/>
  <c r="CB3" i="7"/>
  <c r="CC2" i="7"/>
  <c r="CH5" i="7"/>
  <c r="CH6" i="7" s="1"/>
  <c r="I54" i="15" l="1"/>
  <c r="F54" i="15"/>
  <c r="G108" i="15"/>
  <c r="F29" i="15"/>
  <c r="B9" i="15"/>
  <c r="F37" i="15"/>
  <c r="G37" i="15"/>
  <c r="B10" i="15" s="1"/>
  <c r="F42" i="15"/>
  <c r="G42" i="15"/>
  <c r="BO31" i="5"/>
  <c r="BO25" i="5"/>
  <c r="BP25" i="5" s="1"/>
  <c r="BM29" i="5"/>
  <c r="BO29" i="5" s="1"/>
  <c r="BM28" i="5"/>
  <c r="BO28" i="5" s="1"/>
  <c r="BM27" i="5"/>
  <c r="BS27" i="5" s="1"/>
  <c r="BM26" i="5"/>
  <c r="BS26" i="5" s="1"/>
  <c r="BM18" i="5"/>
  <c r="BM17" i="5"/>
  <c r="BM16" i="5"/>
  <c r="BM15" i="5"/>
  <c r="BL14" i="5"/>
  <c r="BM14" i="5" s="1"/>
  <c r="BM13" i="5"/>
  <c r="BM12" i="5"/>
  <c r="BM11" i="5"/>
  <c r="BM10" i="5"/>
  <c r="BM9" i="5"/>
  <c r="BM8" i="5"/>
  <c r="BM7" i="5"/>
  <c r="BM6" i="5"/>
  <c r="BM5" i="5"/>
  <c r="BM3" i="5"/>
  <c r="BM24" i="5"/>
  <c r="BO24" i="5" s="1"/>
  <c r="BM23" i="5"/>
  <c r="BO23" i="5" s="1"/>
  <c r="BM22" i="5"/>
  <c r="BO22" i="5" s="1"/>
  <c r="BM21" i="5"/>
  <c r="BO21" i="5" s="1"/>
  <c r="BL4" i="5"/>
  <c r="BM4" i="5" s="1"/>
  <c r="F47" i="15" l="1"/>
  <c r="G47" i="15"/>
  <c r="BS15" i="5"/>
  <c r="BS14" i="5"/>
  <c r="BS13" i="5"/>
  <c r="BB16" i="5"/>
  <c r="BS16" i="5" l="1"/>
  <c r="BM30" i="5"/>
  <c r="BN30" i="5" s="1"/>
  <c r="BC27" i="5"/>
  <c r="AM27" i="5"/>
  <c r="AH27" i="5"/>
  <c r="AB27" i="5"/>
  <c r="BN25" i="5"/>
  <c r="BN31" i="5"/>
  <c r="BG26" i="5"/>
  <c r="BH26" i="5" s="1"/>
  <c r="BG27" i="5"/>
  <c r="BH27" i="5" s="1"/>
  <c r="BG16" i="5"/>
  <c r="BH16" i="5" s="1"/>
  <c r="BG15" i="5"/>
  <c r="BH15" i="5" s="1"/>
  <c r="BN28" i="5" l="1"/>
  <c r="BN26" i="5"/>
  <c r="BS17" i="5"/>
  <c r="BN13" i="5"/>
  <c r="BN3" i="5"/>
  <c r="BN15" i="5" l="1"/>
  <c r="BS18" i="5"/>
  <c r="BN17" i="5"/>
  <c r="BN21" i="5"/>
  <c r="BN23" i="5"/>
  <c r="BN5" i="5"/>
  <c r="BF4" i="5" l="1"/>
  <c r="BH29" i="5"/>
  <c r="BH28" i="5"/>
  <c r="BH24" i="5"/>
  <c r="BH23" i="5"/>
  <c r="BH22" i="5"/>
  <c r="BH21" i="5"/>
  <c r="BH18" i="5"/>
  <c r="BH17" i="5"/>
  <c r="BH14" i="5"/>
  <c r="BH13" i="5"/>
  <c r="BH6" i="5"/>
  <c r="BS6" i="5" s="1"/>
  <c r="BH5" i="5"/>
  <c r="BH3" i="5"/>
  <c r="BB15" i="5" l="1"/>
  <c r="BH12" i="5" l="1"/>
  <c r="BH11" i="5"/>
  <c r="BH10" i="5"/>
  <c r="BH9" i="5"/>
  <c r="BH8" i="5"/>
  <c r="BH7" i="5"/>
  <c r="BD4" i="5"/>
  <c r="BH4" i="5" s="1"/>
  <c r="BS4" i="5" s="1"/>
  <c r="BH30" i="5" l="1"/>
  <c r="BB17" i="5" l="1"/>
  <c r="BB18" i="5"/>
  <c r="AQ18" i="5"/>
  <c r="AW15" i="5"/>
  <c r="AW16" i="5"/>
  <c r="AQ16" i="5"/>
  <c r="AL16" i="5" l="1"/>
  <c r="BC29" i="5"/>
  <c r="BC28" i="5"/>
  <c r="BC26" i="5"/>
  <c r="BC24" i="5"/>
  <c r="BC23" i="5"/>
  <c r="BC22" i="5"/>
  <c r="BC21" i="5"/>
  <c r="BC18" i="5"/>
  <c r="BC17" i="5"/>
  <c r="BC16" i="5"/>
  <c r="BC15" i="5"/>
  <c r="BC14" i="5"/>
  <c r="BC13" i="5"/>
  <c r="BC4" i="5"/>
  <c r="BC5" i="5"/>
  <c r="BC7" i="5"/>
  <c r="BC8" i="5"/>
  <c r="BC9" i="5"/>
  <c r="BC10" i="5"/>
  <c r="BC11" i="5"/>
  <c r="BC12" i="5"/>
  <c r="BC3" i="5"/>
  <c r="AW18" i="5"/>
  <c r="AW17" i="5"/>
  <c r="BC30" i="5" l="1"/>
  <c r="AZ6" i="5"/>
  <c r="BC6" i="5" s="1"/>
  <c r="AG16" i="5"/>
  <c r="AG6" i="5" l="1"/>
  <c r="AX15" i="5" l="1"/>
  <c r="AW27" i="5"/>
  <c r="AX27" i="5" s="1"/>
  <c r="AW26" i="5"/>
  <c r="AX26" i="5" s="1"/>
  <c r="AQ15" i="5"/>
  <c r="AF6" i="5"/>
  <c r="AX29" i="5"/>
  <c r="AX28" i="5"/>
  <c r="AX24" i="5"/>
  <c r="AX23" i="5"/>
  <c r="AX22" i="5"/>
  <c r="AX21" i="5"/>
  <c r="AX18" i="5"/>
  <c r="AX17" i="5"/>
  <c r="AX14" i="5"/>
  <c r="AX13" i="5"/>
  <c r="AX6" i="5"/>
  <c r="AX5" i="5"/>
  <c r="AX4" i="5"/>
  <c r="AX3" i="5"/>
  <c r="AV16" i="5"/>
  <c r="AX16" i="5" s="1"/>
  <c r="BQ27" i="5" l="1"/>
  <c r="BO27" i="5"/>
  <c r="AX30" i="5"/>
  <c r="AD26" i="5"/>
  <c r="AA17" i="5" l="1"/>
  <c r="Q16" i="5" l="1"/>
  <c r="AA16" i="5"/>
  <c r="AA15" i="5"/>
  <c r="AR29" i="5" l="1"/>
  <c r="AR28" i="5"/>
  <c r="AR26" i="5"/>
  <c r="AR18" i="5"/>
  <c r="AR17" i="5"/>
  <c r="BQ18" i="5" l="1"/>
  <c r="BO18" i="5"/>
  <c r="AQ6" i="5"/>
  <c r="AR6" i="5" s="1"/>
  <c r="AR23" i="5"/>
  <c r="AQ24" i="5"/>
  <c r="AR24" i="5" s="1"/>
  <c r="AR22" i="5"/>
  <c r="AR21" i="5"/>
  <c r="AR16" i="5"/>
  <c r="AR15" i="5"/>
  <c r="AM5" i="5"/>
  <c r="AR14" i="5"/>
  <c r="AR13" i="5"/>
  <c r="AR3" i="5"/>
  <c r="AR4" i="5"/>
  <c r="AR5" i="5"/>
  <c r="AR30" i="5" l="1"/>
  <c r="AO38" i="5"/>
  <c r="AO24" i="5" l="1"/>
  <c r="AR12" i="5"/>
  <c r="AR11" i="5"/>
  <c r="AR10" i="5"/>
  <c r="AR9" i="5"/>
  <c r="AR8" i="5"/>
  <c r="AR7" i="5"/>
  <c r="AL18" i="5" l="1"/>
  <c r="AM21" i="5" l="1"/>
  <c r="AM29" i="5"/>
  <c r="AM28" i="5"/>
  <c r="AM24" i="5" l="1"/>
  <c r="AM23" i="5"/>
  <c r="AM22" i="5"/>
  <c r="AM3" i="5"/>
  <c r="AM6" i="5"/>
  <c r="AM7" i="5"/>
  <c r="AM8" i="5"/>
  <c r="AM9" i="5"/>
  <c r="AM10" i="5"/>
  <c r="AM11" i="5"/>
  <c r="AM12" i="5"/>
  <c r="AM13" i="5"/>
  <c r="AM14" i="5"/>
  <c r="AM15" i="5"/>
  <c r="AM16" i="5"/>
  <c r="AM17" i="5"/>
  <c r="AM26" i="5"/>
  <c r="AM30" i="5" l="1"/>
  <c r="AK4" i="5"/>
  <c r="AJ24" i="5" l="1"/>
  <c r="AJ4" i="5"/>
  <c r="AM4" i="5" s="1"/>
  <c r="S6" i="5"/>
  <c r="W6" i="5" s="1"/>
  <c r="BN10" i="5" l="1"/>
  <c r="AH5" i="5" l="1"/>
  <c r="AH6" i="5"/>
  <c r="AH29" i="5"/>
  <c r="AH28" i="5"/>
  <c r="AH26" i="5"/>
  <c r="BO26" i="5" s="1"/>
  <c r="AH24" i="5"/>
  <c r="AH23" i="5"/>
  <c r="AH22" i="5"/>
  <c r="AH21" i="5"/>
  <c r="AH16" i="5"/>
  <c r="AH15" i="5"/>
  <c r="AH14" i="5"/>
  <c r="AH13" i="5"/>
  <c r="AH11" i="5"/>
  <c r="AH10" i="5"/>
  <c r="AH3" i="5"/>
  <c r="AG4" i="5"/>
  <c r="AH4" i="5" s="1"/>
  <c r="BO34" i="5" l="1"/>
  <c r="BO35" i="5" s="1"/>
  <c r="AH30" i="5"/>
  <c r="V27" i="5"/>
  <c r="V26" i="5"/>
  <c r="AA27" i="5"/>
  <c r="AA26" i="5"/>
  <c r="AA18" i="5"/>
  <c r="R6" i="5" l="1"/>
  <c r="AB16" i="5" l="1"/>
  <c r="AB15" i="5"/>
  <c r="AB29" i="5"/>
  <c r="AB28" i="5"/>
  <c r="AB24" i="5"/>
  <c r="AB23" i="5"/>
  <c r="AB22" i="5"/>
  <c r="AB21" i="5"/>
  <c r="AB14" i="5"/>
  <c r="AB13" i="5"/>
  <c r="AB6" i="5"/>
  <c r="BQ6" i="5" s="1"/>
  <c r="AB5" i="5"/>
  <c r="AB4" i="5"/>
  <c r="AB3" i="5"/>
  <c r="Z11" i="5"/>
  <c r="AB11" i="5" s="1"/>
  <c r="Z10" i="5"/>
  <c r="AB10" i="5" s="1"/>
  <c r="BO6" i="5" l="1"/>
  <c r="AB30" i="5"/>
  <c r="Y17" i="5" l="1"/>
  <c r="AB17" i="5" s="1"/>
  <c r="BO17" i="5" s="1"/>
  <c r="Y18" i="5"/>
  <c r="G6" i="6" l="1"/>
  <c r="H3" i="6"/>
  <c r="J3" i="6" s="1"/>
  <c r="H4" i="6"/>
  <c r="J4" i="6" s="1"/>
  <c r="H2" i="6"/>
  <c r="J2" i="6" s="1"/>
  <c r="X23" i="5"/>
  <c r="X27" i="5" l="1"/>
  <c r="BP28" i="5" l="1"/>
  <c r="X24" i="5"/>
  <c r="X18" i="5"/>
  <c r="Q18" i="5" l="1"/>
  <c r="Q17" i="5"/>
  <c r="V24" i="5" l="1"/>
  <c r="W24" i="5" s="1"/>
  <c r="V23" i="5"/>
  <c r="W23" i="5" s="1"/>
  <c r="W29" i="5"/>
  <c r="W28" i="5"/>
  <c r="W22" i="5"/>
  <c r="W21" i="5"/>
  <c r="W16" i="5"/>
  <c r="W15" i="5"/>
  <c r="W14" i="5"/>
  <c r="W13" i="5"/>
  <c r="W11" i="5"/>
  <c r="W10" i="5"/>
  <c r="W5" i="5"/>
  <c r="W3" i="5"/>
  <c r="W30" i="5" l="1"/>
  <c r="U27" i="5"/>
  <c r="U26" i="5"/>
  <c r="U4" i="5" l="1"/>
  <c r="W4" i="5" s="1"/>
  <c r="BP31" i="5"/>
  <c r="T24" i="5" l="1"/>
  <c r="BP23" i="5" l="1"/>
  <c r="W12" i="5" l="1"/>
  <c r="W9" i="5"/>
  <c r="W8" i="5"/>
  <c r="W7" i="5"/>
  <c r="F3" i="5"/>
  <c r="I3" i="5"/>
  <c r="J3" i="5"/>
  <c r="K3" i="5"/>
  <c r="R3" i="5"/>
  <c r="BO3" i="5" s="1"/>
  <c r="L31" i="5"/>
  <c r="M31" i="5" s="1"/>
  <c r="Q30" i="5"/>
  <c r="P30" i="5"/>
  <c r="O30" i="5"/>
  <c r="J30" i="5"/>
  <c r="I30" i="5"/>
  <c r="Q29" i="5"/>
  <c r="R29" i="5" s="1"/>
  <c r="L29" i="5"/>
  <c r="R28" i="5"/>
  <c r="L28" i="5"/>
  <c r="L27" i="5"/>
  <c r="L26" i="5"/>
  <c r="R24" i="5"/>
  <c r="L24" i="5"/>
  <c r="R23" i="5"/>
  <c r="L23" i="5"/>
  <c r="R22" i="5"/>
  <c r="R21" i="5"/>
  <c r="L18" i="5"/>
  <c r="L17" i="5"/>
  <c r="R16" i="5"/>
  <c r="K16" i="5"/>
  <c r="L16" i="5" s="1"/>
  <c r="R15" i="5"/>
  <c r="BO15" i="5" s="1"/>
  <c r="L15" i="5"/>
  <c r="R14" i="5"/>
  <c r="L14" i="5"/>
  <c r="R13" i="5"/>
  <c r="BO13" i="5" s="1"/>
  <c r="L13" i="5"/>
  <c r="R12" i="5"/>
  <c r="L12" i="5"/>
  <c r="R11" i="5"/>
  <c r="BO11" i="5" s="1"/>
  <c r="L11" i="5"/>
  <c r="R10" i="5"/>
  <c r="BO10" i="5" s="1"/>
  <c r="L10" i="5"/>
  <c r="R9" i="5"/>
  <c r="R8" i="5"/>
  <c r="R7" i="5"/>
  <c r="R5" i="5"/>
  <c r="BO5" i="5" s="1"/>
  <c r="L5" i="5"/>
  <c r="R4" i="5"/>
  <c r="I4" i="5"/>
  <c r="H4" i="5"/>
  <c r="F4" i="5"/>
  <c r="BQ14" i="5" l="1"/>
  <c r="BO14" i="5"/>
  <c r="BP13" i="5" s="1"/>
  <c r="BQ16" i="5"/>
  <c r="BO16" i="5"/>
  <c r="BP15" i="5" s="1"/>
  <c r="BQ4" i="5"/>
  <c r="BO4" i="5"/>
  <c r="BP3" i="5" s="1"/>
  <c r="BP5" i="5"/>
  <c r="BP26" i="5"/>
  <c r="BP21" i="5"/>
  <c r="BP10" i="5"/>
  <c r="M10" i="5"/>
  <c r="L3" i="5"/>
  <c r="K30" i="5"/>
  <c r="L30" i="5" s="1"/>
  <c r="M30" i="5" s="1"/>
  <c r="M15" i="5"/>
  <c r="M17" i="5"/>
  <c r="M26" i="5"/>
  <c r="M23" i="5"/>
  <c r="R30" i="5"/>
  <c r="BO30" i="5" s="1"/>
  <c r="M28" i="5"/>
  <c r="M13" i="5"/>
  <c r="BP30" i="5" l="1"/>
  <c r="BP17" i="5"/>
  <c r="S26" i="4"/>
  <c r="S21" i="4"/>
  <c r="S19" i="4"/>
  <c r="S28" i="4"/>
  <c r="S13" i="4" l="1"/>
  <c r="S5" i="4"/>
  <c r="S3" i="4"/>
  <c r="Q11" i="4" l="1"/>
  <c r="Q10" i="4"/>
  <c r="Q6" i="4"/>
  <c r="Q5" i="4"/>
  <c r="Q17" i="4"/>
  <c r="Q18" i="4"/>
  <c r="Q28" i="4"/>
  <c r="P29" i="4"/>
  <c r="Q29" i="4" s="1"/>
  <c r="Q26" i="4"/>
  <c r="Q27" i="4"/>
  <c r="T26" i="4" s="1"/>
  <c r="Q20" i="4" l="1"/>
  <c r="Q19" i="4"/>
  <c r="N30" i="4" l="1"/>
  <c r="Q22" i="4"/>
  <c r="Q21" i="4"/>
  <c r="P30" i="4"/>
  <c r="Q4" i="4"/>
  <c r="Q3" i="4"/>
  <c r="Q14" i="4"/>
  <c r="Q13" i="4"/>
  <c r="Q16" i="4"/>
  <c r="Q15" i="4"/>
  <c r="O30" i="4" l="1"/>
  <c r="Q30" i="4" l="1"/>
  <c r="K5" i="4"/>
  <c r="Q7" i="4"/>
  <c r="Q8" i="4"/>
  <c r="Q9" i="4"/>
  <c r="Q12" i="4"/>
  <c r="Q23" i="4"/>
  <c r="Q24" i="4"/>
  <c r="Q25" i="4"/>
  <c r="K28" i="4" l="1"/>
  <c r="K29" i="4"/>
  <c r="K17" i="4"/>
  <c r="K18" i="4"/>
  <c r="K21" i="4"/>
  <c r="K22" i="4"/>
  <c r="E4" i="4"/>
  <c r="E3" i="4"/>
  <c r="G4" i="4"/>
  <c r="K26" i="4"/>
  <c r="I31" i="3"/>
  <c r="I4" i="3"/>
  <c r="I12" i="3"/>
  <c r="I18" i="3"/>
  <c r="I25" i="3"/>
  <c r="K31" i="4"/>
  <c r="I30" i="4"/>
  <c r="H30" i="4"/>
  <c r="K27" i="4"/>
  <c r="K23" i="4"/>
  <c r="J16" i="4"/>
  <c r="K16" i="4" s="1"/>
  <c r="K15" i="4"/>
  <c r="K14" i="4"/>
  <c r="K13" i="4"/>
  <c r="K12" i="4"/>
  <c r="K11" i="4"/>
  <c r="K10" i="4"/>
  <c r="H4" i="4"/>
  <c r="J3" i="4"/>
  <c r="I3" i="4"/>
  <c r="H3" i="4"/>
  <c r="I6" i="4" l="1"/>
  <c r="I4" i="4" s="1"/>
  <c r="J6" i="7"/>
  <c r="J6" i="5"/>
  <c r="J6" i="4"/>
  <c r="J4" i="4" s="1"/>
  <c r="K6" i="7"/>
  <c r="K4" i="7" s="1"/>
  <c r="K6" i="5"/>
  <c r="K4" i="5" s="1"/>
  <c r="L23" i="4"/>
  <c r="L17" i="4"/>
  <c r="L28" i="4"/>
  <c r="L26" i="4"/>
  <c r="L21" i="4"/>
  <c r="L13" i="4"/>
  <c r="L15" i="4"/>
  <c r="K3" i="4"/>
  <c r="J30" i="4"/>
  <c r="K30" i="4" s="1"/>
  <c r="L10" i="4"/>
  <c r="K4" i="4" l="1"/>
  <c r="L3" i="4" s="1"/>
  <c r="J4" i="5"/>
  <c r="L4" i="5" s="1"/>
  <c r="M3" i="5" s="1"/>
  <c r="L6" i="5"/>
  <c r="M5" i="5" s="1"/>
  <c r="J4" i="7"/>
  <c r="L4" i="7" s="1"/>
  <c r="M3" i="7" s="1"/>
  <c r="L6" i="7"/>
  <c r="M5" i="7" s="1"/>
  <c r="K6" i="4"/>
  <c r="L5" i="4" s="1"/>
  <c r="D39" i="3" l="1"/>
  <c r="K12" i="1"/>
  <c r="K10" i="1"/>
  <c r="J4" i="1" l="1"/>
  <c r="J3" i="1"/>
  <c r="I4" i="1"/>
  <c r="H3" i="1"/>
  <c r="I3" i="1"/>
  <c r="H4" i="1"/>
  <c r="I21" i="3"/>
  <c r="K9" i="1"/>
  <c r="K7" i="1"/>
  <c r="K17" i="1"/>
  <c r="J13" i="1" l="1"/>
  <c r="J16" i="1" s="1"/>
  <c r="K4" i="1"/>
  <c r="K5" i="1"/>
  <c r="K6" i="1"/>
  <c r="K8" i="1"/>
  <c r="L7" i="1" s="1"/>
  <c r="K11" i="1"/>
  <c r="L10" i="1" s="1"/>
  <c r="K14" i="1"/>
  <c r="L14" i="1" s="1"/>
  <c r="K15" i="1"/>
  <c r="L15" i="1" s="1"/>
  <c r="K3" i="1"/>
  <c r="I16" i="1"/>
  <c r="H16" i="1"/>
  <c r="K16" i="1" l="1"/>
  <c r="L5" i="1"/>
  <c r="K13" i="1"/>
  <c r="L12" i="1" s="1"/>
  <c r="N12" i="1" s="1"/>
  <c r="O12" i="1" s="1"/>
  <c r="L3" i="1"/>
  <c r="AG10" i="10" l="1"/>
  <c r="F10" i="14" l="1"/>
  <c r="BX10" i="10"/>
  <c r="AG16" i="10"/>
  <c r="BV9" i="10" l="1"/>
  <c r="BU16" i="10"/>
  <c r="BV16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Cuevas</author>
    <author>tc={9C79CA23-7444-4EC9-A862-016D818B0E90}</author>
    <author>tc={BE1A866C-FEBC-43B1-BC9C-35293926D488}</author>
  </authors>
  <commentList>
    <comment ref="X10" authorId="0" shapeId="0" xr:uid="{4D449803-D017-49C4-AE29-269D4ECC11C3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Integracion Normet</t>
        </r>
      </text>
    </comment>
    <comment ref="Z10" authorId="0" shapeId="0" xr:uid="{11E65302-AA06-4824-9B01-8218737EE5C5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BHP Tunel
Cajati</t>
        </r>
      </text>
    </comment>
    <comment ref="BL14" authorId="1" shapeId="0" xr:uid="{9C79CA23-7444-4EC9-A862-016D818B0E9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quita AMSA RIINO y HDD</t>
      </text>
    </comment>
    <comment ref="AW17" authorId="2" shapeId="0" xr:uid="{BE1A866C-FEBC-43B1-BC9C-35293926D48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agrega invoice 03 emitido a Franco Nevada la ultima semana de julio por 99 kUSD</t>
      </text>
    </comment>
    <comment ref="Q18" authorId="0" shapeId="0" xr:uid="{72CD1480-62A6-47DD-ACA9-E2BFC9A8084A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No estaba considerando 173 kUS$
</t>
        </r>
      </text>
    </comment>
    <comment ref="V21" authorId="0" shapeId="0" xr:uid="{7C626EA9-4D67-45D4-9D26-094AF67FCC8B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Corresponden a los EDP emitidos en febrero 2025</t>
        </r>
      </text>
    </comment>
    <comment ref="AE21" authorId="0" shapeId="0" xr:uid="{A1426829-8851-48E1-9766-88777478563F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Se suma EDP de contrato marco emitido la primera semana de abril por 9k USD</t>
        </r>
      </text>
    </comment>
    <comment ref="V23" authorId="0" shapeId="0" xr:uid="{D73B0DA7-EA7F-4D48-BADD-1BD73F405598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Se sumen los EDP emitidos en enero que no fueron aprobados en Febrero</t>
        </r>
      </text>
    </comment>
    <comment ref="W27" authorId="0" shapeId="0" xr:uid="{90414C33-60CD-4D28-B21A-5498CDF001E0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Inicialmente no estaba considerado el pago de Capstone Copper en la cuenta BVI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tc={25C0FD45-3462-464B-AE3A-2F6E585A4329}</author>
    <author>tc={8E8B538D-F26B-48EA-AA5B-065C86F76E09}</author>
    <author>tc={AC8B7546-E2B4-40F9-85AE-96800B93B9EF}</author>
    <author>Eduardo Cuevas</author>
  </authors>
  <commentList>
    <comment ref="BL8" authorId="0" shapeId="0" xr:uid="{25C0FD45-3462-464B-AE3A-2F6E585A432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quita AMSA RIINO y HDD</t>
      </text>
    </comment>
    <comment ref="BM10" authorId="1" shapeId="0" xr:uid="{8E8B538D-F26B-48EA-AA5B-065C86F76E0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suman los trabajos adicionales a Py Los Calatos V3 por 41k</t>
      </text>
    </comment>
    <comment ref="AW11" authorId="2" shapeId="0" xr:uid="{AC8B7546-E2B4-40F9-85AE-96800B93B9E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agrega invoice 03 emitido a Franco Nevada la ultima semana de julio por 99 kUSD</t>
      </text>
    </comment>
    <comment ref="Q12" authorId="3" shapeId="0" xr:uid="{66C82A2B-B4E4-4989-9909-76FBC4EBD2A3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No estaba considerando 173 kUS$
</t>
        </r>
      </text>
    </comment>
    <comment ref="W14" authorId="3" shapeId="0" xr:uid="{B2150356-A0B0-4CDA-832A-7664B5DD0240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Inicialmente no estaba considerado el pago de Capstone Copper en la cuenta BVI</t>
        </r>
      </text>
    </comment>
    <comment ref="V20" authorId="3" shapeId="0" xr:uid="{6FF58F23-B5E9-4933-8FE7-86ED5910F255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Corresponden a los EDP emitidos en febrero 2025</t>
        </r>
      </text>
    </comment>
    <comment ref="AE20" authorId="3" shapeId="0" xr:uid="{A9949B59-62FA-4D1C-8CB8-0EE3541B50AD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Se suma EDP de contrato marco emitido la primera semana de abril por 9k USD</t>
        </r>
      </text>
    </comment>
    <comment ref="V22" authorId="3" shapeId="0" xr:uid="{D21AD59C-89FF-4A60-BA3B-5FD558270CB2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Se sumen los EDP emitidos en enero que no fueron aprobados en Febrero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Cuevas</author>
    <author>Alvaro Soto</author>
    <author>tc={02A34764-E66A-4EE5-B2F5-CBDBB61FD64C}</author>
    <author>tc={233C6B5E-AD6E-4B43-9459-5D58742E082C}</author>
    <author>tc={D1278AE0-395A-4E97-8EE6-4B28E873EE5C}</author>
  </authors>
  <commentList>
    <comment ref="Z6" authorId="0" shapeId="0" xr:uid="{DA72E353-2DA0-4B63-92CD-19223F9DAFF8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Xavantina - EroCopper - Brasil</t>
        </r>
      </text>
    </comment>
    <comment ref="AA6" authorId="0" shapeId="0" xr:uid="{7E7422A9-98E7-423D-9B51-947D24BBD4EC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Peritaje - Codelco- Chile</t>
        </r>
      </text>
    </comment>
    <comment ref="AC6" authorId="1" shapeId="0" xr:uid="{44F76112-9611-499E-A193-6DFC63BC4D9E}">
      <text>
        <r>
          <rPr>
            <b/>
            <sz val="9"/>
            <color indexed="81"/>
            <rFont val="Tahoma"/>
            <family val="2"/>
          </rPr>
          <t>Alvaro Soto:</t>
        </r>
        <r>
          <rPr>
            <sz val="9"/>
            <color indexed="81"/>
            <rFont val="Tahoma"/>
            <family val="2"/>
          </rPr>
          <t xml:space="preserve">
PEA Update - Pre PFS Furnas
Diagnostico Geomecanico operacional - Mercedes - Highlander Silver</t>
        </r>
      </text>
    </comment>
    <comment ref="AD6" authorId="1" shapeId="0" xr:uid="{6A7CE496-6365-4ECD-8D52-E040B5DD5792}">
      <text>
        <r>
          <rPr>
            <b/>
            <sz val="9"/>
            <color indexed="81"/>
            <rFont val="Tahoma"/>
            <family val="2"/>
          </rPr>
          <t>Alvaro Soto:</t>
        </r>
        <r>
          <rPr>
            <sz val="9"/>
            <color indexed="81"/>
            <rFont val="Tahoma"/>
            <family val="2"/>
          </rPr>
          <t xml:space="preserve">
Minsur - Servicio revisión adherencia ,cumplimiento y reconcialiación San Rafael
Hill of value-south 32</t>
        </r>
      </text>
    </comment>
    <comment ref="BF8" authorId="2" shapeId="0" xr:uid="{02A34764-E66A-4EE5-B2F5-CBDBB61FD64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quita AMSA RIINO y HDD</t>
      </text>
    </comment>
    <comment ref="BG10" authorId="3" shapeId="0" xr:uid="{233C6B5E-AD6E-4B43-9459-5D58742E082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suman los trabajos adicionales a Py Los Calatos V3 por 41k</t>
      </text>
    </comment>
    <comment ref="AQ11" authorId="4" shapeId="0" xr:uid="{D1278AE0-395A-4E97-8EE6-4B28E873EE5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agrega invoice 03 emitido a Franco Nevada la ultima semana de julio por 99 kUSD</t>
      </text>
    </comment>
    <comment ref="Y20" authorId="0" shapeId="0" xr:uid="{A18184A1-BA34-4F56-B2C5-9C8D0D8D5C83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Se suma EDP de contrato marco emitido la primera semana de abril por 9k USD</t>
        </r>
      </text>
    </comment>
    <comment ref="AF26" authorId="0" shapeId="0" xr:uid="{4CC7841F-0475-4508-9733-B6CABC32E0CC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5 son Rusia</t>
        </r>
      </text>
    </comment>
    <comment ref="AC27" authorId="0" shapeId="0" xr:uid="{3AD0C747-DAB4-481E-9B88-9F64160B6554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Factura de ERG emitida en marzo</t>
        </r>
      </text>
    </comment>
    <comment ref="AF27" authorId="0" shapeId="0" xr:uid="{8970EA45-8657-44FA-8179-34CD9E25F91E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732k Rusia (Polyus + Seligdar)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Cuevas</author>
  </authors>
  <commentList>
    <comment ref="E41" authorId="0" shapeId="0" xr:uid="{43342904-879B-46D5-9E59-225A800EFC80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Considera +400k Seligdar Kyuchus</t>
        </r>
      </text>
    </comment>
    <comment ref="E43" authorId="0" shapeId="0" xr:uid="{4EDA00B0-18E0-4950-AEE6-5AD845780D4A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Considera +400k Seligdar Kyuchus</t>
        </r>
      </text>
    </comment>
  </commentList>
</comments>
</file>

<file path=xl/sharedStrings.xml><?xml version="1.0" encoding="utf-8"?>
<sst xmlns="http://schemas.openxmlformats.org/spreadsheetml/2006/main" count="1072" uniqueCount="445">
  <si>
    <t>#</t>
  </si>
  <si>
    <t>Ítem</t>
  </si>
  <si>
    <t>Unidad</t>
  </si>
  <si>
    <t>Q4-24</t>
  </si>
  <si>
    <t>Media Q4 2024</t>
  </si>
  <si>
    <t>S1</t>
  </si>
  <si>
    <t>S2</t>
  </si>
  <si>
    <t>S3</t>
  </si>
  <si>
    <t>S4</t>
  </si>
  <si>
    <t>S1 feb-25</t>
  </si>
  <si>
    <t>Media</t>
  </si>
  <si>
    <t>Observaciones:</t>
  </si>
  <si>
    <t>Propuestas emitidas</t>
  </si>
  <si>
    <t>kUS$</t>
  </si>
  <si>
    <t>Propuestas adjudicadas</t>
  </si>
  <si>
    <t>Plazo Medio Adjudicado</t>
  </si>
  <si>
    <t>Meses</t>
  </si>
  <si>
    <t>Relación Monto/plazo</t>
  </si>
  <si>
    <t>US$/mes</t>
  </si>
  <si>
    <r>
      <t xml:space="preserve">Saldo de Contratos 
</t>
    </r>
    <r>
      <rPr>
        <sz val="7"/>
        <color rgb="FFFF0000"/>
        <rFont val="Aptos Narrow"/>
        <family val="2"/>
        <scheme val="minor"/>
      </rPr>
      <t>(Por Ejecutar)</t>
    </r>
  </si>
  <si>
    <t>Propuestas iniciadas c/ KOM</t>
  </si>
  <si>
    <t>#(KOM interno)</t>
  </si>
  <si>
    <t>POM Mensual</t>
  </si>
  <si>
    <t>EDP Emitidos</t>
  </si>
  <si>
    <t>EDP Facturados</t>
  </si>
  <si>
    <r>
      <t xml:space="preserve">EDP Pendientes
</t>
    </r>
    <r>
      <rPr>
        <sz val="7"/>
        <rFont val="Aptos Narrow"/>
        <family val="2"/>
        <scheme val="minor"/>
      </rPr>
      <t>(En proceso de aprobación)</t>
    </r>
  </si>
  <si>
    <r>
      <t xml:space="preserve">EDP Rezagados 
</t>
    </r>
    <r>
      <rPr>
        <sz val="7"/>
        <rFont val="Aptos Narrow"/>
        <family val="2"/>
        <scheme val="minor"/>
      </rPr>
      <t>(emitidos no aprobados)</t>
    </r>
  </si>
  <si>
    <t>Facturación</t>
  </si>
  <si>
    <t>Facturas por cobrar</t>
  </si>
  <si>
    <r>
      <t xml:space="preserve">Facturas Pagadas 
</t>
    </r>
    <r>
      <rPr>
        <sz val="7"/>
        <rFont val="Aptos Narrow"/>
        <family val="2"/>
        <scheme val="minor"/>
      </rPr>
      <t>(Ingreso Operacional)</t>
    </r>
  </si>
  <si>
    <t>175.000 adjudicada birchlake</t>
  </si>
  <si>
    <t>Revisión de validación reportes R&amp;R (15 assets)</t>
  </si>
  <si>
    <t>Facturas Vencidas</t>
  </si>
  <si>
    <t>Enviado</t>
  </si>
  <si>
    <t>Candelaria Zublin</t>
  </si>
  <si>
    <t>KUS$</t>
  </si>
  <si>
    <t>Cadelaria</t>
  </si>
  <si>
    <t>Cumplimiento POM vs EDP</t>
  </si>
  <si>
    <t>%</t>
  </si>
  <si>
    <t>-</t>
  </si>
  <si>
    <t>Adherencia POM vs EDP</t>
  </si>
  <si>
    <t>ID</t>
  </si>
  <si>
    <t>Proyecto</t>
  </si>
  <si>
    <t>US$</t>
  </si>
  <si>
    <t>Fecha Inicio</t>
  </si>
  <si>
    <t>Mes</t>
  </si>
  <si>
    <t>KOM con cliente</t>
  </si>
  <si>
    <t>KOM Interno Realizado</t>
  </si>
  <si>
    <t>BHP – MEL​-Modelo predictivo Pozos de drenaje</t>
  </si>
  <si>
    <t>Julio</t>
  </si>
  <si>
    <t>BHP - Spence​-Análisis de cumplimiento del plan</t>
  </si>
  <si>
    <t>Mosaic – Cajati​-Actualización análisis de Estabilidad OP​</t>
  </si>
  <si>
    <t>CMP – Los Colorados​-“Plan Minero Base Escenario Brownfield MLC​</t>
  </si>
  <si>
    <t>CMP – Tofo Norte​-Tofo Norte, modularizado​</t>
  </si>
  <si>
    <t>CMP – CNN/LC​-Apoyo LOM 2024 Faenas MLC y CNN​</t>
  </si>
  <si>
    <t>Mosaic – Cajati​-Evaluación cumplimiento plan OP</t>
  </si>
  <si>
    <t>Minsur – San Rafael​-Evaluación de recursos marginales​</t>
  </si>
  <si>
    <t>Minsur – Mina Justa​-Proyecto Achupallas</t>
  </si>
  <si>
    <t>Agosto</t>
  </si>
  <si>
    <t>Codelco - DCH​-Analisis opciones de vaciado</t>
  </si>
  <si>
    <t>Septiembre</t>
  </si>
  <si>
    <t>CMP –Algarrobo​-Algarrobo Finos</t>
  </si>
  <si>
    <t>Octubre</t>
  </si>
  <si>
    <t>CMP – CNN​-Mejoras operacionales</t>
  </si>
  <si>
    <t>Noviembre</t>
  </si>
  <si>
    <t>Lundin – Candelaria​-Diagnóstico de gaps de planificación y operaciones</t>
  </si>
  <si>
    <t>Diciembre</t>
  </si>
  <si>
    <t xml:space="preserve">Lhg - Autazes​-Taller y evaluación de información </t>
  </si>
  <si>
    <t>Enero</t>
  </si>
  <si>
    <t>Tantahuatay​ - servicio de capacitación en DBS y SIMPLAN​</t>
  </si>
  <si>
    <t>BHP - Escondida​-Tunel exploratorio​</t>
  </si>
  <si>
    <t>Lundin – Caserones​-Evaluación opciones de mejora de planificación</t>
  </si>
  <si>
    <t>Estudio Conceptual Sierra Norte (Opción Óxidos)</t>
  </si>
  <si>
    <t>Si</t>
  </si>
  <si>
    <t>Propuesta Iniciadas c/KOM</t>
  </si>
  <si>
    <t>FEL3 CNN</t>
  </si>
  <si>
    <t>No</t>
  </si>
  <si>
    <t>Capacitacion DBS Buenaventura</t>
  </si>
  <si>
    <t>Soporte Minero en Litigio OT - Gobierno Mongolia</t>
  </si>
  <si>
    <t>Pre-PFS Twin Metals Birch Lake - Maturi</t>
  </si>
  <si>
    <t>Analisis de Capacidad Optima Tofo Norte</t>
  </si>
  <si>
    <t>Fase 2 CTV: Modelamiento Recursos, Geomecanica y LOM actualizado</t>
  </si>
  <si>
    <t>Revision Normativa Recursos y Reservas Codelco (NCC-31)</t>
  </si>
  <si>
    <t>Servicio de Apoyo a la doc. De corto Plazo - RT</t>
  </si>
  <si>
    <t>RT: Análisis de Estándar cierre topográfico</t>
  </si>
  <si>
    <t>Analisis Innovación Tecnologica Distrito Centinela</t>
  </si>
  <si>
    <t>Análisis Conceptual - Aura UG</t>
  </si>
  <si>
    <t>Resolution: MinePlan Review (Scoping)</t>
  </si>
  <si>
    <t>Raura: Analisis Plan LOM 2025</t>
  </si>
  <si>
    <t>Cerro Colorado: Diseño Cierre de Botaderos</t>
  </si>
  <si>
    <t>INGENIERÍA EXPLORATORIA DEL PROYECTO DMH NORTE</t>
  </si>
  <si>
    <t>Los Calatos Pre-FP Study (V3)</t>
  </si>
  <si>
    <t>BCG: Evaluación de la planificación de Codelco</t>
  </si>
  <si>
    <t>NO</t>
  </si>
  <si>
    <t>Cumplimiento</t>
  </si>
  <si>
    <t>Anglo American</t>
  </si>
  <si>
    <t>Los Bronces</t>
  </si>
  <si>
    <t>Estudio de productividad</t>
  </si>
  <si>
    <t>BHP</t>
  </si>
  <si>
    <t>Spence</t>
  </si>
  <si>
    <t>Análisis de confiabilidad y detección de cuellos de botella del LoA 25 – Proyecto SCUT</t>
  </si>
  <si>
    <t>Vale</t>
  </si>
  <si>
    <t>Servicio IQS para nueve assets</t>
  </si>
  <si>
    <t>Ing. Pre factibilidad perforación DHH</t>
  </si>
  <si>
    <t>First Quantum</t>
  </si>
  <si>
    <t>Cobre Panama</t>
  </si>
  <si>
    <t xml:space="preserve">Lom estrategico </t>
  </si>
  <si>
    <t>Minsur</t>
  </si>
  <si>
    <t>San Rafael</t>
  </si>
  <si>
    <t>Preparación IV MEIA San German</t>
  </si>
  <si>
    <t>Volcan</t>
  </si>
  <si>
    <t>Atlas Mining</t>
  </si>
  <si>
    <t>Plan LOM de distintas estrategias de crecimiento de la planta</t>
  </si>
  <si>
    <t>CAP</t>
  </si>
  <si>
    <t>Guarelo</t>
  </si>
  <si>
    <t>Estudio integral de LOM Mina Guarelo: Acompañamiento desde el plan de captura de información hasta el LOM</t>
  </si>
  <si>
    <t>Minera Reliquias</t>
  </si>
  <si>
    <t>Due Diligence Mina-Planta</t>
  </si>
  <si>
    <t>Andina</t>
  </si>
  <si>
    <t>Due Diligence Higlevel  Mina-Planta-Infraestrutura de Andina</t>
  </si>
  <si>
    <t>McCarthy Abogados</t>
  </si>
  <si>
    <t>Alio Gold</t>
  </si>
  <si>
    <t>Technical Expert Support of the plaintiff’s allegation to Alio Gold Inc</t>
  </si>
  <si>
    <t>EMCO</t>
  </si>
  <si>
    <t xml:space="preserve">Optimización de rutas de transporte, Simulación, Modelos geotécnico y monitoreo </t>
  </si>
  <si>
    <t>Seprocal</t>
  </si>
  <si>
    <t>Ingenieria de detalle de fortificación de piques</t>
  </si>
  <si>
    <t>CMP</t>
  </si>
  <si>
    <t>Algarrobo</t>
  </si>
  <si>
    <t>Evaluación caso de negocio explotación SLS</t>
  </si>
  <si>
    <t>Rio Tinto</t>
  </si>
  <si>
    <t>Oyu Tolgoi</t>
  </si>
  <si>
    <t>Soporte caso de litigio Rio Tinto vs Gobierno Mongolia</t>
  </si>
  <si>
    <t>Hudbay Perú S.A.C</t>
  </si>
  <si>
    <t>Constancia</t>
  </si>
  <si>
    <t>Estudio de Factibilidad del WRF y Tajo Constancia para la 4ta MEIA</t>
  </si>
  <si>
    <t>Las Bambas</t>
  </si>
  <si>
    <t>Ferrobamba</t>
  </si>
  <si>
    <t>PFS Ferrobamba Deep</t>
  </si>
  <si>
    <t>Carola</t>
  </si>
  <si>
    <t>Apoyo en la planificación de Corto Plazo (SIMPREP)</t>
  </si>
  <si>
    <t>Sierra Metals</t>
  </si>
  <si>
    <t>Yauricocha</t>
  </si>
  <si>
    <t>ESTUDIO DE VENTILACIÓN UNIDAD MINERA YAURICOCHA</t>
  </si>
  <si>
    <t>OCP</t>
  </si>
  <si>
    <t>OCP - Cobriza ​</t>
  </si>
  <si>
    <t>Diagnostico operacional y construcción de planes alternativos (Blue Sky y potencial)​</t>
  </si>
  <si>
    <t>Rockhaven​</t>
  </si>
  <si>
    <t>Mining Trade Off Study​</t>
  </si>
  <si>
    <t>Codelco</t>
  </si>
  <si>
    <t>Codelco – DRT​</t>
  </si>
  <si>
    <t>Análisis y cuantificación de cobre en riesgo por expansión del OP​</t>
  </si>
  <si>
    <t>Hudbay - Constancia​</t>
  </si>
  <si>
    <t>Análisis de estabilidad OP​</t>
  </si>
  <si>
    <t>Cementarion</t>
  </si>
  <si>
    <t>Cementation - First Majestic​</t>
  </si>
  <si>
    <t>FS Study: LOM that can be used for economic evaluation of the Jerritt Canyon mine site​</t>
  </si>
  <si>
    <t>CMP​</t>
  </si>
  <si>
    <t>Contrato Marco de Ingeniería – Gerencia de Planificación &amp; Desarrollo CMP​</t>
  </si>
  <si>
    <t>-​</t>
  </si>
  <si>
    <t>Revisión independiente modelo de recursos DRT​</t>
  </si>
  <si>
    <t>Minsur - Raura​</t>
  </si>
  <si>
    <t>Estandarización, control y seguimiento de KPIs/resultados de corto/mediano plazo para Minsur ​</t>
  </si>
  <si>
    <t>Seligar</t>
  </si>
  <si>
    <t>Seligdar​</t>
  </si>
  <si>
    <t>Construccion de wireframes de cuerpo mineral y modelos de bloque de 2 yacimientos​</t>
  </si>
  <si>
    <t>Minera Tres valles​</t>
  </si>
  <si>
    <t>Modelo de flujo gravitacional​</t>
  </si>
  <si>
    <t>Buenaventura</t>
  </si>
  <si>
    <t>Buenaventura – El Brocal​</t>
  </si>
  <si>
    <t>Estudio de ingeniería de factibilidad para la Ampliación del Tajo Norte​</t>
  </si>
  <si>
    <t>Acumulado</t>
  </si>
  <si>
    <t>Media kUS$</t>
  </si>
  <si>
    <t>Cantidad de Proyectos</t>
  </si>
  <si>
    <t>EDP Mensual</t>
  </si>
  <si>
    <t>Considera 25 EDP</t>
  </si>
  <si>
    <t>Proyecta 10,3 MUS$</t>
  </si>
  <si>
    <t>Ingresos Operacionales</t>
  </si>
  <si>
    <t>Resp.</t>
  </si>
  <si>
    <t>S2 feb-25</t>
  </si>
  <si>
    <t>S3 feb-25</t>
  </si>
  <si>
    <t>S4 feb-25</t>
  </si>
  <si>
    <t>S1 mar-25</t>
  </si>
  <si>
    <t>S2 mar-25</t>
  </si>
  <si>
    <t>S3 mar-25</t>
  </si>
  <si>
    <t>S4 mar-25</t>
  </si>
  <si>
    <t>S1 abr-25</t>
  </si>
  <si>
    <t>S2 abr-25</t>
  </si>
  <si>
    <t>S3 abr-25</t>
  </si>
  <si>
    <t>S4 abr-25</t>
  </si>
  <si>
    <t>S5 abril-25</t>
  </si>
  <si>
    <t>S1 may-25</t>
  </si>
  <si>
    <t>S2 may-25</t>
  </si>
  <si>
    <t>S3 may-25</t>
  </si>
  <si>
    <t>S4 may-25</t>
  </si>
  <si>
    <t>S1 Jun-25</t>
  </si>
  <si>
    <t>S2 Jun-25</t>
  </si>
  <si>
    <t>S3 Jun-25</t>
  </si>
  <si>
    <t>S4 Jun-25</t>
  </si>
  <si>
    <t>S1 Jul-25</t>
  </si>
  <si>
    <t>S2 Jul-25</t>
  </si>
  <si>
    <t>S3 Jul-25</t>
  </si>
  <si>
    <t>S4 Jul-25</t>
  </si>
  <si>
    <t>S5 Jul-25</t>
  </si>
  <si>
    <t>S1 ago-25</t>
  </si>
  <si>
    <t>S2 ago-25</t>
  </si>
  <si>
    <t>S3 ago-25</t>
  </si>
  <si>
    <t>S4  ago-25</t>
  </si>
  <si>
    <t>S1 sep-25</t>
  </si>
  <si>
    <t>S2 sep-25</t>
  </si>
  <si>
    <t>S3 sep-25</t>
  </si>
  <si>
    <t>S4 sep-25</t>
  </si>
  <si>
    <t>S1 oct-25</t>
  </si>
  <si>
    <t>S2 oct-25</t>
  </si>
  <si>
    <t>S3 oct-25</t>
  </si>
  <si>
    <t>S4 oct-25</t>
  </si>
  <si>
    <t>Media oct</t>
  </si>
  <si>
    <t>Acum. 2025</t>
  </si>
  <si>
    <t>Media Acum.</t>
  </si>
  <si>
    <t>PA</t>
  </si>
  <si>
    <t>Propuestas Emitidas</t>
  </si>
  <si>
    <t>Propuestas Adjudicadas</t>
  </si>
  <si>
    <t>EC</t>
  </si>
  <si>
    <r>
      <t xml:space="preserve">EDP Emitidos 
</t>
    </r>
    <r>
      <rPr>
        <sz val="7"/>
        <color theme="1"/>
        <rFont val="Aptos Narrow"/>
        <family val="2"/>
        <scheme val="minor"/>
      </rPr>
      <t>(Mes en curso)</t>
    </r>
  </si>
  <si>
    <t>IM</t>
  </si>
  <si>
    <r>
      <t xml:space="preserve">EDP Facturados
</t>
    </r>
    <r>
      <rPr>
        <sz val="7"/>
        <rFont val="Aptos Narrow"/>
        <family val="2"/>
        <scheme val="minor"/>
      </rPr>
      <t>(Facturas emitidas)</t>
    </r>
  </si>
  <si>
    <t>EDP</t>
  </si>
  <si>
    <t>6.1</t>
  </si>
  <si>
    <t>Pendientes
(En proceso de aprobación)</t>
  </si>
  <si>
    <t>Factura</t>
  </si>
  <si>
    <t>6.2</t>
  </si>
  <si>
    <t>Rezagados</t>
  </si>
  <si>
    <t>Ingreso</t>
  </si>
  <si>
    <t>Gasto Operacional</t>
  </si>
  <si>
    <t>Emitido</t>
  </si>
  <si>
    <t>Facturado</t>
  </si>
  <si>
    <t>Ingresado</t>
  </si>
  <si>
    <t>Remanente</t>
  </si>
  <si>
    <t>Item</t>
  </si>
  <si>
    <t>Módulo</t>
  </si>
  <si>
    <t>Liquido USD</t>
  </si>
  <si>
    <t>Bruto USD</t>
  </si>
  <si>
    <t>Módulo USD</t>
  </si>
  <si>
    <t>Dotación</t>
  </si>
  <si>
    <t>Director</t>
  </si>
  <si>
    <t>Ing Ppal</t>
  </si>
  <si>
    <t>Ing Proy</t>
  </si>
  <si>
    <t>Ing Senior</t>
  </si>
  <si>
    <t>Gerente</t>
  </si>
  <si>
    <t>Total</t>
  </si>
  <si>
    <t>Sueldos</t>
  </si>
  <si>
    <t>COSTO TOTAL MÓDULO</t>
  </si>
  <si>
    <t>USD</t>
  </si>
  <si>
    <t>Overhead</t>
  </si>
  <si>
    <t>Directo</t>
  </si>
  <si>
    <t>Ingeniería</t>
  </si>
  <si>
    <t>MO</t>
  </si>
  <si>
    <t>Tercero</t>
  </si>
  <si>
    <t>Operación</t>
  </si>
  <si>
    <t>Admin</t>
  </si>
  <si>
    <t>Otros</t>
  </si>
  <si>
    <t>TOTAL</t>
  </si>
  <si>
    <t xml:space="preserve">Modulos </t>
  </si>
  <si>
    <t>Gasto</t>
  </si>
  <si>
    <t>EBITDA</t>
  </si>
  <si>
    <t>Acción</t>
  </si>
  <si>
    <t>Responsable</t>
  </si>
  <si>
    <t>Fecha</t>
  </si>
  <si>
    <t>Estatus</t>
  </si>
  <si>
    <t>Replantear el enfoque de reunión comercial con Country Managers</t>
  </si>
  <si>
    <t>A.Fraser</t>
  </si>
  <si>
    <t>En proceso</t>
  </si>
  <si>
    <t>Definir estrategia para abordar Paloma Sulfato (internamente)</t>
  </si>
  <si>
    <t>Pendiente</t>
  </si>
  <si>
    <t>Enviar términos y condiciones de propuestas comerciales</t>
  </si>
  <si>
    <t>Realizado</t>
  </si>
  <si>
    <t>Actualizar información comercial (adjudicado y cierre contractual)</t>
  </si>
  <si>
    <t>P.Aguiluz</t>
  </si>
  <si>
    <t>Aplicar cuociente monto/meses a propuestas comerciales en seguimiento</t>
  </si>
  <si>
    <t>Asignar prioridades a propuestas comerciales enviadas para definir foco</t>
  </si>
  <si>
    <t>S5 oct-25</t>
  </si>
  <si>
    <t>S5</t>
  </si>
  <si>
    <t>Media dic</t>
  </si>
  <si>
    <t>Rezagado</t>
  </si>
  <si>
    <t>Ingreso Operacional</t>
  </si>
  <si>
    <t>EDP por facturar</t>
  </si>
  <si>
    <t>POM</t>
  </si>
  <si>
    <r>
      <t xml:space="preserve">EDP Emitidos 
</t>
    </r>
    <r>
      <rPr>
        <sz val="8"/>
        <color theme="1"/>
        <rFont val="Century Gothic"/>
        <family val="2"/>
      </rPr>
      <t>(Estados de pago)</t>
    </r>
  </si>
  <si>
    <r>
      <t xml:space="preserve">EDP Facturados
</t>
    </r>
    <r>
      <rPr>
        <sz val="8"/>
        <rFont val="Century Gothic"/>
        <family val="2"/>
      </rPr>
      <t>(Facturación)</t>
    </r>
  </si>
  <si>
    <r>
      <t xml:space="preserve">EDP Pagados 
</t>
    </r>
    <r>
      <rPr>
        <sz val="8"/>
        <rFont val="Century Gothic"/>
        <family val="2"/>
      </rPr>
      <t>(Ingreso Operacional)</t>
    </r>
  </si>
  <si>
    <t>Backlog EDP 
(por facturar)</t>
  </si>
  <si>
    <t>10.1</t>
  </si>
  <si>
    <t>Pendientes</t>
  </si>
  <si>
    <t>10.2</t>
  </si>
  <si>
    <r>
      <t xml:space="preserve">Backlog Facturas
</t>
    </r>
    <r>
      <rPr>
        <sz val="8"/>
        <rFont val="Century Gothic"/>
        <family val="2"/>
      </rPr>
      <t>(Por cobrar)</t>
    </r>
  </si>
  <si>
    <t>11.1</t>
  </si>
  <si>
    <t>Perú</t>
  </si>
  <si>
    <t>Resource Development Plan (RDP)</t>
  </si>
  <si>
    <t>Chile</t>
  </si>
  <si>
    <t>Auditoría R&amp;R (modelo de recursos, hidrogeología y geomecanica)</t>
  </si>
  <si>
    <t>Media 2025</t>
  </si>
  <si>
    <t>Media jun</t>
  </si>
  <si>
    <t>Acum. 2026</t>
  </si>
  <si>
    <r>
      <t xml:space="preserve">EDP Emitidos 
</t>
    </r>
    <r>
      <rPr>
        <sz val="8"/>
        <color theme="1"/>
        <rFont val="Aptos Narrow"/>
        <family val="2"/>
        <scheme val="minor"/>
      </rPr>
      <t>(Estados de pago)</t>
    </r>
  </si>
  <si>
    <t>EDP Pagados</t>
  </si>
  <si>
    <t>Ene</t>
  </si>
  <si>
    <r>
      <t xml:space="preserve">EDP Facturados
</t>
    </r>
    <r>
      <rPr>
        <sz val="8"/>
        <color theme="1"/>
        <rFont val="Aptos Narrow"/>
        <family val="2"/>
        <scheme val="minor"/>
      </rPr>
      <t>(Facturación)</t>
    </r>
  </si>
  <si>
    <t>Feb</t>
  </si>
  <si>
    <t>Mar</t>
  </si>
  <si>
    <r>
      <t xml:space="preserve">EDP Pagados 
</t>
    </r>
    <r>
      <rPr>
        <sz val="8"/>
        <color theme="1"/>
        <rFont val="Aptos Narrow"/>
        <family val="2"/>
        <scheme val="minor"/>
      </rPr>
      <t>(Ingreso Operacional)</t>
    </r>
  </si>
  <si>
    <t>Abr</t>
  </si>
  <si>
    <t>May</t>
  </si>
  <si>
    <t>Jun</t>
  </si>
  <si>
    <t>Jul</t>
  </si>
  <si>
    <t>Ago</t>
  </si>
  <si>
    <t>Sep</t>
  </si>
  <si>
    <t>Oct</t>
  </si>
  <si>
    <t>Pendientes aprobación</t>
  </si>
  <si>
    <t>Nov</t>
  </si>
  <si>
    <t>Dic</t>
  </si>
  <si>
    <t>Aprobados por facturar</t>
  </si>
  <si>
    <r>
      <t xml:space="preserve">Backlog Facturas
</t>
    </r>
    <r>
      <rPr>
        <sz val="8"/>
        <color theme="1"/>
        <rFont val="Aptos Narrow"/>
        <family val="2"/>
        <scheme val="minor"/>
      </rPr>
      <t>(Por cobrar)</t>
    </r>
  </si>
  <si>
    <t>País</t>
  </si>
  <si>
    <t>Cliente</t>
  </si>
  <si>
    <t>Monto USD</t>
  </si>
  <si>
    <t>Proyecto 1</t>
  </si>
  <si>
    <t>Proyecto 2</t>
  </si>
  <si>
    <t>Proyecto 3</t>
  </si>
  <si>
    <t>Proyecto 4</t>
  </si>
  <si>
    <t>Proyecto 5</t>
  </si>
  <si>
    <t>Proyecto 6</t>
  </si>
  <si>
    <t>Proyecto 7</t>
  </si>
  <si>
    <t>ANÁLISIS COMPARATIVO DE KPIs DE NEGOCIO</t>
  </si>
  <si>
    <t>REDCO Mining Consultants  |  Enero – Mayo 2025 vs 2026</t>
  </si>
  <si>
    <t>Fecha de generación: 31 de mayo de 2026</t>
  </si>
  <si>
    <t>PROP. ADJUDICADAS</t>
  </si>
  <si>
    <t>EDP EMITIDOS</t>
  </si>
  <si>
    <t>EDP FACTURADOS</t>
  </si>
  <si>
    <t>EDP PAGADOS</t>
  </si>
  <si>
    <t>1. COMPARATIVO MENSUAL</t>
  </si>
  <si>
    <t>KPI</t>
  </si>
  <si>
    <t>Ene 25</t>
  </si>
  <si>
    <t>Ene 26</t>
  </si>
  <si>
    <t>Δ%</t>
  </si>
  <si>
    <t>Feb 25</t>
  </si>
  <si>
    <t>Feb 26</t>
  </si>
  <si>
    <t>Mar 25</t>
  </si>
  <si>
    <t>Mar 26</t>
  </si>
  <si>
    <t>Abr 25</t>
  </si>
  <si>
    <t>Abr 26</t>
  </si>
  <si>
    <t>May 25</t>
  </si>
  <si>
    <t>May 26</t>
  </si>
  <si>
    <t>EDP Pagados (Ingreso Op.)</t>
  </si>
  <si>
    <t>2. ACUMULADO ENERO – MAYO</t>
  </si>
  <si>
    <t>Δ Abs.</t>
  </si>
  <si>
    <t>Media 25</t>
  </si>
  <si>
    <t>Media 26</t>
  </si>
  <si>
    <t>3. ANÁLISIS ESTADÍSTICO (kUS$ mensuales, Ene–May)</t>
  </si>
  <si>
    <t>KPI (kUS$)</t>
  </si>
  <si>
    <t>Año</t>
  </si>
  <si>
    <t>Desv. Est. (σ)</t>
  </si>
  <si>
    <t>CV (%)</t>
  </si>
  <si>
    <t>Mínimo</t>
  </si>
  <si>
    <t>Máximo</t>
  </si>
  <si>
    <t>Rango</t>
  </si>
  <si>
    <t>Tendencia</t>
  </si>
  <si>
    <t>Prop. Adjudicadas</t>
  </si>
  <si>
    <t>4. VISUALIZACIÓN COMPARATIVA</t>
  </si>
  <si>
    <t>Datos gráficas</t>
  </si>
  <si>
    <t>Adj. 25</t>
  </si>
  <si>
    <t>Adj. 26</t>
  </si>
  <si>
    <t>Cumpl. 25</t>
  </si>
  <si>
    <t>Cumpl. 26</t>
  </si>
  <si>
    <t>Ing. Op. 25</t>
  </si>
  <si>
    <t>Ing. Op. 26</t>
  </si>
  <si>
    <t>Gasto Op. 25</t>
  </si>
  <si>
    <t>Gasto Op. 26</t>
  </si>
  <si>
    <t>DASHBOARD EJECUTIVO — KPIs DE NEGOCIO 2026</t>
  </si>
  <si>
    <t>REDCO Mining Consultants  ·  Actualización Abril 2026</t>
  </si>
  <si>
    <t>INDICADORES DE CANTIDAD (#)</t>
  </si>
  <si>
    <t>PROPUESTAS ADJUDICADAS</t>
  </si>
  <si>
    <t>GASTO</t>
  </si>
  <si>
    <t>CUMPLIMIENTO</t>
  </si>
  <si>
    <t>ADHERENCIA</t>
  </si>
  <si>
    <t>INDICADORES DE MONTO (kUS$)</t>
  </si>
  <si>
    <t>TENDENCIAS MENSUALES</t>
  </si>
  <si>
    <t>— Datos fuente (no modificar) —</t>
  </si>
  <si>
    <t>POM (#)</t>
  </si>
  <si>
    <t>EDP Emitidos (#)</t>
  </si>
  <si>
    <t>EDP Facturados (#)</t>
  </si>
  <si>
    <t>EDP Pagados (#)</t>
  </si>
  <si>
    <t>POM (kUS$)</t>
  </si>
  <si>
    <t>Categoría</t>
  </si>
  <si>
    <t>EDP Emitidos (kUS$)</t>
  </si>
  <si>
    <t>EDP Facturados (kUS$)</t>
  </si>
  <si>
    <t>EDP Pagados (kUS$)</t>
  </si>
  <si>
    <t>Flujo de Efectivo REDCO: Vasos Comunicantes</t>
  </si>
  <si>
    <t>Etapa</t>
  </si>
  <si>
    <t>Monto (kUS$)</t>
  </si>
  <si>
    <t>Tipo</t>
  </si>
  <si>
    <t>Concepto</t>
  </si>
  <si>
    <t>0. Remanente Contratos</t>
  </si>
  <si>
    <t>Base</t>
  </si>
  <si>
    <t>Proyectado (POM)</t>
  </si>
  <si>
    <t>1. Proyectado actual (POM)</t>
  </si>
  <si>
    <t>Flujo en proceso</t>
  </si>
  <si>
    <t>Emitido por aprobar</t>
  </si>
  <si>
    <t>2. Emitido por aprobar</t>
  </si>
  <si>
    <t>Aprobado por facturar</t>
  </si>
  <si>
    <t>3. Aprobado por facturar</t>
  </si>
  <si>
    <t>Facturado por pagar</t>
  </si>
  <si>
    <t>4. Facturado por pagar</t>
  </si>
  <si>
    <t>Ingreso proy. mayo</t>
  </si>
  <si>
    <t>5. Ingreso acumulado</t>
  </si>
  <si>
    <t>Subtotal</t>
  </si>
  <si>
    <t>Ingreso acumulado</t>
  </si>
  <si>
    <t>Ingreso proyectado mayo</t>
  </si>
  <si>
    <t>Incremento</t>
  </si>
  <si>
    <t>Ingreso Operacional Efectivo</t>
  </si>
  <si>
    <t>NOTAS:</t>
  </si>
  <si>
    <t>• Venta proyectada: 1,55 MUS$</t>
  </si>
  <si>
    <t>• Flujo en cañería (Etapas 2+3+4): 1,62 MUSD</t>
  </si>
  <si>
    <t>• No considera Seligdar (+1,34 MUSD)</t>
  </si>
  <si>
    <t>• Monto remanente al 30/04, incluye adjudicación Xavantina</t>
  </si>
  <si>
    <t>• No considera retenciones de CMP pendientes &lt; 40 kUS$</t>
  </si>
  <si>
    <t>Flujo de Efectivo REDCO — Vasos Comunicantes</t>
  </si>
  <si>
    <t>Mayo 2026  |  Cifras en kUS$</t>
  </si>
  <si>
    <t>REMANENTE CONTRATOS</t>
  </si>
  <si>
    <t>FLUJO EN CAÑERÍA</t>
  </si>
  <si>
    <t>INGRESO ACUMULADO</t>
  </si>
  <si>
    <t>INGRESO OPERACIONAL</t>
  </si>
  <si>
    <t>kUS$ (saldo al 30/04)</t>
  </si>
  <si>
    <t>kUS$ (etapas 1-4)</t>
  </si>
  <si>
    <t>kUS$ (cobrado)</t>
  </si>
  <si>
    <t>kUS$ (meta caja)</t>
  </si>
  <si>
    <t>Descripción</t>
  </si>
  <si>
    <t>% Remanente</t>
  </si>
  <si>
    <t>Remanente Contratos</t>
  </si>
  <si>
    <t>Proyectado actual (POM)</t>
  </si>
  <si>
    <t>(+) Ingreso proy. mayo</t>
  </si>
  <si>
    <t>Flujo en cañería (1+2+3+4)</t>
  </si>
  <si>
    <t>•  Venta proyectada: 1,55 MUS$   •  Flujo en cañería (Etapas 2+3+4): 1,62 MUSD   •  No considera Seligdar (+1,34 MUSD)</t>
  </si>
  <si>
    <t>•  Monto remanente al 30/04, incluye adjudicación Xavantina   •  No considera retenciones CMP pendientes &lt; 40 kUS$</t>
  </si>
  <si>
    <t>REDCO — Gerencia de Operaciones</t>
  </si>
  <si>
    <t>Confidencial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</si>
</sst>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 &quot;$&quot;* #,##0_ ;_ &quot;$&quot;* \-#,##0_ ;_ &quot;$&quot;* &quot;-&quot;_ ;_ @_ "/>
    <numFmt numFmtId="41" formatCode="_ * #,##0_ ;_ * \-#,##0_ ;_ * &quot;-&quot;_ ;_ @_ "/>
    <numFmt numFmtId="164" formatCode="0.0"/>
    <numFmt numFmtId="165" formatCode="#,##0.0"/>
    <numFmt numFmtId="166" formatCode="#,##0_ ;\-#,##0\ "/>
    <numFmt numFmtId="167" formatCode="0.0%"/>
    <numFmt numFmtId="168" formatCode="0.0\ \p\p"/>
    <numFmt numFmtId="169" formatCode="#,##0;\(#,##0\);&quot;-&quot;"/>
  </numFmts>
  <fonts count="9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Aptos Narrow"/>
      <family val="2"/>
    </font>
    <font>
      <sz val="9"/>
      <color rgb="FF000000"/>
      <name val="Aptos Narrow"/>
      <family val="2"/>
    </font>
    <font>
      <sz val="10"/>
      <color theme="1"/>
      <name val="Arial"/>
      <family val="2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5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name val="Aptos Narrow"/>
      <family val="2"/>
      <scheme val="minor"/>
    </font>
    <font>
      <sz val="7"/>
      <color rgb="FFFF0000"/>
      <name val="Aptos Narrow"/>
      <family val="2"/>
      <scheme val="minor"/>
    </font>
    <font>
      <sz val="7"/>
      <name val="Aptos Narrow"/>
      <family val="2"/>
      <scheme val="minor"/>
    </font>
    <font>
      <b/>
      <strike/>
      <sz val="10"/>
      <color rgb="FFFF0000"/>
      <name val="Aptos Narrow"/>
      <family val="2"/>
      <scheme val="minor"/>
    </font>
    <font>
      <strike/>
      <sz val="10"/>
      <color rgb="FFFF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sz val="10"/>
      <color rgb="FF000000"/>
      <name val="Aptos Narrow"/>
      <family val="2"/>
    </font>
    <font>
      <sz val="7"/>
      <color theme="1"/>
      <name val="Aptos Narrow"/>
      <family val="2"/>
      <scheme val="minor"/>
    </font>
    <font>
      <sz val="10"/>
      <color theme="5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6"/>
      <name val="Aptos Narrow"/>
      <family val="2"/>
      <scheme val="minor"/>
    </font>
    <font>
      <sz val="9"/>
      <color theme="5"/>
      <name val="Century Gothic"/>
      <family val="2"/>
    </font>
    <font>
      <sz val="9"/>
      <color theme="1"/>
      <name val="Century Gothic"/>
      <family val="2"/>
    </font>
    <font>
      <sz val="9"/>
      <name val="Century Gothic"/>
      <family val="2"/>
    </font>
    <font>
      <b/>
      <sz val="9"/>
      <color theme="6"/>
      <name val="Century Gothic"/>
      <family val="2"/>
    </font>
    <font>
      <b/>
      <sz val="9"/>
      <color theme="1"/>
      <name val="Century Gothic"/>
      <family val="2"/>
    </font>
    <font>
      <b/>
      <sz val="9"/>
      <color theme="0"/>
      <name val="Century Gothic"/>
      <family val="2"/>
    </font>
    <font>
      <sz val="9"/>
      <color rgb="FF000000"/>
      <name val="Century Gothic"/>
      <family val="2"/>
    </font>
    <font>
      <sz val="9"/>
      <color rgb="FFFF0000"/>
      <name val="Century Gothic"/>
      <family val="2"/>
    </font>
    <font>
      <b/>
      <sz val="9"/>
      <name val="Century Gothic"/>
      <family val="2"/>
    </font>
    <font>
      <sz val="8"/>
      <color theme="1"/>
      <name val="Century Gothic"/>
      <family val="2"/>
    </font>
    <font>
      <sz val="8"/>
      <name val="Century Gothic"/>
      <family val="2"/>
    </font>
    <font>
      <sz val="9"/>
      <color rgb="FF0070C0"/>
      <name val="Century Gothic"/>
      <family val="2"/>
    </font>
    <font>
      <b/>
      <sz val="8"/>
      <color rgb="FF0070C0"/>
      <name val="Century Gothic"/>
      <family val="2"/>
    </font>
    <font>
      <sz val="8"/>
      <color rgb="FF0070C0"/>
      <name val="Century Gothic"/>
      <family val="2"/>
    </font>
    <font>
      <sz val="9"/>
      <color theme="6"/>
      <name val="Century Gothic"/>
      <family val="2"/>
    </font>
    <font>
      <b/>
      <sz val="8"/>
      <color theme="5"/>
      <name val="Century Gothic"/>
      <family val="2"/>
    </font>
    <font>
      <sz val="8"/>
      <color theme="5"/>
      <name val="Century Gothic"/>
      <family val="2"/>
    </font>
    <font>
      <sz val="8"/>
      <color theme="1"/>
      <name val="Aptos Narrow"/>
      <family val="2"/>
      <scheme val="minor"/>
    </font>
    <font>
      <b/>
      <sz val="9"/>
      <color rgb="FFFFFFFF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sz val="9"/>
      <color rgb="FF2C2C2C"/>
      <name val="Segoe UI"/>
      <family val="2"/>
    </font>
    <font>
      <sz val="9"/>
      <color rgb="FF2C2C2C"/>
      <name val="Segoe UI"/>
      <family val="2"/>
    </font>
    <font>
      <sz val="9"/>
      <color rgb="FF4A4A4A"/>
      <name val="Segoe UI"/>
      <family val="2"/>
    </font>
    <font>
      <b/>
      <sz val="9"/>
      <color rgb="FF1B2A4A"/>
      <name val="Segoe UI"/>
      <family val="2"/>
    </font>
    <font>
      <sz val="9"/>
      <color rgb="FF333333"/>
      <name val="Segoe UI"/>
      <family val="2"/>
    </font>
    <font>
      <b/>
      <sz val="9"/>
      <color rgb="FF333333"/>
      <name val="Segoe UI"/>
      <family val="2"/>
    </font>
    <font>
      <sz val="9"/>
      <color rgb="FF1B2A4A"/>
      <name val="Segoe UI"/>
      <family val="2"/>
    </font>
    <font>
      <sz val="11"/>
      <color theme="1"/>
      <name val="Segoe UI"/>
      <family val="2"/>
    </font>
    <font>
      <b/>
      <sz val="18"/>
      <color rgb="FF1B2A4A"/>
      <name val="Segoe UI"/>
      <family val="2"/>
    </font>
    <font>
      <sz val="11"/>
      <color rgb="FF8C9AAE"/>
      <name val="Segoe UI"/>
      <family val="2"/>
    </font>
    <font>
      <b/>
      <sz val="8"/>
      <color rgb="FF8C9AAE"/>
      <name val="Segoe UI"/>
      <family val="2"/>
    </font>
    <font>
      <sz val="9"/>
      <color rgb="FF8C9AAE"/>
      <name val="Segoe UI"/>
      <family val="2"/>
    </font>
    <font>
      <b/>
      <sz val="28"/>
      <color rgb="FF1B2A4A"/>
      <name val="Segoe UI"/>
      <family val="2"/>
    </font>
    <font>
      <b/>
      <sz val="11"/>
      <color rgb="FF1B2A4A"/>
      <name val="Segoe UI"/>
      <family val="2"/>
    </font>
    <font>
      <b/>
      <sz val="7"/>
      <color rgb="FFC0C0C0"/>
      <name val="Segoe UI"/>
      <family val="2"/>
    </font>
    <font>
      <sz val="7"/>
      <color rgb="FFC0C0C0"/>
      <name val="Segoe UI"/>
      <family val="2"/>
    </font>
    <font>
      <sz val="7"/>
      <color rgb="FFC0C0C0"/>
      <name val="Aptos Narrow"/>
      <family val="2"/>
      <scheme val="minor"/>
    </font>
    <font>
      <i/>
      <sz val="7"/>
      <color rgb="FFC0C0C0"/>
      <name val="Segoe UI"/>
      <family val="2"/>
    </font>
    <font>
      <b/>
      <sz val="24"/>
      <color rgb="FF1B2A4A"/>
      <name val="Segoe UI"/>
      <family val="2"/>
    </font>
    <font>
      <b/>
      <sz val="16"/>
      <color rgb="FF1B2A4A"/>
      <name val="Segoe UI"/>
      <family val="2"/>
    </font>
    <font>
      <sz val="9"/>
      <color rgb="FF6B7B8D"/>
      <name val="Segoe UI"/>
      <family val="2"/>
    </font>
    <font>
      <sz val="10"/>
      <color rgb="FF6B7B8D"/>
      <name val="Segoe UI"/>
      <family val="2"/>
    </font>
    <font>
      <i/>
      <sz val="9"/>
      <color rgb="FF9AABB8"/>
      <name val="Segoe UI"/>
      <family val="2"/>
    </font>
    <font>
      <i/>
      <sz val="9"/>
      <color rgb="FF6B7B8D"/>
      <name val="Segoe UI"/>
      <family val="2"/>
    </font>
    <font>
      <b/>
      <i/>
      <sz val="9"/>
      <color rgb="FF6B7B8D"/>
      <name val="Segoe UI"/>
      <family val="2"/>
    </font>
    <font>
      <b/>
      <sz val="8"/>
      <color rgb="FF6B7B8D"/>
      <name val="Segoe UI"/>
      <family val="2"/>
    </font>
    <font>
      <sz val="8"/>
      <color rgb="FF9AABB8"/>
      <name val="Segoe UI"/>
      <family val="2"/>
    </font>
    <font>
      <b/>
      <sz val="7"/>
      <color rgb="FFC8CDD3"/>
      <name val="Segoe UI"/>
      <family val="2"/>
    </font>
    <font>
      <sz val="7"/>
      <color rgb="FFC8CDD3"/>
      <name val="Segoe UI"/>
      <family val="2"/>
    </font>
    <font>
      <sz val="7"/>
      <color rgb="FFC8CDD3"/>
      <name val="Aptos Narrow"/>
      <family val="2"/>
      <scheme val="minor"/>
    </font>
    <font>
      <b/>
      <sz val="7"/>
      <color rgb="FFC8CDD3"/>
      <name val="Aptos Narrow"/>
      <family val="2"/>
      <scheme val="minor"/>
    </font>
    <font>
      <b/>
      <sz val="10"/>
      <color theme="1"/>
      <name val="Segoe UI"/>
      <family val="2"/>
    </font>
    <font>
      <b/>
      <sz val="14"/>
      <color rgb="FF1B2A4A"/>
      <name val="Calibri"/>
      <family val="2"/>
    </font>
    <font>
      <b/>
      <sz val="10"/>
      <color rgb="FFFFFFFF"/>
      <name val="Aptos Narrow"/>
      <family val="2"/>
      <scheme val="minor"/>
    </font>
    <font>
      <b/>
      <sz val="9"/>
      <color rgb="FF1B2A4A"/>
      <name val="Calibri"/>
      <family val="2"/>
    </font>
    <font>
      <sz val="9"/>
      <color rgb="FF666666"/>
      <name val="Aptos Narrow"/>
      <family val="2"/>
      <scheme val="minor"/>
    </font>
    <font>
      <b/>
      <sz val="14"/>
      <color rgb="FFFFFFFF"/>
      <name val="Segoe UI"/>
      <family val="2"/>
    </font>
    <font>
      <sz val="9"/>
      <color rgb="FFC8CDD3"/>
      <name val="Segoe UI"/>
      <family val="2"/>
    </font>
    <font>
      <sz val="8"/>
      <color rgb="FF4A4A4A"/>
      <name val="Segoe UI"/>
      <family val="2"/>
    </font>
    <font>
      <b/>
      <sz val="8"/>
      <color rgb="FF4A4A4A"/>
      <name val="Segoe UI"/>
      <family val="2"/>
    </font>
    <font>
      <sz val="8"/>
      <color rgb="FFC8CDD3"/>
      <name val="Segoe UI"/>
      <family val="2"/>
    </font>
    <font>
      <b/>
      <sz val="9"/>
      <color rgb="FF4A4A4A"/>
      <name val="Segoe UI"/>
      <family val="2"/>
    </font>
    <font>
      <i/>
      <sz val="8"/>
      <color rgb="FFC8CDD3"/>
      <name val="Segoe UI"/>
      <family val="2"/>
    </font>
    <font>
      <sz val="9"/>
      <color theme="2" tint="-0.249977111117893"/>
      <name val="Century Gothic"/>
      <family val="2"/>
    </font>
    <font>
      <b/>
      <sz val="9"/>
      <color rgb="FFFF0000"/>
      <name val="Segoe UI"/>
      <family val="2"/>
    </font>
  </fonts>
  <fills count="2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4DFE9"/>
        <bgColor indexed="64"/>
      </patternFill>
    </fill>
    <fill>
      <patternFill patternType="solid">
        <fgColor rgb="FFEDE8E3"/>
        <bgColor indexed="64"/>
      </patternFill>
    </fill>
    <fill>
      <patternFill patternType="solid">
        <fgColor rgb="FFE8EDF2"/>
        <bgColor indexed="64"/>
      </patternFill>
    </fill>
    <fill>
      <patternFill patternType="solid">
        <fgColor rgb="FFF5F6F8"/>
        <bgColor indexed="64"/>
      </patternFill>
    </fill>
    <fill>
      <patternFill patternType="solid">
        <fgColor rgb="FF2C3E5A"/>
        <bgColor indexed="64"/>
      </patternFill>
    </fill>
    <fill>
      <patternFill patternType="solid">
        <fgColor rgb="FF3D5A80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4A6FA5"/>
        <bgColor indexed="64"/>
      </patternFill>
    </fill>
    <fill>
      <patternFill patternType="solid">
        <fgColor rgb="FFC8CDD3"/>
        <bgColor indexed="64"/>
      </patternFill>
    </fill>
    <fill>
      <patternFill patternType="solid">
        <fgColor rgb="FF003A81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1B2A4A"/>
      </bottom>
      <diagonal/>
    </border>
    <border>
      <left style="thin">
        <color rgb="FFC8CDD3"/>
      </left>
      <right/>
      <top style="thin">
        <color rgb="FF1B2A4A"/>
      </top>
      <bottom/>
      <diagonal/>
    </border>
    <border>
      <left style="thin">
        <color rgb="FFC8CDD3"/>
      </left>
      <right/>
      <top/>
      <bottom/>
      <diagonal/>
    </border>
    <border>
      <left/>
      <right/>
      <top/>
      <bottom style="thin">
        <color rgb="FFC8CDD3"/>
      </bottom>
      <diagonal/>
    </border>
    <border>
      <left/>
      <right/>
      <top style="thin">
        <color rgb="FF1B2A4A"/>
      </top>
      <bottom/>
      <diagonal/>
    </border>
    <border>
      <left style="thin">
        <color rgb="FFC8CDD3"/>
      </left>
      <right/>
      <top style="thin">
        <color rgb="FFE4E7EB"/>
      </top>
      <bottom style="thin">
        <color rgb="FFE4E7EB"/>
      </bottom>
      <diagonal/>
    </border>
    <border>
      <left/>
      <right/>
      <top style="thin">
        <color rgb="FFE4E7EB"/>
      </top>
      <bottom style="thin">
        <color rgb="FFE4E7EB"/>
      </bottom>
      <diagonal/>
    </border>
    <border>
      <left style="thin">
        <color rgb="FFC8CDD3"/>
      </left>
      <right/>
      <top style="thin">
        <color rgb="FFE4E7EB"/>
      </top>
      <bottom style="thin">
        <color rgb="FFC8CDD3"/>
      </bottom>
      <diagonal/>
    </border>
    <border>
      <left/>
      <right/>
      <top style="thin">
        <color rgb="FFE4E7EB"/>
      </top>
      <bottom style="thin">
        <color rgb="FFC8CDD3"/>
      </bottom>
      <diagonal/>
    </border>
    <border>
      <left style="thin">
        <color rgb="FFC8CDD3"/>
      </left>
      <right/>
      <top style="medium">
        <color rgb="FF1B2A4A"/>
      </top>
      <bottom/>
      <diagonal/>
    </border>
    <border>
      <left/>
      <right/>
      <top style="medium">
        <color rgb="FF1B2A4A"/>
      </top>
      <bottom/>
      <diagonal/>
    </border>
    <border>
      <left style="thin">
        <color rgb="FFC8CDD3"/>
      </left>
      <right/>
      <top/>
      <bottom style="thin">
        <color rgb="FFE4E7EB"/>
      </bottom>
      <diagonal/>
    </border>
    <border>
      <left/>
      <right/>
      <top/>
      <bottom style="thin">
        <color rgb="FFE4E7EB"/>
      </bottom>
      <diagonal/>
    </border>
    <border>
      <left style="thin">
        <color rgb="FFC8CDD3"/>
      </left>
      <right style="thin">
        <color rgb="FFC8CDD3"/>
      </right>
      <top style="thin">
        <color rgb="FFE4E7EB"/>
      </top>
      <bottom style="thin">
        <color rgb="FFE4E7EB"/>
      </bottom>
      <diagonal/>
    </border>
    <border>
      <left style="thin">
        <color rgb="FFC8CDD3"/>
      </left>
      <right style="thin">
        <color rgb="FFC8CDD3"/>
      </right>
      <top style="thin">
        <color rgb="FFE4E7EB"/>
      </top>
      <bottom style="thin">
        <color rgb="FFC8CDD3"/>
      </bottom>
      <diagonal/>
    </border>
    <border>
      <left style="thin">
        <color rgb="FFC8CDD3"/>
      </left>
      <right style="thin">
        <color rgb="FFC8CDD3"/>
      </right>
      <top style="thin">
        <color rgb="FF1B2A4A"/>
      </top>
      <bottom/>
      <diagonal/>
    </border>
    <border>
      <left style="thin">
        <color rgb="FFC8CDD3"/>
      </left>
      <right style="thin">
        <color rgb="FFC8CDD3"/>
      </right>
      <top style="medium">
        <color rgb="FF1B2A4A"/>
      </top>
      <bottom/>
      <diagonal/>
    </border>
    <border>
      <left style="thin">
        <color rgb="FFC8CDD3"/>
      </left>
      <right style="thin">
        <color rgb="FFC8CDD3"/>
      </right>
      <top/>
      <bottom/>
      <diagonal/>
    </border>
    <border>
      <left style="thin">
        <color rgb="FFC8CDD3"/>
      </left>
      <right style="thin">
        <color rgb="FFC8CDD3"/>
      </right>
      <top/>
      <bottom style="thin">
        <color rgb="FFE4E7EB"/>
      </bottom>
      <diagonal/>
    </border>
    <border>
      <left style="thin">
        <color rgb="FFE0E0E0"/>
      </left>
      <right/>
      <top/>
      <bottom/>
      <diagonal/>
    </border>
    <border>
      <left style="thin">
        <color rgb="FFE0E0E0"/>
      </left>
      <right/>
      <top/>
      <bottom style="thin">
        <color rgb="FFD0D5DC"/>
      </bottom>
      <diagonal/>
    </border>
    <border>
      <left/>
      <right style="thin">
        <color rgb="FFE0E0E0"/>
      </right>
      <top/>
      <bottom/>
      <diagonal/>
    </border>
    <border>
      <left/>
      <right style="thin">
        <color rgb="FFE0E0E0"/>
      </right>
      <top/>
      <bottom style="thin">
        <color rgb="FFD0D5DC"/>
      </bottom>
      <diagonal/>
    </border>
    <border>
      <left style="thin">
        <color rgb="FFE0E0E0"/>
      </left>
      <right/>
      <top style="medium">
        <color rgb="FF2D5AA0"/>
      </top>
      <bottom/>
      <diagonal/>
    </border>
    <border>
      <left/>
      <right style="thin">
        <color rgb="FFE0E0E0"/>
      </right>
      <top style="medium">
        <color rgb="FF2D5AA0"/>
      </top>
      <bottom/>
      <diagonal/>
    </border>
    <border>
      <left style="thin">
        <color rgb="FFE0E0E0"/>
      </left>
      <right/>
      <top style="medium">
        <color rgb="FF0D7C66"/>
      </top>
      <bottom/>
      <diagonal/>
    </border>
    <border>
      <left/>
      <right style="thin">
        <color rgb="FFE0E0E0"/>
      </right>
      <top style="medium">
        <color rgb="FF0D7C66"/>
      </top>
      <bottom/>
      <diagonal/>
    </border>
    <border>
      <left style="thin">
        <color rgb="FFE0E0E0"/>
      </left>
      <right/>
      <top style="medium">
        <color rgb="FF6B4C9A"/>
      </top>
      <bottom/>
      <diagonal/>
    </border>
    <border>
      <left style="thin">
        <color rgb="FFE0E0E0"/>
      </left>
      <right/>
      <top style="medium">
        <color rgb="FFE8683F"/>
      </top>
      <bottom/>
      <diagonal/>
    </border>
    <border>
      <left/>
      <right/>
      <top style="thin">
        <color rgb="FFE4E7EB"/>
      </top>
      <bottom/>
      <diagonal/>
    </border>
    <border>
      <left/>
      <right/>
      <top style="thin">
        <color rgb="FFE4E7EB"/>
      </top>
      <bottom style="medium">
        <color rgb="FF1B2A4A"/>
      </bottom>
      <diagonal/>
    </border>
    <border>
      <left/>
      <right/>
      <top style="thick">
        <color rgb="FF1B2A4A"/>
      </top>
      <bottom/>
      <diagonal/>
    </border>
    <border>
      <left style="thin">
        <color rgb="FFE0E4E8"/>
      </left>
      <right/>
      <top/>
      <bottom/>
      <diagonal/>
    </border>
    <border>
      <left/>
      <right style="thin">
        <color rgb="FFE0E4E8"/>
      </right>
      <top/>
      <bottom/>
      <diagonal/>
    </border>
    <border>
      <left style="thin">
        <color rgb="FFE0E4E8"/>
      </left>
      <right/>
      <top style="thick">
        <color rgb="FF1B2A4A"/>
      </top>
      <bottom/>
      <diagonal/>
    </border>
    <border>
      <left/>
      <right style="thin">
        <color rgb="FFE0E4E8"/>
      </right>
      <top style="thick">
        <color rgb="FF1B2A4A"/>
      </top>
      <bottom/>
      <diagonal/>
    </border>
    <border>
      <left/>
      <right/>
      <top style="thin">
        <color rgb="FFE0E4E8"/>
      </top>
      <bottom style="thin">
        <color rgb="FFC8CDD3"/>
      </bottom>
      <diagonal/>
    </border>
    <border>
      <left/>
      <right style="thin">
        <color rgb="FFC8CDD3"/>
      </right>
      <top/>
      <bottom/>
      <diagonal/>
    </border>
    <border>
      <left style="thin">
        <color rgb="FFC8CDD3"/>
      </left>
      <right/>
      <top style="thin">
        <color rgb="FF1B2A4A"/>
      </top>
      <bottom style="thin">
        <color rgb="FFE4E7EB"/>
      </bottom>
      <diagonal/>
    </border>
    <border>
      <left/>
      <right/>
      <top style="thin">
        <color rgb="FF1B2A4A"/>
      </top>
      <bottom style="thin">
        <color rgb="FFE4E7EB"/>
      </bottom>
      <diagonal/>
    </border>
    <border>
      <left/>
      <right style="thin">
        <color rgb="FFC8CDD3"/>
      </right>
      <top style="thin">
        <color rgb="FF1B2A4A"/>
      </top>
      <bottom style="thin">
        <color rgb="FFE4E7EB"/>
      </bottom>
      <diagonal/>
    </border>
    <border>
      <left/>
      <right style="thin">
        <color rgb="FFC8CDD3"/>
      </right>
      <top style="thin">
        <color rgb="FF1B2A4A"/>
      </top>
      <bottom/>
      <diagonal/>
    </border>
    <border>
      <left style="thin">
        <color rgb="FFC8CDD3"/>
      </left>
      <right/>
      <top style="thin">
        <color rgb="FFE4E7EB"/>
      </top>
      <bottom/>
      <diagonal/>
    </border>
    <border>
      <left/>
      <right style="thin">
        <color rgb="FFC8CDD3"/>
      </right>
      <top style="thin">
        <color rgb="FFE4E7EB"/>
      </top>
      <bottom/>
      <diagonal/>
    </border>
    <border>
      <left/>
      <right/>
      <top style="thin">
        <color rgb="FFD0D5DC"/>
      </top>
      <bottom/>
      <diagonal/>
    </border>
    <border>
      <left/>
      <right style="thin">
        <color rgb="FFE0E0E0"/>
      </right>
      <top style="medium">
        <color rgb="FF6B4C9A"/>
      </top>
      <bottom/>
      <diagonal/>
    </border>
    <border>
      <left/>
      <right style="thin">
        <color rgb="FFE0E0E0"/>
      </right>
      <top style="medium">
        <color rgb="FFE8683F"/>
      </top>
      <bottom/>
      <diagonal/>
    </border>
    <border>
      <left style="thin">
        <color rgb="FFE0E0E0"/>
      </left>
      <right/>
      <top style="medium">
        <color rgb="FFC0392B"/>
      </top>
      <bottom/>
      <diagonal/>
    </border>
    <border>
      <left/>
      <right style="thin">
        <color rgb="FFE0E0E0"/>
      </right>
      <top style="medium">
        <color rgb="FFC0392B"/>
      </top>
      <bottom/>
      <diagonal/>
    </border>
    <border>
      <left style="thin">
        <color rgb="FFE0E0E0"/>
      </left>
      <right/>
      <top style="medium">
        <color rgb="FF2980B9"/>
      </top>
      <bottom/>
      <diagonal/>
    </border>
    <border>
      <left/>
      <right style="thin">
        <color rgb="FFE0E0E0"/>
      </right>
      <top style="medium">
        <color rgb="FF2980B9"/>
      </top>
      <bottom/>
      <diagonal/>
    </border>
    <border>
      <left style="thin">
        <color rgb="FFE0E0E0"/>
      </left>
      <right/>
      <top style="medium">
        <color rgb="FF8E44AD"/>
      </top>
      <bottom/>
      <diagonal/>
    </border>
    <border>
      <left/>
      <right style="thin">
        <color rgb="FFE0E0E0"/>
      </right>
      <top style="medium">
        <color rgb="FF8E44AD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4" fontId="5" fillId="0" borderId="8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41" fontId="6" fillId="5" borderId="1" xfId="1" applyFont="1" applyFill="1" applyBorder="1" applyAlignment="1">
      <alignment horizontal="left" vertical="center"/>
    </xf>
    <xf numFmtId="9" fontId="0" fillId="0" borderId="0" xfId="2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41" fontId="6" fillId="5" borderId="14" xfId="1" applyFont="1" applyFill="1" applyBorder="1" applyAlignment="1">
      <alignment horizontal="left" vertical="center"/>
    </xf>
    <xf numFmtId="3" fontId="6" fillId="5" borderId="15" xfId="1" applyNumberFormat="1" applyFont="1" applyFill="1" applyBorder="1" applyAlignment="1">
      <alignment horizontal="center" vertical="center"/>
    </xf>
    <xf numFmtId="0" fontId="0" fillId="0" borderId="16" xfId="0" applyBorder="1"/>
    <xf numFmtId="3" fontId="6" fillId="5" borderId="17" xfId="1" applyNumberFormat="1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6" fillId="5" borderId="19" xfId="0" applyFont="1" applyFill="1" applyBorder="1" applyAlignment="1">
      <alignment horizontal="center"/>
    </xf>
    <xf numFmtId="41" fontId="6" fillId="5" borderId="19" xfId="1" applyFont="1" applyFill="1" applyBorder="1" applyAlignment="1">
      <alignment horizontal="left" vertical="center"/>
    </xf>
    <xf numFmtId="3" fontId="6" fillId="5" borderId="20" xfId="1" applyNumberFormat="1" applyFont="1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 applyAlignment="1">
      <alignment horizontal="center"/>
    </xf>
    <xf numFmtId="0" fontId="6" fillId="5" borderId="22" xfId="0" applyFont="1" applyFill="1" applyBorder="1" applyAlignment="1">
      <alignment horizontal="center"/>
    </xf>
    <xf numFmtId="41" fontId="6" fillId="5" borderId="22" xfId="1" applyFont="1" applyFill="1" applyBorder="1" applyAlignment="1">
      <alignment horizontal="left" vertical="center"/>
    </xf>
    <xf numFmtId="3" fontId="6" fillId="5" borderId="23" xfId="1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/>
    <xf numFmtId="0" fontId="7" fillId="2" borderId="1" xfId="0" applyFont="1" applyFill="1" applyBorder="1" applyAlignment="1">
      <alignment horizontal="center" vertical="center"/>
    </xf>
    <xf numFmtId="17" fontId="7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9" fontId="8" fillId="0" borderId="1" xfId="2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8" fillId="6" borderId="1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3" fontId="8" fillId="6" borderId="22" xfId="0" applyNumberFormat="1" applyFont="1" applyFill="1" applyBorder="1" applyAlignment="1">
      <alignment horizontal="center" vertical="center"/>
    </xf>
    <xf numFmtId="3" fontId="8" fillId="6" borderId="24" xfId="0" applyNumberFormat="1" applyFont="1" applyFill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164" fontId="0" fillId="0" borderId="0" xfId="0" applyNumberFormat="1"/>
    <xf numFmtId="3" fontId="12" fillId="0" borderId="1" xfId="0" applyNumberFormat="1" applyFont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164" fontId="4" fillId="4" borderId="10" xfId="0" applyNumberFormat="1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9" fontId="0" fillId="0" borderId="9" xfId="2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27" xfId="0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14" fontId="5" fillId="0" borderId="7" xfId="0" applyNumberFormat="1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0" fillId="0" borderId="4" xfId="0" applyBorder="1"/>
    <xf numFmtId="0" fontId="0" fillId="0" borderId="27" xfId="0" applyBorder="1"/>
    <xf numFmtId="0" fontId="0" fillId="0" borderId="7" xfId="0" applyBorder="1"/>
    <xf numFmtId="0" fontId="0" fillId="0" borderId="25" xfId="0" applyBorder="1"/>
    <xf numFmtId="0" fontId="0" fillId="0" borderId="11" xfId="0" applyBorder="1"/>
    <xf numFmtId="0" fontId="0" fillId="0" borderId="26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3" fontId="6" fillId="5" borderId="30" xfId="1" applyNumberFormat="1" applyFont="1" applyFill="1" applyBorder="1" applyAlignment="1">
      <alignment horizontal="center" vertical="center"/>
    </xf>
    <xf numFmtId="3" fontId="8" fillId="8" borderId="1" xfId="0" applyNumberFormat="1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3" fontId="8" fillId="0" borderId="22" xfId="0" applyNumberFormat="1" applyFont="1" applyBorder="1" applyAlignment="1">
      <alignment horizontal="center" vertical="center"/>
    </xf>
    <xf numFmtId="3" fontId="12" fillId="0" borderId="22" xfId="0" applyNumberFormat="1" applyFont="1" applyBorder="1" applyAlignment="1">
      <alignment horizontal="center" vertical="center"/>
    </xf>
    <xf numFmtId="3" fontId="8" fillId="8" borderId="22" xfId="0" applyNumberFormat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" fontId="8" fillId="0" borderId="14" xfId="0" applyNumberFormat="1" applyFont="1" applyBorder="1" applyAlignment="1">
      <alignment horizontal="center" vertical="center"/>
    </xf>
    <xf numFmtId="3" fontId="8" fillId="8" borderId="14" xfId="0" applyNumberFormat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3" fontId="8" fillId="0" borderId="19" xfId="0" applyNumberFormat="1" applyFont="1" applyBorder="1" applyAlignment="1">
      <alignment horizontal="center" vertical="center"/>
    </xf>
    <xf numFmtId="3" fontId="8" fillId="8" borderId="19" xfId="0" applyNumberFormat="1" applyFont="1" applyFill="1" applyBorder="1" applyAlignment="1">
      <alignment horizontal="center" vertical="center"/>
    </xf>
    <xf numFmtId="0" fontId="9" fillId="6" borderId="22" xfId="0" applyFont="1" applyFill="1" applyBorder="1" applyAlignment="1">
      <alignment horizontal="center" vertical="center"/>
    </xf>
    <xf numFmtId="0" fontId="11" fillId="7" borderId="22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3" fontId="12" fillId="0" borderId="14" xfId="0" applyNumberFormat="1" applyFont="1" applyBorder="1" applyAlignment="1">
      <alignment horizontal="center" vertical="center"/>
    </xf>
    <xf numFmtId="3" fontId="12" fillId="0" borderId="19" xfId="0" applyNumberFormat="1" applyFont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17" fontId="7" fillId="2" borderId="36" xfId="0" applyNumberFormat="1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3" fontId="8" fillId="0" borderId="12" xfId="0" applyNumberFormat="1" applyFont="1" applyBorder="1" applyAlignment="1">
      <alignment horizontal="center" vertical="center"/>
    </xf>
    <xf numFmtId="3" fontId="12" fillId="0" borderId="12" xfId="0" applyNumberFormat="1" applyFont="1" applyBorder="1" applyAlignment="1">
      <alignment horizontal="center" vertical="center"/>
    </xf>
    <xf numFmtId="3" fontId="8" fillId="8" borderId="12" xfId="0" applyNumberFormat="1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3" fontId="10" fillId="0" borderId="19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5" fillId="6" borderId="22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3" fontId="16" fillId="0" borderId="22" xfId="0" applyNumberFormat="1" applyFont="1" applyBorder="1" applyAlignment="1">
      <alignment horizontal="center" vertical="center"/>
    </xf>
    <xf numFmtId="3" fontId="16" fillId="6" borderId="22" xfId="0" applyNumberFormat="1" applyFont="1" applyFill="1" applyBorder="1" applyAlignment="1">
      <alignment horizontal="center" vertical="center"/>
    </xf>
    <xf numFmtId="0" fontId="9" fillId="6" borderId="35" xfId="0" applyFont="1" applyFill="1" applyBorder="1" applyAlignment="1">
      <alignment horizontal="center" vertical="center"/>
    </xf>
    <xf numFmtId="0" fontId="8" fillId="7" borderId="36" xfId="0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9" fontId="8" fillId="0" borderId="36" xfId="2" applyFont="1" applyBorder="1" applyAlignment="1">
      <alignment horizontal="center" vertical="center"/>
    </xf>
    <xf numFmtId="9" fontId="8" fillId="0" borderId="36" xfId="0" applyNumberFormat="1" applyFont="1" applyBorder="1" applyAlignment="1">
      <alignment horizontal="center" vertical="center"/>
    </xf>
    <xf numFmtId="9" fontId="8" fillId="6" borderId="36" xfId="0" applyNumberFormat="1" applyFont="1" applyFill="1" applyBorder="1" applyAlignment="1">
      <alignment horizontal="center" vertical="center"/>
    </xf>
    <xf numFmtId="9" fontId="8" fillId="8" borderId="36" xfId="0" applyNumberFormat="1" applyFont="1" applyFill="1" applyBorder="1" applyAlignment="1">
      <alignment horizontal="center" vertical="center"/>
    </xf>
    <xf numFmtId="9" fontId="8" fillId="6" borderId="37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3" fontId="12" fillId="0" borderId="24" xfId="0" applyNumberFormat="1" applyFont="1" applyBorder="1" applyAlignment="1">
      <alignment horizontal="center" vertical="center"/>
    </xf>
    <xf numFmtId="3" fontId="8" fillId="0" borderId="24" xfId="0" applyNumberFormat="1" applyFont="1" applyBorder="1" applyAlignment="1">
      <alignment horizontal="center" vertical="center"/>
    </xf>
    <xf numFmtId="3" fontId="8" fillId="8" borderId="24" xfId="0" applyNumberFormat="1" applyFont="1" applyFill="1" applyBorder="1" applyAlignment="1">
      <alignment horizontal="center" vertical="center"/>
    </xf>
    <xf numFmtId="3" fontId="11" fillId="8" borderId="22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3" fontId="11" fillId="8" borderId="1" xfId="0" applyNumberFormat="1" applyFont="1" applyFill="1" applyBorder="1" applyAlignment="1">
      <alignment horizontal="center" vertical="center"/>
    </xf>
    <xf numFmtId="3" fontId="11" fillId="0" borderId="12" xfId="0" applyNumberFormat="1" applyFont="1" applyBorder="1" applyAlignment="1">
      <alignment horizontal="center" vertical="center"/>
    </xf>
    <xf numFmtId="3" fontId="11" fillId="8" borderId="1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indent="1"/>
    </xf>
    <xf numFmtId="0" fontId="7" fillId="2" borderId="39" xfId="0" applyFont="1" applyFill="1" applyBorder="1" applyAlignment="1">
      <alignment horizontal="center" vertical="center"/>
    </xf>
    <xf numFmtId="3" fontId="8" fillId="0" borderId="0" xfId="0" applyNumberFormat="1" applyFont="1" applyAlignment="1">
      <alignment horizontal="left" vertical="center" indent="1"/>
    </xf>
    <xf numFmtId="17" fontId="7" fillId="2" borderId="39" xfId="0" applyNumberFormat="1" applyFont="1" applyFill="1" applyBorder="1" applyAlignment="1">
      <alignment horizontal="center" vertical="center"/>
    </xf>
    <xf numFmtId="0" fontId="0" fillId="7" borderId="0" xfId="0" applyFill="1"/>
    <xf numFmtId="41" fontId="0" fillId="0" borderId="0" xfId="1" applyFont="1"/>
    <xf numFmtId="17" fontId="0" fillId="0" borderId="0" xfId="0" applyNumberFormat="1"/>
    <xf numFmtId="0" fontId="0" fillId="4" borderId="0" xfId="0" applyFill="1"/>
    <xf numFmtId="3" fontId="12" fillId="5" borderId="12" xfId="0" applyNumberFormat="1" applyFont="1" applyFill="1" applyBorder="1" applyAlignment="1">
      <alignment horizontal="center" vertical="center"/>
    </xf>
    <xf numFmtId="0" fontId="21" fillId="5" borderId="40" xfId="0" applyFont="1" applyFill="1" applyBorder="1" applyAlignment="1">
      <alignment horizontal="center" vertical="center" wrapText="1" readingOrder="1"/>
    </xf>
    <xf numFmtId="3" fontId="8" fillId="5" borderId="19" xfId="0" applyNumberFormat="1" applyFont="1" applyFill="1" applyBorder="1" applyAlignment="1">
      <alignment horizontal="center" vertical="center"/>
    </xf>
    <xf numFmtId="3" fontId="8" fillId="5" borderId="12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3" fontId="8" fillId="11" borderId="14" xfId="0" applyNumberFormat="1" applyFont="1" applyFill="1" applyBorder="1" applyAlignment="1">
      <alignment horizontal="center" vertical="center"/>
    </xf>
    <xf numFmtId="3" fontId="8" fillId="11" borderId="19" xfId="0" applyNumberFormat="1" applyFont="1" applyFill="1" applyBorder="1" applyAlignment="1">
      <alignment horizontal="center" vertical="center"/>
    </xf>
    <xf numFmtId="3" fontId="8" fillId="0" borderId="42" xfId="0" applyNumberFormat="1" applyFont="1" applyBorder="1" applyAlignment="1">
      <alignment horizontal="center" vertical="center"/>
    </xf>
    <xf numFmtId="3" fontId="8" fillId="0" borderId="41" xfId="0" applyNumberFormat="1" applyFont="1" applyBorder="1" applyAlignment="1">
      <alignment horizontal="center" vertical="center"/>
    </xf>
    <xf numFmtId="3" fontId="10" fillId="0" borderId="43" xfId="0" applyNumberFormat="1" applyFont="1" applyBorder="1" applyAlignment="1">
      <alignment horizontal="center" vertical="center"/>
    </xf>
    <xf numFmtId="9" fontId="12" fillId="8" borderId="36" xfId="0" applyNumberFormat="1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3" fontId="8" fillId="6" borderId="38" xfId="0" applyNumberFormat="1" applyFont="1" applyFill="1" applyBorder="1" applyAlignment="1">
      <alignment horizontal="center" vertical="center"/>
    </xf>
    <xf numFmtId="42" fontId="8" fillId="0" borderId="0" xfId="1" applyNumberFormat="1" applyFont="1" applyAlignment="1">
      <alignment horizontal="center" vertical="center"/>
    </xf>
    <xf numFmtId="42" fontId="11" fillId="0" borderId="0" xfId="0" applyNumberFormat="1" applyFont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3" fontId="12" fillId="5" borderId="22" xfId="0" applyNumberFormat="1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 wrapText="1" readingOrder="1"/>
    </xf>
    <xf numFmtId="3" fontId="8" fillId="5" borderId="22" xfId="0" applyNumberFormat="1" applyFont="1" applyFill="1" applyBorder="1" applyAlignment="1">
      <alignment horizontal="center" vertical="center"/>
    </xf>
    <xf numFmtId="0" fontId="21" fillId="10" borderId="45" xfId="0" applyFont="1" applyFill="1" applyBorder="1" applyAlignment="1">
      <alignment horizontal="center" vertical="center" wrapText="1" readingOrder="1"/>
    </xf>
    <xf numFmtId="0" fontId="21" fillId="10" borderId="46" xfId="0" applyFont="1" applyFill="1" applyBorder="1" applyAlignment="1">
      <alignment horizontal="center" vertical="center" wrapText="1" readingOrder="1"/>
    </xf>
    <xf numFmtId="3" fontId="21" fillId="10" borderId="46" xfId="0" applyNumberFormat="1" applyFont="1" applyFill="1" applyBorder="1" applyAlignment="1">
      <alignment horizontal="center" vertical="center" wrapText="1" readingOrder="1"/>
    </xf>
    <xf numFmtId="9" fontId="8" fillId="0" borderId="0" xfId="2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/>
    </xf>
    <xf numFmtId="17" fontId="7" fillId="2" borderId="52" xfId="0" applyNumberFormat="1" applyFont="1" applyFill="1" applyBorder="1" applyAlignment="1">
      <alignment horizontal="center" vertical="center"/>
    </xf>
    <xf numFmtId="3" fontId="8" fillId="9" borderId="53" xfId="0" applyNumberFormat="1" applyFont="1" applyFill="1" applyBorder="1" applyAlignment="1">
      <alignment horizontal="center" vertical="center"/>
    </xf>
    <xf numFmtId="3" fontId="8" fillId="9" borderId="54" xfId="0" applyNumberFormat="1" applyFont="1" applyFill="1" applyBorder="1" applyAlignment="1">
      <alignment horizontal="center" vertical="center"/>
    </xf>
    <xf numFmtId="3" fontId="8" fillId="9" borderId="55" xfId="0" applyNumberFormat="1" applyFont="1" applyFill="1" applyBorder="1" applyAlignment="1">
      <alignment horizontal="center" vertical="center"/>
    </xf>
    <xf numFmtId="3" fontId="8" fillId="9" borderId="56" xfId="0" applyNumberFormat="1" applyFont="1" applyFill="1" applyBorder="1" applyAlignment="1">
      <alignment horizontal="center" vertical="center"/>
    </xf>
    <xf numFmtId="3" fontId="8" fillId="9" borderId="57" xfId="0" applyNumberFormat="1" applyFont="1" applyFill="1" applyBorder="1" applyAlignment="1">
      <alignment horizontal="center" vertical="center"/>
    </xf>
    <xf numFmtId="9" fontId="8" fillId="9" borderId="59" xfId="0" applyNumberFormat="1" applyFont="1" applyFill="1" applyBorder="1" applyAlignment="1">
      <alignment horizontal="center" vertical="center"/>
    </xf>
    <xf numFmtId="3" fontId="8" fillId="6" borderId="23" xfId="0" applyNumberFormat="1" applyFont="1" applyFill="1" applyBorder="1" applyAlignment="1">
      <alignment horizontal="center" vertical="center"/>
    </xf>
    <xf numFmtId="3" fontId="8" fillId="6" borderId="17" xfId="0" applyNumberFormat="1" applyFont="1" applyFill="1" applyBorder="1" applyAlignment="1">
      <alignment horizontal="center" vertical="center"/>
    </xf>
    <xf numFmtId="0" fontId="9" fillId="6" borderId="60" xfId="0" applyFont="1" applyFill="1" applyBorder="1" applyAlignment="1">
      <alignment horizontal="center" vertical="center"/>
    </xf>
    <xf numFmtId="0" fontId="12" fillId="7" borderId="33" xfId="0" applyFont="1" applyFill="1" applyBorder="1" applyAlignment="1">
      <alignment horizontal="center" vertical="center"/>
    </xf>
    <xf numFmtId="0" fontId="24" fillId="6" borderId="29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3" fontId="12" fillId="8" borderId="12" xfId="0" applyNumberFormat="1" applyFont="1" applyFill="1" applyBorder="1" applyAlignment="1">
      <alignment horizontal="center" vertical="center"/>
    </xf>
    <xf numFmtId="3" fontId="12" fillId="6" borderId="33" xfId="0" applyNumberFormat="1" applyFont="1" applyFill="1" applyBorder="1" applyAlignment="1">
      <alignment horizontal="center" vertical="center"/>
    </xf>
    <xf numFmtId="3" fontId="12" fillId="6" borderId="34" xfId="0" applyNumberFormat="1" applyFont="1" applyFill="1" applyBorder="1" applyAlignment="1">
      <alignment horizontal="center" vertical="center"/>
    </xf>
    <xf numFmtId="3" fontId="12" fillId="9" borderId="57" xfId="0" applyNumberFormat="1" applyFont="1" applyFill="1" applyBorder="1" applyAlignment="1">
      <alignment horizontal="center" vertical="center"/>
    </xf>
    <xf numFmtId="166" fontId="8" fillId="0" borderId="0" xfId="1" applyNumberFormat="1" applyFont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3" fontId="25" fillId="0" borderId="14" xfId="0" applyNumberFormat="1" applyFont="1" applyBorder="1" applyAlignment="1">
      <alignment horizontal="center" vertical="center"/>
    </xf>
    <xf numFmtId="3" fontId="25" fillId="0" borderId="19" xfId="0" applyNumberFormat="1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3" fontId="29" fillId="8" borderId="14" xfId="0" applyNumberFormat="1" applyFont="1" applyFill="1" applyBorder="1" applyAlignment="1">
      <alignment horizontal="center" vertical="center"/>
    </xf>
    <xf numFmtId="3" fontId="29" fillId="0" borderId="14" xfId="0" applyNumberFormat="1" applyFont="1" applyBorder="1" applyAlignment="1">
      <alignment horizontal="center" vertical="center"/>
    </xf>
    <xf numFmtId="3" fontId="27" fillId="0" borderId="14" xfId="0" applyNumberFormat="1" applyFont="1" applyBorder="1" applyAlignment="1">
      <alignment horizontal="center" vertical="center"/>
    </xf>
    <xf numFmtId="3" fontId="30" fillId="0" borderId="14" xfId="0" applyNumberFormat="1" applyFont="1" applyBorder="1" applyAlignment="1">
      <alignment horizontal="center" vertical="center"/>
    </xf>
    <xf numFmtId="3" fontId="29" fillId="9" borderId="53" xfId="0" applyNumberFormat="1" applyFont="1" applyFill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3" fontId="29" fillId="8" borderId="24" xfId="0" applyNumberFormat="1" applyFont="1" applyFill="1" applyBorder="1" applyAlignment="1">
      <alignment horizontal="center" vertical="center"/>
    </xf>
    <xf numFmtId="3" fontId="29" fillId="0" borderId="24" xfId="0" applyNumberFormat="1" applyFont="1" applyBorder="1" applyAlignment="1">
      <alignment horizontal="center" vertical="center"/>
    </xf>
    <xf numFmtId="3" fontId="27" fillId="0" borderId="24" xfId="0" applyNumberFormat="1" applyFont="1" applyBorder="1" applyAlignment="1">
      <alignment horizontal="center" vertical="center"/>
    </xf>
    <xf numFmtId="3" fontId="30" fillId="0" borderId="24" xfId="0" applyNumberFormat="1" applyFont="1" applyBorder="1" applyAlignment="1">
      <alignment horizontal="center" vertical="center"/>
    </xf>
    <xf numFmtId="3" fontId="29" fillId="9" borderId="58" xfId="0" applyNumberFormat="1" applyFont="1" applyFill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3" fontId="29" fillId="8" borderId="19" xfId="0" applyNumberFormat="1" applyFont="1" applyFill="1" applyBorder="1" applyAlignment="1">
      <alignment horizontal="center" vertical="center"/>
    </xf>
    <xf numFmtId="3" fontId="29" fillId="0" borderId="19" xfId="0" applyNumberFormat="1" applyFont="1" applyBorder="1" applyAlignment="1">
      <alignment horizontal="center" vertical="center"/>
    </xf>
    <xf numFmtId="3" fontId="30" fillId="0" borderId="19" xfId="0" applyNumberFormat="1" applyFont="1" applyBorder="1" applyAlignment="1">
      <alignment horizontal="center" vertical="center"/>
    </xf>
    <xf numFmtId="3" fontId="29" fillId="9" borderId="54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3" fontId="32" fillId="6" borderId="22" xfId="0" applyNumberFormat="1" applyFont="1" applyFill="1" applyBorder="1" applyAlignment="1">
      <alignment horizontal="center" vertical="center"/>
    </xf>
    <xf numFmtId="14" fontId="32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42" fontId="38" fillId="0" borderId="0" xfId="0" applyNumberFormat="1" applyFont="1" applyAlignment="1">
      <alignment horizontal="center" vertical="center"/>
    </xf>
    <xf numFmtId="0" fontId="35" fillId="6" borderId="35" xfId="0" applyFont="1" applyFill="1" applyBorder="1" applyAlignment="1">
      <alignment horizontal="center" vertical="center"/>
    </xf>
    <xf numFmtId="9" fontId="32" fillId="0" borderId="0" xfId="2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42" fontId="32" fillId="0" borderId="0" xfId="1" applyNumberFormat="1" applyFont="1" applyAlignment="1">
      <alignment horizontal="center" vertical="center"/>
    </xf>
    <xf numFmtId="166" fontId="32" fillId="0" borderId="0" xfId="1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3" fontId="44" fillId="0" borderId="1" xfId="0" applyNumberFormat="1" applyFont="1" applyBorder="1" applyAlignment="1">
      <alignment horizontal="center" vertical="center"/>
    </xf>
    <xf numFmtId="3" fontId="43" fillId="0" borderId="1" xfId="0" applyNumberFormat="1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3" fontId="47" fillId="0" borderId="1" xfId="0" applyNumberFormat="1" applyFont="1" applyBorder="1" applyAlignment="1">
      <alignment horizontal="center" vertical="center"/>
    </xf>
    <xf numFmtId="3" fontId="46" fillId="0" borderId="1" xfId="0" applyNumberFormat="1" applyFont="1" applyBorder="1" applyAlignment="1">
      <alignment horizontal="center" vertical="center"/>
    </xf>
    <xf numFmtId="0" fontId="36" fillId="2" borderId="50" xfId="0" applyFont="1" applyFill="1" applyBorder="1" applyAlignment="1">
      <alignment horizontal="center" vertical="center" wrapText="1"/>
    </xf>
    <xf numFmtId="0" fontId="32" fillId="0" borderId="50" xfId="0" applyFont="1" applyBorder="1" applyAlignment="1">
      <alignment horizontal="center" vertical="center"/>
    </xf>
    <xf numFmtId="0" fontId="33" fillId="0" borderId="50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3" fontId="32" fillId="0" borderId="19" xfId="0" applyNumberFormat="1" applyFont="1" applyBorder="1" applyAlignment="1">
      <alignment horizontal="center" vertical="center"/>
    </xf>
    <xf numFmtId="3" fontId="32" fillId="3" borderId="19" xfId="0" applyNumberFormat="1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3" fontId="32" fillId="0" borderId="22" xfId="0" applyNumberFormat="1" applyFont="1" applyBorder="1" applyAlignment="1">
      <alignment horizontal="center" vertical="center"/>
    </xf>
    <xf numFmtId="0" fontId="36" fillId="2" borderId="35" xfId="0" applyFont="1" applyFill="1" applyBorder="1" applyAlignment="1">
      <alignment horizontal="center" vertical="center" wrapText="1"/>
    </xf>
    <xf numFmtId="0" fontId="36" fillId="2" borderId="36" xfId="0" applyFont="1" applyFill="1" applyBorder="1" applyAlignment="1">
      <alignment horizontal="center" vertical="center" wrapText="1"/>
    </xf>
    <xf numFmtId="17" fontId="36" fillId="2" borderId="36" xfId="0" applyNumberFormat="1" applyFont="1" applyFill="1" applyBorder="1" applyAlignment="1">
      <alignment horizontal="center" vertical="center" wrapText="1"/>
    </xf>
    <xf numFmtId="0" fontId="36" fillId="2" borderId="37" xfId="0" applyFont="1" applyFill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/>
    </xf>
    <xf numFmtId="3" fontId="32" fillId="0" borderId="14" xfId="0" applyNumberFormat="1" applyFont="1" applyBorder="1" applyAlignment="1">
      <alignment horizontal="center" vertical="center"/>
    </xf>
    <xf numFmtId="3" fontId="32" fillId="3" borderId="14" xfId="0" applyNumberFormat="1" applyFont="1" applyFill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wrapText="1" readingOrder="1"/>
    </xf>
    <xf numFmtId="0" fontId="37" fillId="0" borderId="19" xfId="0" applyFont="1" applyBorder="1" applyAlignment="1">
      <alignment horizontal="center" vertical="center" wrapText="1" readingOrder="1"/>
    </xf>
    <xf numFmtId="3" fontId="37" fillId="0" borderId="19" xfId="0" applyNumberFormat="1" applyFont="1" applyBorder="1" applyAlignment="1">
      <alignment horizontal="center" vertical="center" wrapText="1" readingOrder="1"/>
    </xf>
    <xf numFmtId="3" fontId="33" fillId="0" borderId="14" xfId="0" applyNumberFormat="1" applyFont="1" applyBorder="1" applyAlignment="1">
      <alignment horizontal="center" vertical="center"/>
    </xf>
    <xf numFmtId="3" fontId="33" fillId="0" borderId="19" xfId="0" applyNumberFormat="1" applyFont="1" applyBorder="1" applyAlignment="1">
      <alignment horizontal="center" vertical="center"/>
    </xf>
    <xf numFmtId="3" fontId="34" fillId="0" borderId="14" xfId="0" applyNumberFormat="1" applyFont="1" applyBorder="1" applyAlignment="1">
      <alignment horizontal="center" vertical="center"/>
    </xf>
    <xf numFmtId="3" fontId="34" fillId="0" borderId="19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9" fillId="6" borderId="35" xfId="0" applyFont="1" applyFill="1" applyBorder="1" applyAlignment="1">
      <alignment horizontal="center" vertical="center"/>
    </xf>
    <xf numFmtId="0" fontId="33" fillId="6" borderId="36" xfId="0" applyFont="1" applyFill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3" fontId="33" fillId="0" borderId="36" xfId="0" applyNumberFormat="1" applyFont="1" applyBorder="1" applyAlignment="1">
      <alignment horizontal="center" vertical="center"/>
    </xf>
    <xf numFmtId="3" fontId="33" fillId="3" borderId="36" xfId="0" applyNumberFormat="1" applyFont="1" applyFill="1" applyBorder="1" applyAlignment="1">
      <alignment horizontal="center" vertical="center"/>
    </xf>
    <xf numFmtId="3" fontId="33" fillId="3" borderId="37" xfId="0" applyNumberFormat="1" applyFont="1" applyFill="1" applyBorder="1" applyAlignment="1">
      <alignment horizontal="center" vertical="center"/>
    </xf>
    <xf numFmtId="0" fontId="32" fillId="6" borderId="36" xfId="0" applyFont="1" applyFill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9" fontId="32" fillId="0" borderId="36" xfId="0" applyNumberFormat="1" applyFont="1" applyBorder="1" applyAlignment="1">
      <alignment horizontal="center" vertical="center"/>
    </xf>
    <xf numFmtId="9" fontId="32" fillId="3" borderId="36" xfId="0" applyNumberFormat="1" applyFont="1" applyFill="1" applyBorder="1" applyAlignment="1">
      <alignment horizontal="center" vertical="center"/>
    </xf>
    <xf numFmtId="9" fontId="32" fillId="0" borderId="36" xfId="2" applyFont="1" applyFill="1" applyBorder="1" applyAlignment="1">
      <alignment horizontal="center" vertical="center"/>
    </xf>
    <xf numFmtId="9" fontId="32" fillId="3" borderId="37" xfId="0" applyNumberFormat="1" applyFont="1" applyFill="1" applyBorder="1" applyAlignment="1">
      <alignment horizontal="center" vertical="center"/>
    </xf>
    <xf numFmtId="9" fontId="33" fillId="0" borderId="36" xfId="0" applyNumberFormat="1" applyFont="1" applyBorder="1" applyAlignment="1">
      <alignment horizontal="center" vertical="center"/>
    </xf>
    <xf numFmtId="3" fontId="45" fillId="0" borderId="14" xfId="0" applyNumberFormat="1" applyFont="1" applyBorder="1" applyAlignment="1">
      <alignment horizontal="center" vertical="center"/>
    </xf>
    <xf numFmtId="3" fontId="45" fillId="0" borderId="19" xfId="0" applyNumberFormat="1" applyFont="1" applyBorder="1" applyAlignment="1">
      <alignment horizontal="center" vertical="center"/>
    </xf>
    <xf numFmtId="3" fontId="35" fillId="0" borderId="14" xfId="0" applyNumberFormat="1" applyFont="1" applyBorder="1" applyAlignment="1">
      <alignment horizontal="center" vertical="center"/>
    </xf>
    <xf numFmtId="3" fontId="35" fillId="0" borderId="19" xfId="0" applyNumberFormat="1" applyFont="1" applyBorder="1" applyAlignment="1">
      <alignment horizontal="center" vertical="center"/>
    </xf>
    <xf numFmtId="3" fontId="39" fillId="0" borderId="36" xfId="0" applyNumberFormat="1" applyFont="1" applyBorder="1" applyAlignment="1">
      <alignment horizontal="center" vertical="center"/>
    </xf>
    <xf numFmtId="9" fontId="35" fillId="0" borderId="36" xfId="0" applyNumberFormat="1" applyFont="1" applyBorder="1" applyAlignment="1">
      <alignment horizontal="center" vertical="center"/>
    </xf>
    <xf numFmtId="3" fontId="35" fillId="0" borderId="22" xfId="0" applyNumberFormat="1" applyFont="1" applyBorder="1" applyAlignment="1">
      <alignment horizontal="center" vertical="center"/>
    </xf>
    <xf numFmtId="0" fontId="44" fillId="0" borderId="14" xfId="0" applyFont="1" applyBorder="1" applyAlignment="1">
      <alignment horizontal="center" vertical="center"/>
    </xf>
    <xf numFmtId="3" fontId="44" fillId="0" borderId="14" xfId="0" applyNumberFormat="1" applyFont="1" applyBorder="1" applyAlignment="1">
      <alignment horizontal="center" vertical="center"/>
    </xf>
    <xf numFmtId="3" fontId="43" fillId="0" borderId="14" xfId="0" applyNumberFormat="1" applyFont="1" applyBorder="1" applyAlignment="1">
      <alignment horizontal="center" vertical="center"/>
    </xf>
    <xf numFmtId="0" fontId="47" fillId="0" borderId="19" xfId="0" applyFont="1" applyBorder="1" applyAlignment="1">
      <alignment horizontal="center" vertical="center"/>
    </xf>
    <xf numFmtId="3" fontId="47" fillId="0" borderId="19" xfId="0" applyNumberFormat="1" applyFont="1" applyBorder="1" applyAlignment="1">
      <alignment horizontal="center" vertical="center"/>
    </xf>
    <xf numFmtId="3" fontId="46" fillId="0" borderId="19" xfId="0" applyNumberFormat="1" applyFont="1" applyBorder="1" applyAlignment="1">
      <alignment horizontal="center" vertical="center"/>
    </xf>
    <xf numFmtId="0" fontId="47" fillId="0" borderId="14" xfId="0" applyFont="1" applyBorder="1" applyAlignment="1">
      <alignment horizontal="center" vertical="center"/>
    </xf>
    <xf numFmtId="3" fontId="47" fillId="0" borderId="14" xfId="0" applyNumberFormat="1" applyFont="1" applyBorder="1" applyAlignment="1">
      <alignment horizontal="center" vertical="center"/>
    </xf>
    <xf numFmtId="3" fontId="35" fillId="8" borderId="14" xfId="0" applyNumberFormat="1" applyFont="1" applyFill="1" applyBorder="1" applyAlignment="1">
      <alignment horizontal="center" vertical="center"/>
    </xf>
    <xf numFmtId="3" fontId="35" fillId="8" borderId="19" xfId="0" applyNumberFormat="1" applyFont="1" applyFill="1" applyBorder="1" applyAlignment="1">
      <alignment horizontal="center" vertical="center"/>
    </xf>
    <xf numFmtId="9" fontId="35" fillId="8" borderId="36" xfId="0" applyNumberFormat="1" applyFont="1" applyFill="1" applyBorder="1" applyAlignment="1">
      <alignment horizontal="center" vertical="center"/>
    </xf>
    <xf numFmtId="9" fontId="39" fillId="8" borderId="36" xfId="0" applyNumberFormat="1" applyFont="1" applyFill="1" applyBorder="1" applyAlignment="1">
      <alignment horizontal="center" vertical="center"/>
    </xf>
    <xf numFmtId="3" fontId="35" fillId="8" borderId="22" xfId="0" applyNumberFormat="1" applyFont="1" applyFill="1" applyBorder="1" applyAlignment="1">
      <alignment horizontal="center" vertical="center"/>
    </xf>
    <xf numFmtId="3" fontId="33" fillId="6" borderId="36" xfId="0" applyNumberFormat="1" applyFont="1" applyFill="1" applyBorder="1" applyAlignment="1">
      <alignment horizontal="center" vertical="center"/>
    </xf>
    <xf numFmtId="3" fontId="33" fillId="6" borderId="14" xfId="0" applyNumberFormat="1" applyFont="1" applyFill="1" applyBorder="1" applyAlignment="1">
      <alignment horizontal="center" vertical="center"/>
    </xf>
    <xf numFmtId="3" fontId="33" fillId="6" borderId="19" xfId="0" applyNumberFormat="1" applyFont="1" applyFill="1" applyBorder="1" applyAlignment="1">
      <alignment horizontal="center" vertical="center"/>
    </xf>
    <xf numFmtId="3" fontId="32" fillId="6" borderId="19" xfId="0" applyNumberFormat="1" applyFont="1" applyFill="1" applyBorder="1" applyAlignment="1">
      <alignment horizontal="center" vertical="center"/>
    </xf>
    <xf numFmtId="9" fontId="0" fillId="0" borderId="0" xfId="0" applyNumberFormat="1"/>
    <xf numFmtId="1" fontId="0" fillId="0" borderId="0" xfId="0" applyNumberFormat="1"/>
    <xf numFmtId="3" fontId="0" fillId="0" borderId="0" xfId="0" applyNumberFormat="1"/>
    <xf numFmtId="3" fontId="26" fillId="0" borderId="0" xfId="0" applyNumberFormat="1" applyFont="1"/>
    <xf numFmtId="0" fontId="26" fillId="0" borderId="0" xfId="0" applyFont="1"/>
    <xf numFmtId="0" fontId="26" fillId="4" borderId="0" xfId="0" applyFont="1" applyFill="1"/>
    <xf numFmtId="3" fontId="26" fillId="4" borderId="0" xfId="0" applyNumberFormat="1" applyFont="1" applyFill="1"/>
    <xf numFmtId="0" fontId="8" fillId="0" borderId="0" xfId="0" applyFont="1"/>
    <xf numFmtId="3" fontId="8" fillId="0" borderId="0" xfId="0" applyNumberFormat="1" applyFont="1"/>
    <xf numFmtId="1" fontId="26" fillId="4" borderId="0" xfId="0" applyNumberFormat="1" applyFont="1" applyFill="1"/>
    <xf numFmtId="9" fontId="0" fillId="0" borderId="0" xfId="2" applyFont="1"/>
    <xf numFmtId="9" fontId="26" fillId="0" borderId="0" xfId="0" applyNumberFormat="1" applyFont="1"/>
    <xf numFmtId="1" fontId="26" fillId="0" borderId="0" xfId="0" applyNumberFormat="1" applyFont="1"/>
    <xf numFmtId="3" fontId="8" fillId="3" borderId="0" xfId="0" applyNumberFormat="1" applyFont="1" applyFill="1"/>
    <xf numFmtId="9" fontId="26" fillId="4" borderId="0" xfId="2" applyFont="1" applyFill="1"/>
    <xf numFmtId="0" fontId="26" fillId="12" borderId="0" xfId="0" applyFont="1" applyFill="1"/>
    <xf numFmtId="3" fontId="26" fillId="12" borderId="0" xfId="0" applyNumberFormat="1" applyFont="1" applyFill="1"/>
    <xf numFmtId="0" fontId="26" fillId="13" borderId="0" xfId="0" applyFont="1" applyFill="1"/>
    <xf numFmtId="9" fontId="8" fillId="0" borderId="0" xfId="0" applyNumberFormat="1" applyFont="1"/>
    <xf numFmtId="0" fontId="9" fillId="0" borderId="0" xfId="0" applyFont="1"/>
    <xf numFmtId="3" fontId="9" fillId="0" borderId="0" xfId="0" applyNumberFormat="1" applyFont="1"/>
    <xf numFmtId="3" fontId="35" fillId="0" borderId="0" xfId="0" applyNumberFormat="1" applyFont="1" applyAlignment="1">
      <alignment horizontal="center" vertical="center"/>
    </xf>
    <xf numFmtId="3" fontId="32" fillId="12" borderId="14" xfId="0" applyNumberFormat="1" applyFont="1" applyFill="1" applyBorder="1" applyAlignment="1">
      <alignment horizontal="center" vertical="center"/>
    </xf>
    <xf numFmtId="3" fontId="32" fillId="12" borderId="19" xfId="0" applyNumberFormat="1" applyFont="1" applyFill="1" applyBorder="1" applyAlignment="1">
      <alignment horizontal="center" vertical="center"/>
    </xf>
    <xf numFmtId="3" fontId="33" fillId="12" borderId="36" xfId="0" applyNumberFormat="1" applyFont="1" applyFill="1" applyBorder="1" applyAlignment="1">
      <alignment horizontal="center" vertical="center"/>
    </xf>
    <xf numFmtId="9" fontId="32" fillId="12" borderId="36" xfId="0" applyNumberFormat="1" applyFont="1" applyFill="1" applyBorder="1" applyAlignment="1">
      <alignment horizontal="center" vertical="center"/>
    </xf>
    <xf numFmtId="9" fontId="33" fillId="12" borderId="36" xfId="0" applyNumberFormat="1" applyFont="1" applyFill="1" applyBorder="1" applyAlignment="1">
      <alignment horizontal="center" vertical="center"/>
    </xf>
    <xf numFmtId="3" fontId="32" fillId="12" borderId="22" xfId="0" applyNumberFormat="1" applyFont="1" applyFill="1" applyBorder="1" applyAlignment="1">
      <alignment horizontal="center" vertical="center"/>
    </xf>
    <xf numFmtId="3" fontId="47" fillId="0" borderId="22" xfId="0" applyNumberFormat="1" applyFont="1" applyBorder="1" applyAlignment="1">
      <alignment horizontal="center" vertical="center"/>
    </xf>
    <xf numFmtId="2" fontId="8" fillId="3" borderId="0" xfId="0" applyNumberFormat="1" applyFont="1" applyFill="1"/>
    <xf numFmtId="0" fontId="48" fillId="0" borderId="1" xfId="0" applyFont="1" applyBorder="1" applyAlignment="1">
      <alignment horizontal="center"/>
    </xf>
    <xf numFmtId="0" fontId="48" fillId="0" borderId="1" xfId="0" applyFont="1" applyBorder="1"/>
    <xf numFmtId="3" fontId="39" fillId="8" borderId="36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3" fontId="35" fillId="12" borderId="19" xfId="0" applyNumberFormat="1" applyFont="1" applyFill="1" applyBorder="1" applyAlignment="1">
      <alignment horizontal="center" vertical="center"/>
    </xf>
    <xf numFmtId="0" fontId="48" fillId="0" borderId="50" xfId="0" applyFont="1" applyBorder="1"/>
    <xf numFmtId="0" fontId="48" fillId="0" borderId="0" xfId="0" applyFont="1" applyAlignment="1">
      <alignment horizontal="center"/>
    </xf>
    <xf numFmtId="3" fontId="48" fillId="5" borderId="0" xfId="1" applyNumberFormat="1" applyFont="1" applyFill="1" applyBorder="1" applyAlignment="1">
      <alignment horizontal="center" vertical="center"/>
    </xf>
    <xf numFmtId="3" fontId="38" fillId="0" borderId="0" xfId="0" applyNumberFormat="1" applyFont="1" applyAlignment="1">
      <alignment horizontal="center" vertical="center"/>
    </xf>
    <xf numFmtId="3" fontId="57" fillId="0" borderId="0" xfId="0" applyNumberFormat="1" applyFont="1" applyAlignment="1">
      <alignment horizontal="center" vertical="center"/>
    </xf>
    <xf numFmtId="3" fontId="56" fillId="0" borderId="0" xfId="0" applyNumberFormat="1" applyFont="1" applyAlignment="1">
      <alignment horizontal="center" vertical="center"/>
    </xf>
    <xf numFmtId="0" fontId="56" fillId="0" borderId="0" xfId="0" applyFont="1" applyAlignment="1">
      <alignment horizontal="center" vertical="center" wrapText="1" readingOrder="1"/>
    </xf>
    <xf numFmtId="0" fontId="52" fillId="16" borderId="68" xfId="0" applyFont="1" applyFill="1" applyBorder="1" applyAlignment="1">
      <alignment horizontal="center" vertical="center"/>
    </xf>
    <xf numFmtId="0" fontId="53" fillId="16" borderId="68" xfId="0" applyFont="1" applyFill="1" applyBorder="1" applyAlignment="1">
      <alignment horizontal="center" vertical="center"/>
    </xf>
    <xf numFmtId="3" fontId="57" fillId="0" borderId="68" xfId="0" applyNumberFormat="1" applyFont="1" applyBorder="1" applyAlignment="1">
      <alignment horizontal="center" vertical="center"/>
    </xf>
    <xf numFmtId="3" fontId="56" fillId="0" borderId="68" xfId="0" applyNumberFormat="1" applyFont="1" applyBorder="1" applyAlignment="1">
      <alignment horizontal="center" vertical="center"/>
    </xf>
    <xf numFmtId="3" fontId="56" fillId="6" borderId="68" xfId="0" applyNumberFormat="1" applyFont="1" applyFill="1" applyBorder="1" applyAlignment="1">
      <alignment horizontal="center" vertical="center"/>
    </xf>
    <xf numFmtId="9" fontId="56" fillId="0" borderId="68" xfId="2" applyFont="1" applyFill="1" applyBorder="1" applyAlignment="1">
      <alignment horizontal="center" vertical="center"/>
    </xf>
    <xf numFmtId="9" fontId="56" fillId="0" borderId="68" xfId="0" applyNumberFormat="1" applyFont="1" applyBorder="1" applyAlignment="1">
      <alignment horizontal="center" vertical="center"/>
    </xf>
    <xf numFmtId="3" fontId="57" fillId="0" borderId="70" xfId="0" applyNumberFormat="1" applyFont="1" applyBorder="1" applyAlignment="1">
      <alignment horizontal="center" vertical="center"/>
    </xf>
    <xf numFmtId="3" fontId="56" fillId="0" borderId="70" xfId="0" applyNumberFormat="1" applyFont="1" applyBorder="1" applyAlignment="1">
      <alignment horizontal="center" vertical="center"/>
    </xf>
    <xf numFmtId="3" fontId="56" fillId="0" borderId="72" xfId="0" applyNumberFormat="1" applyFont="1" applyBorder="1" applyAlignment="1">
      <alignment horizontal="center" vertical="center"/>
    </xf>
    <xf numFmtId="0" fontId="56" fillId="0" borderId="72" xfId="0" applyFont="1" applyBorder="1" applyAlignment="1">
      <alignment horizontal="center" vertical="center" wrapText="1" readingOrder="1"/>
    </xf>
    <xf numFmtId="3" fontId="56" fillId="0" borderId="74" xfId="0" applyNumberFormat="1" applyFont="1" applyBorder="1" applyAlignment="1">
      <alignment horizontal="center" vertical="center"/>
    </xf>
    <xf numFmtId="0" fontId="56" fillId="0" borderId="70" xfId="0" applyFont="1" applyBorder="1" applyAlignment="1">
      <alignment horizontal="center" vertical="center" wrapText="1" readingOrder="1"/>
    </xf>
    <xf numFmtId="3" fontId="56" fillId="0" borderId="70" xfId="0" applyNumberFormat="1" applyFont="1" applyBorder="1" applyAlignment="1">
      <alignment horizontal="center" vertical="center" wrapText="1" readingOrder="1"/>
    </xf>
    <xf numFmtId="0" fontId="52" fillId="16" borderId="74" xfId="0" applyFont="1" applyFill="1" applyBorder="1" applyAlignment="1">
      <alignment horizontal="center" vertical="center"/>
    </xf>
    <xf numFmtId="0" fontId="53" fillId="16" borderId="74" xfId="0" applyFont="1" applyFill="1" applyBorder="1" applyAlignment="1">
      <alignment horizontal="center" vertical="center"/>
    </xf>
    <xf numFmtId="3" fontId="56" fillId="6" borderId="74" xfId="0" applyNumberFormat="1" applyFont="1" applyFill="1" applyBorder="1" applyAlignment="1">
      <alignment horizontal="center" vertical="center"/>
    </xf>
    <xf numFmtId="0" fontId="54" fillId="17" borderId="80" xfId="0" applyFont="1" applyFill="1" applyBorder="1" applyAlignment="1">
      <alignment horizontal="center" vertical="center"/>
    </xf>
    <xf numFmtId="0" fontId="54" fillId="17" borderId="75" xfId="0" applyFont="1" applyFill="1" applyBorder="1" applyAlignment="1">
      <alignment horizontal="center" vertical="center"/>
    </xf>
    <xf numFmtId="0" fontId="54" fillId="0" borderId="71" xfId="0" applyFont="1" applyBorder="1" applyAlignment="1">
      <alignment horizontal="center" vertical="center"/>
    </xf>
    <xf numFmtId="0" fontId="54" fillId="0" borderId="69" xfId="0" applyFont="1" applyBorder="1" applyAlignment="1">
      <alignment horizontal="center" vertical="center"/>
    </xf>
    <xf numFmtId="0" fontId="54" fillId="0" borderId="64" xfId="0" applyFont="1" applyBorder="1" applyAlignment="1">
      <alignment horizontal="center" vertical="center"/>
    </xf>
    <xf numFmtId="0" fontId="54" fillId="0" borderId="73" xfId="0" applyFont="1" applyBorder="1" applyAlignment="1">
      <alignment horizontal="center" vertical="center"/>
    </xf>
    <xf numFmtId="0" fontId="54" fillId="0" borderId="67" xfId="0" applyFont="1" applyBorder="1" applyAlignment="1">
      <alignment horizontal="center" vertical="center"/>
    </xf>
    <xf numFmtId="3" fontId="57" fillId="0" borderId="71" xfId="0" applyNumberFormat="1" applyFont="1" applyBorder="1" applyAlignment="1">
      <alignment horizontal="center" vertical="center"/>
    </xf>
    <xf numFmtId="3" fontId="57" fillId="0" borderId="69" xfId="0" applyNumberFormat="1" applyFont="1" applyBorder="1" applyAlignment="1">
      <alignment horizontal="center" vertical="center"/>
    </xf>
    <xf numFmtId="3" fontId="57" fillId="0" borderId="64" xfId="0" applyNumberFormat="1" applyFont="1" applyBorder="1" applyAlignment="1">
      <alignment horizontal="center" vertical="center"/>
    </xf>
    <xf numFmtId="3" fontId="57" fillId="0" borderId="73" xfId="0" applyNumberFormat="1" applyFont="1" applyBorder="1" applyAlignment="1">
      <alignment horizontal="center" vertical="center"/>
    </xf>
    <xf numFmtId="9" fontId="57" fillId="0" borderId="67" xfId="0" applyNumberFormat="1" applyFont="1" applyBorder="1" applyAlignment="1">
      <alignment horizontal="center" vertical="center"/>
    </xf>
    <xf numFmtId="3" fontId="57" fillId="0" borderId="67" xfId="0" applyNumberFormat="1" applyFont="1" applyBorder="1" applyAlignment="1">
      <alignment horizontal="center" vertical="center"/>
    </xf>
    <xf numFmtId="3" fontId="55" fillId="20" borderId="80" xfId="0" applyNumberFormat="1" applyFont="1" applyFill="1" applyBorder="1" applyAlignment="1">
      <alignment horizontal="center" vertical="center"/>
    </xf>
    <xf numFmtId="9" fontId="55" fillId="20" borderId="75" xfId="0" applyNumberFormat="1" applyFont="1" applyFill="1" applyBorder="1" applyAlignment="1">
      <alignment horizontal="center" vertical="center"/>
    </xf>
    <xf numFmtId="3" fontId="57" fillId="19" borderId="78" xfId="0" applyNumberFormat="1" applyFont="1" applyFill="1" applyBorder="1" applyAlignment="1">
      <alignment horizontal="center" vertical="center"/>
    </xf>
    <xf numFmtId="3" fontId="57" fillId="19" borderId="76" xfId="0" applyNumberFormat="1" applyFont="1" applyFill="1" applyBorder="1" applyAlignment="1">
      <alignment horizontal="center" vertical="center"/>
    </xf>
    <xf numFmtId="3" fontId="57" fillId="19" borderId="79" xfId="0" applyNumberFormat="1" applyFont="1" applyFill="1" applyBorder="1" applyAlignment="1">
      <alignment horizontal="center" vertical="center"/>
    </xf>
    <xf numFmtId="3" fontId="57" fillId="19" borderId="80" xfId="0" applyNumberFormat="1" applyFont="1" applyFill="1" applyBorder="1" applyAlignment="1">
      <alignment horizontal="center" vertical="center"/>
    </xf>
    <xf numFmtId="9" fontId="57" fillId="19" borderId="75" xfId="0" applyNumberFormat="1" applyFont="1" applyFill="1" applyBorder="1" applyAlignment="1">
      <alignment horizontal="center" vertical="center"/>
    </xf>
    <xf numFmtId="3" fontId="57" fillId="19" borderId="75" xfId="0" applyNumberFormat="1" applyFont="1" applyFill="1" applyBorder="1" applyAlignment="1">
      <alignment horizontal="center" vertical="center"/>
    </xf>
    <xf numFmtId="3" fontId="57" fillId="19" borderId="71" xfId="0" applyNumberFormat="1" applyFont="1" applyFill="1" applyBorder="1" applyAlignment="1">
      <alignment horizontal="center" vertical="center"/>
    </xf>
    <xf numFmtId="3" fontId="57" fillId="19" borderId="69" xfId="0" applyNumberFormat="1" applyFont="1" applyFill="1" applyBorder="1" applyAlignment="1">
      <alignment horizontal="center" vertical="center"/>
    </xf>
    <xf numFmtId="3" fontId="57" fillId="19" borderId="64" xfId="0" applyNumberFormat="1" applyFont="1" applyFill="1" applyBorder="1" applyAlignment="1">
      <alignment horizontal="center" vertical="center"/>
    </xf>
    <xf numFmtId="3" fontId="57" fillId="19" borderId="73" xfId="0" applyNumberFormat="1" applyFont="1" applyFill="1" applyBorder="1" applyAlignment="1">
      <alignment horizontal="center" vertical="center"/>
    </xf>
    <xf numFmtId="9" fontId="57" fillId="19" borderId="67" xfId="0" applyNumberFormat="1" applyFont="1" applyFill="1" applyBorder="1" applyAlignment="1">
      <alignment horizontal="center" vertical="center"/>
    </xf>
    <xf numFmtId="3" fontId="57" fillId="19" borderId="67" xfId="0" applyNumberFormat="1" applyFont="1" applyFill="1" applyBorder="1" applyAlignment="1">
      <alignment horizontal="center" vertical="center"/>
    </xf>
    <xf numFmtId="3" fontId="55" fillId="20" borderId="73" xfId="0" applyNumberFormat="1" applyFont="1" applyFill="1" applyBorder="1" applyAlignment="1">
      <alignment horizontal="center" vertical="center"/>
    </xf>
    <xf numFmtId="9" fontId="55" fillId="20" borderId="67" xfId="0" applyNumberFormat="1" applyFont="1" applyFill="1" applyBorder="1" applyAlignment="1">
      <alignment horizontal="center" vertical="center"/>
    </xf>
    <xf numFmtId="3" fontId="55" fillId="20" borderId="71" xfId="0" applyNumberFormat="1" applyFont="1" applyFill="1" applyBorder="1" applyAlignment="1">
      <alignment horizontal="center" vertical="center"/>
    </xf>
    <xf numFmtId="3" fontId="55" fillId="20" borderId="69" xfId="0" applyNumberFormat="1" applyFont="1" applyFill="1" applyBorder="1" applyAlignment="1">
      <alignment horizontal="center" vertical="center"/>
    </xf>
    <xf numFmtId="3" fontId="55" fillId="20" borderId="64" xfId="0" applyNumberFormat="1" applyFont="1" applyFill="1" applyBorder="1" applyAlignment="1">
      <alignment horizontal="center" vertical="center"/>
    </xf>
    <xf numFmtId="3" fontId="55" fillId="20" borderId="67" xfId="0" applyNumberFormat="1" applyFont="1" applyFill="1" applyBorder="1" applyAlignment="1">
      <alignment horizontal="center" vertical="center"/>
    </xf>
    <xf numFmtId="0" fontId="55" fillId="20" borderId="0" xfId="0" applyFont="1" applyFill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9" fillId="21" borderId="0" xfId="0" applyFont="1" applyFill="1"/>
    <xf numFmtId="0" fontId="59" fillId="21" borderId="72" xfId="0" applyFont="1" applyFill="1" applyBorder="1"/>
    <xf numFmtId="0" fontId="65" fillId="21" borderId="65" xfId="0" applyFont="1" applyFill="1" applyBorder="1"/>
    <xf numFmtId="0" fontId="59" fillId="21" borderId="65" xfId="0" applyFont="1" applyFill="1" applyBorder="1"/>
    <xf numFmtId="0" fontId="66" fillId="21" borderId="0" xfId="0" applyFont="1" applyFill="1"/>
    <xf numFmtId="0" fontId="67" fillId="21" borderId="0" xfId="0" applyFont="1" applyFill="1"/>
    <xf numFmtId="0" fontId="68" fillId="21" borderId="0" xfId="0" applyFont="1" applyFill="1"/>
    <xf numFmtId="0" fontId="69" fillId="21" borderId="0" xfId="0" applyFont="1" applyFill="1"/>
    <xf numFmtId="0" fontId="0" fillId="0" borderId="0" xfId="0" applyAlignment="1">
      <alignment vertical="center"/>
    </xf>
    <xf numFmtId="0" fontId="71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51" fillId="0" borderId="98" xfId="0" applyFont="1" applyBorder="1" applyAlignment="1">
      <alignment vertical="center"/>
    </xf>
    <xf numFmtId="0" fontId="65" fillId="0" borderId="0" xfId="0" applyFont="1" applyAlignment="1">
      <alignment vertical="center"/>
    </xf>
    <xf numFmtId="0" fontId="49" fillId="15" borderId="62" xfId="0" applyFont="1" applyFill="1" applyBorder="1" applyAlignment="1">
      <alignment horizontal="center" vertical="center"/>
    </xf>
    <xf numFmtId="0" fontId="49" fillId="22" borderId="62" xfId="0" applyFont="1" applyFill="1" applyBorder="1" applyAlignment="1">
      <alignment horizontal="center" vertical="center"/>
    </xf>
    <xf numFmtId="0" fontId="49" fillId="23" borderId="62" xfId="0" applyFont="1" applyFill="1" applyBorder="1" applyAlignment="1">
      <alignment horizontal="center" vertical="center"/>
    </xf>
    <xf numFmtId="49" fontId="49" fillId="22" borderId="62" xfId="0" applyNumberFormat="1" applyFont="1" applyFill="1" applyBorder="1" applyAlignment="1">
      <alignment horizontal="center" vertical="center"/>
    </xf>
    <xf numFmtId="0" fontId="53" fillId="0" borderId="74" xfId="0" applyFont="1" applyBorder="1" applyAlignment="1">
      <alignment vertical="center"/>
    </xf>
    <xf numFmtId="0" fontId="72" fillId="0" borderId="74" xfId="0" applyFont="1" applyBorder="1" applyAlignment="1">
      <alignment horizontal="center" vertical="center"/>
    </xf>
    <xf numFmtId="3" fontId="51" fillId="0" borderId="74" xfId="0" applyNumberFormat="1" applyFont="1" applyBorder="1" applyAlignment="1">
      <alignment horizontal="center" vertical="center"/>
    </xf>
    <xf numFmtId="167" fontId="51" fillId="24" borderId="74" xfId="0" applyNumberFormat="1" applyFont="1" applyFill="1" applyBorder="1" applyAlignment="1">
      <alignment horizontal="center" vertical="center"/>
    </xf>
    <xf numFmtId="0" fontId="75" fillId="14" borderId="68" xfId="0" applyFont="1" applyFill="1" applyBorder="1" applyAlignment="1">
      <alignment vertical="center"/>
    </xf>
    <xf numFmtId="0" fontId="75" fillId="14" borderId="68" xfId="0" applyFont="1" applyFill="1" applyBorder="1" applyAlignment="1">
      <alignment horizontal="center" vertical="center"/>
    </xf>
    <xf numFmtId="3" fontId="51" fillId="14" borderId="68" xfId="0" applyNumberFormat="1" applyFont="1" applyFill="1" applyBorder="1" applyAlignment="1">
      <alignment horizontal="center" vertical="center"/>
    </xf>
    <xf numFmtId="167" fontId="51" fillId="24" borderId="68" xfId="0" applyNumberFormat="1" applyFont="1" applyFill="1" applyBorder="1" applyAlignment="1">
      <alignment horizontal="center" vertical="center"/>
    </xf>
    <xf numFmtId="0" fontId="53" fillId="0" borderId="68" xfId="0" applyFont="1" applyBorder="1" applyAlignment="1">
      <alignment vertical="center"/>
    </xf>
    <xf numFmtId="0" fontId="72" fillId="0" borderId="68" xfId="0" applyFont="1" applyBorder="1" applyAlignment="1">
      <alignment horizontal="center" vertical="center"/>
    </xf>
    <xf numFmtId="3" fontId="51" fillId="0" borderId="68" xfId="0" applyNumberFormat="1" applyFont="1" applyBorder="1" applyAlignment="1">
      <alignment horizontal="center" vertical="center"/>
    </xf>
    <xf numFmtId="0" fontId="52" fillId="0" borderId="68" xfId="0" applyFont="1" applyBorder="1" applyAlignment="1">
      <alignment vertical="center"/>
    </xf>
    <xf numFmtId="3" fontId="50" fillId="0" borderId="68" xfId="0" applyNumberFormat="1" applyFont="1" applyBorder="1" applyAlignment="1">
      <alignment horizontal="center" vertical="center"/>
    </xf>
    <xf numFmtId="167" fontId="50" fillId="24" borderId="68" xfId="0" applyNumberFormat="1" applyFont="1" applyFill="1" applyBorder="1" applyAlignment="1">
      <alignment horizontal="center" vertical="center"/>
    </xf>
    <xf numFmtId="0" fontId="76" fillId="14" borderId="68" xfId="0" applyFont="1" applyFill="1" applyBorder="1" applyAlignment="1">
      <alignment vertical="center"/>
    </xf>
    <xf numFmtId="3" fontId="50" fillId="14" borderId="68" xfId="0" applyNumberFormat="1" applyFont="1" applyFill="1" applyBorder="1" applyAlignment="1">
      <alignment horizontal="center" vertical="center"/>
    </xf>
    <xf numFmtId="0" fontId="53" fillId="0" borderId="91" xfId="0" applyFont="1" applyBorder="1" applyAlignment="1">
      <alignment vertical="center"/>
    </xf>
    <xf numFmtId="0" fontId="72" fillId="0" borderId="91" xfId="0" applyFont="1" applyBorder="1" applyAlignment="1">
      <alignment horizontal="center" vertical="center"/>
    </xf>
    <xf numFmtId="3" fontId="51" fillId="0" borderId="91" xfId="0" applyNumberFormat="1" applyFont="1" applyBorder="1" applyAlignment="1">
      <alignment horizontal="center" vertical="center"/>
    </xf>
    <xf numFmtId="167" fontId="51" fillId="24" borderId="91" xfId="0" applyNumberFormat="1" applyFont="1" applyFill="1" applyBorder="1" applyAlignment="1">
      <alignment horizontal="center" vertical="center"/>
    </xf>
    <xf numFmtId="0" fontId="53" fillId="14" borderId="92" xfId="0" applyFont="1" applyFill="1" applyBorder="1" applyAlignment="1">
      <alignment vertical="center"/>
    </xf>
    <xf numFmtId="0" fontId="72" fillId="14" borderId="92" xfId="0" applyFont="1" applyFill="1" applyBorder="1" applyAlignment="1">
      <alignment horizontal="center" vertical="center"/>
    </xf>
    <xf numFmtId="167" fontId="51" fillId="14" borderId="92" xfId="0" applyNumberFormat="1" applyFont="1" applyFill="1" applyBorder="1" applyAlignment="1">
      <alignment horizontal="center" vertical="center"/>
    </xf>
    <xf numFmtId="167" fontId="51" fillId="24" borderId="92" xfId="0" applyNumberFormat="1" applyFont="1" applyFill="1" applyBorder="1" applyAlignment="1">
      <alignment horizontal="center" vertical="center"/>
    </xf>
    <xf numFmtId="0" fontId="49" fillId="25" borderId="62" xfId="0" applyFont="1" applyFill="1" applyBorder="1" applyAlignment="1">
      <alignment horizontal="center" vertical="center"/>
    </xf>
    <xf numFmtId="3" fontId="51" fillId="24" borderId="74" xfId="0" applyNumberFormat="1" applyFont="1" applyFill="1" applyBorder="1" applyAlignment="1">
      <alignment horizontal="center" vertical="center"/>
    </xf>
    <xf numFmtId="165" fontId="51" fillId="0" borderId="74" xfId="0" applyNumberFormat="1" applyFont="1" applyBorder="1" applyAlignment="1">
      <alignment horizontal="center" vertical="center"/>
    </xf>
    <xf numFmtId="3" fontId="51" fillId="24" borderId="68" xfId="0" applyNumberFormat="1" applyFont="1" applyFill="1" applyBorder="1" applyAlignment="1">
      <alignment horizontal="center" vertical="center"/>
    </xf>
    <xf numFmtId="165" fontId="51" fillId="0" borderId="68" xfId="0" applyNumberFormat="1" applyFont="1" applyBorder="1" applyAlignment="1">
      <alignment horizontal="center" vertical="center"/>
    </xf>
    <xf numFmtId="3" fontId="50" fillId="24" borderId="68" xfId="0" applyNumberFormat="1" applyFont="1" applyFill="1" applyBorder="1" applyAlignment="1">
      <alignment horizontal="center" vertical="center"/>
    </xf>
    <xf numFmtId="165" fontId="50" fillId="0" borderId="68" xfId="0" applyNumberFormat="1" applyFont="1" applyBorder="1" applyAlignment="1">
      <alignment horizontal="center" vertical="center"/>
    </xf>
    <xf numFmtId="3" fontId="51" fillId="24" borderId="91" xfId="0" applyNumberFormat="1" applyFont="1" applyFill="1" applyBorder="1" applyAlignment="1">
      <alignment horizontal="center" vertical="center"/>
    </xf>
    <xf numFmtId="168" fontId="51" fillId="24" borderId="92" xfId="0" applyNumberFormat="1" applyFont="1" applyFill="1" applyBorder="1" applyAlignment="1">
      <alignment horizontal="center" vertical="center"/>
    </xf>
    <xf numFmtId="0" fontId="51" fillId="14" borderId="92" xfId="0" applyFont="1" applyFill="1" applyBorder="1" applyAlignment="1">
      <alignment vertical="center"/>
    </xf>
    <xf numFmtId="0" fontId="79" fillId="0" borderId="0" xfId="0" applyFont="1" applyAlignment="1">
      <alignment vertical="center"/>
    </xf>
    <xf numFmtId="0" fontId="80" fillId="0" borderId="0" xfId="0" applyFont="1" applyAlignment="1">
      <alignment vertical="center"/>
    </xf>
    <xf numFmtId="0" fontId="81" fillId="0" borderId="0" xfId="0" applyFont="1" applyAlignment="1">
      <alignment vertical="center"/>
    </xf>
    <xf numFmtId="0" fontId="51" fillId="14" borderId="68" xfId="0" applyFont="1" applyFill="1" applyBorder="1" applyAlignment="1">
      <alignment vertical="center"/>
    </xf>
    <xf numFmtId="0" fontId="55" fillId="14" borderId="68" xfId="0" applyFont="1" applyFill="1" applyBorder="1" applyAlignment="1">
      <alignment horizontal="center" vertical="center"/>
    </xf>
    <xf numFmtId="0" fontId="82" fillId="0" borderId="0" xfId="0" applyFont="1" applyAlignment="1">
      <alignment vertical="center"/>
    </xf>
    <xf numFmtId="9" fontId="81" fillId="0" borderId="0" xfId="2" applyFont="1" applyAlignment="1">
      <alignment vertical="center"/>
    </xf>
    <xf numFmtId="0" fontId="55" fillId="14" borderId="92" xfId="0" applyFont="1" applyFill="1" applyBorder="1" applyAlignment="1">
      <alignment horizontal="center" vertical="center"/>
    </xf>
    <xf numFmtId="3" fontId="51" fillId="14" borderId="92" xfId="0" applyNumberFormat="1" applyFont="1" applyFill="1" applyBorder="1" applyAlignment="1">
      <alignment horizontal="center" vertical="center"/>
    </xf>
    <xf numFmtId="3" fontId="51" fillId="24" borderId="92" xfId="0" applyNumberFormat="1" applyFont="1" applyFill="1" applyBorder="1" applyAlignment="1">
      <alignment horizontal="center" vertical="center"/>
    </xf>
    <xf numFmtId="3" fontId="56" fillId="18" borderId="78" xfId="0" applyNumberFormat="1" applyFont="1" applyFill="1" applyBorder="1" applyAlignment="1">
      <alignment horizontal="center" vertical="center"/>
    </xf>
    <xf numFmtId="3" fontId="56" fillId="18" borderId="76" xfId="0" applyNumberFormat="1" applyFont="1" applyFill="1" applyBorder="1" applyAlignment="1">
      <alignment horizontal="center" vertical="center"/>
    </xf>
    <xf numFmtId="3" fontId="56" fillId="18" borderId="79" xfId="0" applyNumberFormat="1" applyFont="1" applyFill="1" applyBorder="1" applyAlignment="1">
      <alignment horizontal="center" vertical="center"/>
    </xf>
    <xf numFmtId="3" fontId="56" fillId="18" borderId="80" xfId="0" applyNumberFormat="1" applyFont="1" applyFill="1" applyBorder="1" applyAlignment="1">
      <alignment horizontal="center" vertical="center"/>
    </xf>
    <xf numFmtId="9" fontId="56" fillId="18" borderId="75" xfId="0" applyNumberFormat="1" applyFont="1" applyFill="1" applyBorder="1" applyAlignment="1">
      <alignment horizontal="center" vertical="center"/>
    </xf>
    <xf numFmtId="3" fontId="56" fillId="18" borderId="75" xfId="0" applyNumberFormat="1" applyFont="1" applyFill="1" applyBorder="1" applyAlignment="1">
      <alignment horizontal="center" vertical="center"/>
    </xf>
    <xf numFmtId="3" fontId="58" fillId="0" borderId="73" xfId="0" applyNumberFormat="1" applyFont="1" applyBorder="1" applyAlignment="1">
      <alignment horizontal="center" vertical="center"/>
    </xf>
    <xf numFmtId="9" fontId="58" fillId="0" borderId="67" xfId="0" applyNumberFormat="1" applyFont="1" applyBorder="1" applyAlignment="1">
      <alignment horizontal="center" vertical="center"/>
    </xf>
    <xf numFmtId="3" fontId="58" fillId="0" borderId="80" xfId="0" applyNumberFormat="1" applyFont="1" applyBorder="1" applyAlignment="1">
      <alignment horizontal="center" vertical="center"/>
    </xf>
    <xf numFmtId="9" fontId="58" fillId="0" borderId="75" xfId="0" applyNumberFormat="1" applyFont="1" applyBorder="1" applyAlignment="1">
      <alignment horizontal="center" vertical="center"/>
    </xf>
    <xf numFmtId="1" fontId="68" fillId="21" borderId="0" xfId="0" applyNumberFormat="1" applyFont="1" applyFill="1"/>
    <xf numFmtId="3" fontId="56" fillId="19" borderId="75" xfId="0" applyNumberFormat="1" applyFont="1" applyFill="1" applyBorder="1" applyAlignment="1">
      <alignment horizontal="center" vertical="center"/>
    </xf>
    <xf numFmtId="3" fontId="68" fillId="21" borderId="0" xfId="0" applyNumberFormat="1" applyFont="1" applyFill="1"/>
    <xf numFmtId="0" fontId="0" fillId="15" borderId="0" xfId="0" applyFill="1"/>
    <xf numFmtId="0" fontId="0" fillId="10" borderId="0" xfId="0" applyFill="1"/>
    <xf numFmtId="0" fontId="84" fillId="0" borderId="0" xfId="0" applyFont="1" applyAlignment="1">
      <alignment vertical="center"/>
    </xf>
    <xf numFmtId="0" fontId="85" fillId="1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3" fontId="8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3" fontId="9" fillId="0" borderId="0" xfId="0" applyNumberFormat="1" applyFont="1" applyAlignment="1">
      <alignment vertical="center"/>
    </xf>
    <xf numFmtId="0" fontId="86" fillId="0" borderId="0" xfId="0" applyFont="1" applyAlignment="1">
      <alignment vertical="center"/>
    </xf>
    <xf numFmtId="0" fontId="87" fillId="0" borderId="0" xfId="0" applyFont="1" applyAlignment="1">
      <alignment vertical="center"/>
    </xf>
    <xf numFmtId="0" fontId="0" fillId="20" borderId="0" xfId="0" applyFill="1"/>
    <xf numFmtId="0" fontId="49" fillId="15" borderId="64" xfId="0" applyFont="1" applyFill="1" applyBorder="1" applyAlignment="1">
      <alignment horizontal="center"/>
    </xf>
    <xf numFmtId="0" fontId="49" fillId="15" borderId="0" xfId="0" applyFont="1" applyFill="1" applyAlignment="1">
      <alignment horizontal="center"/>
    </xf>
    <xf numFmtId="0" fontId="49" fillId="15" borderId="99" xfId="0" applyFont="1" applyFill="1" applyBorder="1" applyAlignment="1">
      <alignment horizontal="center"/>
    </xf>
    <xf numFmtId="1" fontId="52" fillId="17" borderId="63" xfId="0" applyNumberFormat="1" applyFont="1" applyFill="1" applyBorder="1" applyAlignment="1">
      <alignment horizontal="center"/>
    </xf>
    <xf numFmtId="3" fontId="57" fillId="17" borderId="66" xfId="0" applyNumberFormat="1" applyFont="1" applyFill="1" applyBorder="1" applyAlignment="1">
      <alignment horizontal="center"/>
    </xf>
    <xf numFmtId="0" fontId="0" fillId="17" borderId="103" xfId="0" applyFill="1" applyBorder="1"/>
    <xf numFmtId="3" fontId="57" fillId="17" borderId="103" xfId="0" applyNumberFormat="1" applyFont="1" applyFill="1" applyBorder="1" applyAlignment="1">
      <alignment horizontal="center"/>
    </xf>
    <xf numFmtId="1" fontId="93" fillId="10" borderId="104" xfId="0" applyNumberFormat="1" applyFont="1" applyFill="1" applyBorder="1" applyAlignment="1">
      <alignment horizontal="center"/>
    </xf>
    <xf numFmtId="3" fontId="56" fillId="10" borderId="91" xfId="0" applyNumberFormat="1" applyFont="1" applyFill="1" applyBorder="1" applyAlignment="1">
      <alignment horizontal="center"/>
    </xf>
    <xf numFmtId="167" fontId="56" fillId="10" borderId="105" xfId="0" applyNumberFormat="1" applyFont="1" applyFill="1" applyBorder="1" applyAlignment="1">
      <alignment horizontal="center"/>
    </xf>
    <xf numFmtId="3" fontId="57" fillId="10" borderId="105" xfId="0" applyNumberFormat="1" applyFont="1" applyFill="1" applyBorder="1" applyAlignment="1">
      <alignment horizontal="center"/>
    </xf>
    <xf numFmtId="1" fontId="93" fillId="17" borderId="104" xfId="0" applyNumberFormat="1" applyFont="1" applyFill="1" applyBorder="1" applyAlignment="1">
      <alignment horizontal="center"/>
    </xf>
    <xf numFmtId="3" fontId="56" fillId="17" borderId="91" xfId="0" applyNumberFormat="1" applyFont="1" applyFill="1" applyBorder="1" applyAlignment="1">
      <alignment horizontal="center"/>
    </xf>
    <xf numFmtId="167" fontId="56" fillId="17" borderId="105" xfId="0" applyNumberFormat="1" applyFont="1" applyFill="1" applyBorder="1" applyAlignment="1">
      <alignment horizontal="center"/>
    </xf>
    <xf numFmtId="0" fontId="0" fillId="17" borderId="105" xfId="0" applyFill="1" applyBorder="1"/>
    <xf numFmtId="169" fontId="56" fillId="10" borderId="91" xfId="0" applyNumberFormat="1" applyFont="1" applyFill="1" applyBorder="1" applyAlignment="1">
      <alignment horizontal="center"/>
    </xf>
    <xf numFmtId="0" fontId="0" fillId="10" borderId="105" xfId="0" applyFill="1" applyBorder="1"/>
    <xf numFmtId="0" fontId="0" fillId="20" borderId="100" xfId="0" applyFill="1" applyBorder="1"/>
    <xf numFmtId="3" fontId="55" fillId="20" borderId="101" xfId="0" applyNumberFormat="1" applyFont="1" applyFill="1" applyBorder="1" applyAlignment="1">
      <alignment horizontal="center"/>
    </xf>
    <xf numFmtId="167" fontId="55" fillId="20" borderId="102" xfId="0" applyNumberFormat="1" applyFont="1" applyFill="1" applyBorder="1" applyAlignment="1">
      <alignment horizontal="center"/>
    </xf>
    <xf numFmtId="3" fontId="55" fillId="20" borderId="102" xfId="0" applyNumberFormat="1" applyFont="1" applyFill="1" applyBorder="1" applyAlignment="1">
      <alignment horizontal="center"/>
    </xf>
    <xf numFmtId="0" fontId="0" fillId="26" borderId="0" xfId="0" applyFill="1"/>
    <xf numFmtId="0" fontId="62" fillId="21" borderId="0" xfId="0" applyFont="1" applyFill="1"/>
    <xf numFmtId="0" fontId="0" fillId="21" borderId="0" xfId="0" applyFill="1"/>
    <xf numFmtId="0" fontId="62" fillId="21" borderId="106" xfId="0" applyFont="1" applyFill="1" applyBorder="1"/>
    <xf numFmtId="0" fontId="0" fillId="21" borderId="106" xfId="0" applyFill="1" applyBorder="1"/>
    <xf numFmtId="0" fontId="61" fillId="21" borderId="0" xfId="0" applyFont="1" applyFill="1"/>
    <xf numFmtId="3" fontId="95" fillId="0" borderId="0" xfId="0" applyNumberFormat="1" applyFont="1" applyAlignment="1">
      <alignment horizontal="center" vertical="center"/>
    </xf>
    <xf numFmtId="3" fontId="58" fillId="20" borderId="67" xfId="0" applyNumberFormat="1" applyFont="1" applyFill="1" applyBorder="1" applyAlignment="1">
      <alignment horizontal="center" vertical="center"/>
    </xf>
    <xf numFmtId="0" fontId="49" fillId="27" borderId="77" xfId="0" applyFont="1" applyFill="1" applyBorder="1" applyAlignment="1">
      <alignment horizontal="center" vertical="center" wrapText="1"/>
    </xf>
    <xf numFmtId="0" fontId="49" fillId="27" borderId="66" xfId="0" applyFont="1" applyFill="1" applyBorder="1" applyAlignment="1">
      <alignment horizontal="center" vertical="center" wrapText="1"/>
    </xf>
    <xf numFmtId="0" fontId="49" fillId="27" borderId="63" xfId="0" applyFont="1" applyFill="1" applyBorder="1" applyAlignment="1">
      <alignment horizontal="center" vertical="center" wrapText="1"/>
    </xf>
    <xf numFmtId="17" fontId="49" fillId="27" borderId="66" xfId="0" applyNumberFormat="1" applyFont="1" applyFill="1" applyBorder="1" applyAlignment="1">
      <alignment horizontal="center" vertical="center" wrapText="1"/>
    </xf>
    <xf numFmtId="17" fontId="49" fillId="27" borderId="77" xfId="0" applyNumberFormat="1" applyFont="1" applyFill="1" applyBorder="1" applyAlignment="1">
      <alignment horizontal="center" vertical="center" wrapText="1"/>
    </xf>
    <xf numFmtId="17" fontId="49" fillId="27" borderId="63" xfId="0" applyNumberFormat="1" applyFont="1" applyFill="1" applyBorder="1" applyAlignment="1">
      <alignment horizontal="center" vertical="center" wrapText="1"/>
    </xf>
    <xf numFmtId="3" fontId="96" fillId="0" borderId="68" xfId="0" applyNumberFormat="1" applyFont="1" applyBorder="1" applyAlignment="1">
      <alignment horizontal="center" vertical="center"/>
    </xf>
    <xf numFmtId="0" fontId="49" fillId="23" borderId="0" xfId="0" applyFont="1" applyFill="1" applyAlignment="1">
      <alignment horizontal="center"/>
    </xf>
    <xf numFmtId="0" fontId="81" fillId="0" borderId="0" xfId="0" applyFont="1"/>
    <xf numFmtId="0" fontId="80" fillId="0" borderId="0" xfId="0" applyFont="1"/>
    <xf numFmtId="9" fontId="81" fillId="0" borderId="0" xfId="0" applyNumberFormat="1" applyFont="1"/>
    <xf numFmtId="49" fontId="49" fillId="22" borderId="0" xfId="0" applyNumberFormat="1" applyFont="1" applyFill="1" applyAlignment="1">
      <alignment horizontal="center"/>
    </xf>
    <xf numFmtId="1" fontId="80" fillId="0" borderId="0" xfId="0" applyNumberFormat="1" applyFont="1" applyAlignment="1">
      <alignment vertical="center"/>
    </xf>
    <xf numFmtId="0" fontId="21" fillId="10" borderId="61" xfId="0" applyFont="1" applyFill="1" applyBorder="1" applyAlignment="1">
      <alignment horizontal="center" vertical="center" wrapText="1" readingOrder="1"/>
    </xf>
    <xf numFmtId="0" fontId="21" fillId="10" borderId="40" xfId="0" applyFont="1" applyFill="1" applyBorder="1" applyAlignment="1">
      <alignment horizontal="center" vertical="center" wrapText="1" readingOrder="1"/>
    </xf>
    <xf numFmtId="0" fontId="9" fillId="6" borderId="13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 vertical="center"/>
    </xf>
    <xf numFmtId="0" fontId="8" fillId="7" borderId="19" xfId="0" applyFont="1" applyFill="1" applyBorder="1" applyAlignment="1">
      <alignment horizontal="center" vertical="center"/>
    </xf>
    <xf numFmtId="3" fontId="8" fillId="6" borderId="31" xfId="0" applyNumberFormat="1" applyFont="1" applyFill="1" applyBorder="1" applyAlignment="1">
      <alignment horizontal="center" vertical="center"/>
    </xf>
    <xf numFmtId="3" fontId="8" fillId="6" borderId="33" xfId="0" applyNumberFormat="1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3" fontId="8" fillId="6" borderId="24" xfId="0" applyNumberFormat="1" applyFont="1" applyFill="1" applyBorder="1" applyAlignment="1">
      <alignment horizontal="center" vertical="center"/>
    </xf>
    <xf numFmtId="0" fontId="12" fillId="7" borderId="31" xfId="0" applyFont="1" applyFill="1" applyBorder="1" applyAlignment="1">
      <alignment horizontal="center" vertical="center" wrapText="1"/>
    </xf>
    <xf numFmtId="0" fontId="12" fillId="7" borderId="33" xfId="0" applyFont="1" applyFill="1" applyBorder="1" applyAlignment="1">
      <alignment horizontal="center" vertical="center"/>
    </xf>
    <xf numFmtId="0" fontId="9" fillId="6" borderId="28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0" fontId="17" fillId="6" borderId="24" xfId="0" applyFont="1" applyFill="1" applyBorder="1" applyAlignment="1">
      <alignment horizontal="center" vertical="center"/>
    </xf>
    <xf numFmtId="3" fontId="8" fillId="6" borderId="32" xfId="0" applyNumberFormat="1" applyFont="1" applyFill="1" applyBorder="1" applyAlignment="1">
      <alignment horizontal="center" vertical="center"/>
    </xf>
    <xf numFmtId="3" fontId="8" fillId="6" borderId="34" xfId="0" applyNumberFormat="1" applyFont="1" applyFill="1" applyBorder="1" applyAlignment="1">
      <alignment horizontal="center" vertical="center"/>
    </xf>
    <xf numFmtId="0" fontId="12" fillId="7" borderId="33" xfId="0" applyFont="1" applyFill="1" applyBorder="1" applyAlignment="1">
      <alignment horizontal="center" vertical="center" wrapText="1"/>
    </xf>
    <xf numFmtId="0" fontId="12" fillId="7" borderId="31" xfId="0" applyFont="1" applyFill="1" applyBorder="1" applyAlignment="1">
      <alignment horizontal="center" vertical="center"/>
    </xf>
    <xf numFmtId="3" fontId="8" fillId="6" borderId="38" xfId="0" applyNumberFormat="1" applyFont="1" applyFill="1" applyBorder="1" applyAlignment="1">
      <alignment horizontal="center" vertical="center"/>
    </xf>
    <xf numFmtId="3" fontId="11" fillId="6" borderId="12" xfId="0" applyNumberFormat="1" applyFont="1" applyFill="1" applyBorder="1" applyAlignment="1">
      <alignment horizontal="center" vertical="center"/>
    </xf>
    <xf numFmtId="3" fontId="11" fillId="6" borderId="24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3" fontId="8" fillId="6" borderId="12" xfId="0" applyNumberFormat="1" applyFont="1" applyFill="1" applyBorder="1" applyAlignment="1">
      <alignment horizontal="center" vertical="center"/>
    </xf>
    <xf numFmtId="3" fontId="8" fillId="6" borderId="22" xfId="0" applyNumberFormat="1" applyFont="1" applyFill="1" applyBorder="1" applyAlignment="1">
      <alignment horizontal="center" vertical="center"/>
    </xf>
    <xf numFmtId="0" fontId="28" fillId="6" borderId="28" xfId="0" applyFont="1" applyFill="1" applyBorder="1" applyAlignment="1">
      <alignment horizontal="center" vertical="center"/>
    </xf>
    <xf numFmtId="0" fontId="28" fillId="6" borderId="29" xfId="0" applyFont="1" applyFill="1" applyBorder="1" applyAlignment="1">
      <alignment horizontal="center" vertical="center"/>
    </xf>
    <xf numFmtId="0" fontId="27" fillId="7" borderId="31" xfId="0" applyFont="1" applyFill="1" applyBorder="1" applyAlignment="1">
      <alignment horizontal="center" vertical="center" wrapText="1"/>
    </xf>
    <xf numFmtId="0" fontId="27" fillId="7" borderId="33" xfId="0" applyFont="1" applyFill="1" applyBorder="1" applyAlignment="1">
      <alignment horizontal="center" vertical="center"/>
    </xf>
    <xf numFmtId="3" fontId="29" fillId="6" borderId="31" xfId="0" applyNumberFormat="1" applyFont="1" applyFill="1" applyBorder="1" applyAlignment="1">
      <alignment horizontal="center" vertical="center"/>
    </xf>
    <xf numFmtId="3" fontId="29" fillId="6" borderId="33" xfId="0" applyNumberFormat="1" applyFont="1" applyFill="1" applyBorder="1" applyAlignment="1">
      <alignment horizontal="center" vertical="center"/>
    </xf>
    <xf numFmtId="3" fontId="29" fillId="6" borderId="32" xfId="0" applyNumberFormat="1" applyFont="1" applyFill="1" applyBorder="1" applyAlignment="1">
      <alignment horizontal="center" vertical="center"/>
    </xf>
    <xf numFmtId="3" fontId="29" fillId="6" borderId="34" xfId="0" applyNumberFormat="1" applyFont="1" applyFill="1" applyBorder="1" applyAlignment="1">
      <alignment horizontal="center" vertical="center"/>
    </xf>
    <xf numFmtId="0" fontId="27" fillId="7" borderId="3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8" fillId="7" borderId="31" xfId="0" applyFont="1" applyFill="1" applyBorder="1" applyAlignment="1">
      <alignment horizontal="center" vertical="center"/>
    </xf>
    <xf numFmtId="0" fontId="8" fillId="7" borderId="33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 wrapText="1"/>
    </xf>
    <xf numFmtId="0" fontId="27" fillId="0" borderId="43" xfId="0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3" fontId="32" fillId="3" borderId="15" xfId="0" applyNumberFormat="1" applyFont="1" applyFill="1" applyBorder="1" applyAlignment="1">
      <alignment horizontal="center" vertical="center"/>
    </xf>
    <xf numFmtId="3" fontId="32" fillId="3" borderId="20" xfId="0" applyNumberFormat="1" applyFont="1" applyFill="1" applyBorder="1" applyAlignment="1">
      <alignment horizontal="center" vertical="center"/>
    </xf>
    <xf numFmtId="0" fontId="32" fillId="0" borderId="50" xfId="0" applyFont="1" applyBorder="1" applyAlignment="1">
      <alignment horizontal="center" vertical="center"/>
    </xf>
    <xf numFmtId="0" fontId="35" fillId="6" borderId="13" xfId="0" applyFont="1" applyFill="1" applyBorder="1" applyAlignment="1">
      <alignment horizontal="center" vertical="center"/>
    </xf>
    <xf numFmtId="0" fontId="35" fillId="6" borderId="18" xfId="0" applyFont="1" applyFill="1" applyBorder="1" applyAlignment="1">
      <alignment horizontal="center" vertical="center"/>
    </xf>
    <xf numFmtId="0" fontId="32" fillId="6" borderId="14" xfId="0" applyFont="1" applyFill="1" applyBorder="1" applyAlignment="1">
      <alignment horizontal="center" vertical="center"/>
    </xf>
    <xf numFmtId="0" fontId="32" fillId="6" borderId="19" xfId="0" applyFont="1" applyFill="1" applyBorder="1" applyAlignment="1">
      <alignment horizontal="center" vertical="center"/>
    </xf>
    <xf numFmtId="3" fontId="32" fillId="3" borderId="14" xfId="0" applyNumberFormat="1" applyFont="1" applyFill="1" applyBorder="1" applyAlignment="1">
      <alignment horizontal="center" vertical="center"/>
    </xf>
    <xf numFmtId="3" fontId="32" fillId="3" borderId="19" xfId="0" applyNumberFormat="1" applyFont="1" applyFill="1" applyBorder="1" applyAlignment="1">
      <alignment horizontal="center" vertical="center"/>
    </xf>
    <xf numFmtId="0" fontId="32" fillId="6" borderId="14" xfId="0" applyFont="1" applyFill="1" applyBorder="1" applyAlignment="1">
      <alignment horizontal="center" vertical="center" wrapText="1"/>
    </xf>
    <xf numFmtId="3" fontId="44" fillId="3" borderId="14" xfId="0" applyNumberFormat="1" applyFont="1" applyFill="1" applyBorder="1" applyAlignment="1">
      <alignment horizontal="center" vertical="center"/>
    </xf>
    <xf numFmtId="3" fontId="44" fillId="3" borderId="1" xfId="0" applyNumberFormat="1" applyFont="1" applyFill="1" applyBorder="1" applyAlignment="1">
      <alignment horizontal="center" vertical="center"/>
    </xf>
    <xf numFmtId="3" fontId="44" fillId="0" borderId="14" xfId="0" applyNumberFormat="1" applyFont="1" applyBorder="1" applyAlignment="1">
      <alignment horizontal="center" vertical="center"/>
    </xf>
    <xf numFmtId="3" fontId="44" fillId="0" borderId="1" xfId="0" applyNumberFormat="1" applyFont="1" applyBorder="1" applyAlignment="1">
      <alignment horizontal="center" vertical="center"/>
    </xf>
    <xf numFmtId="0" fontId="33" fillId="0" borderId="50" xfId="0" applyFont="1" applyBorder="1" applyAlignment="1">
      <alignment horizontal="center" vertical="center" wrapText="1"/>
    </xf>
    <xf numFmtId="0" fontId="33" fillId="0" borderId="50" xfId="0" applyFont="1" applyBorder="1" applyAlignment="1">
      <alignment horizontal="center" vertical="center"/>
    </xf>
    <xf numFmtId="0" fontId="33" fillId="6" borderId="14" xfId="0" applyFont="1" applyFill="1" applyBorder="1" applyAlignment="1">
      <alignment horizontal="center" vertical="center" wrapText="1"/>
    </xf>
    <xf numFmtId="0" fontId="33" fillId="6" borderId="19" xfId="0" applyFont="1" applyFill="1" applyBorder="1" applyAlignment="1">
      <alignment horizontal="center" vertical="center"/>
    </xf>
    <xf numFmtId="3" fontId="44" fillId="0" borderId="15" xfId="0" applyNumberFormat="1" applyFont="1" applyBorder="1" applyAlignment="1">
      <alignment horizontal="center" vertical="center"/>
    </xf>
    <xf numFmtId="3" fontId="44" fillId="0" borderId="17" xfId="0" applyNumberFormat="1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 wrapText="1"/>
    </xf>
    <xf numFmtId="0" fontId="46" fillId="0" borderId="16" xfId="0" applyFont="1" applyBorder="1" applyAlignment="1">
      <alignment horizontal="center" vertical="center"/>
    </xf>
    <xf numFmtId="0" fontId="46" fillId="0" borderId="18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19" xfId="0" applyFont="1" applyBorder="1" applyAlignment="1">
      <alignment horizontal="center" vertical="center" wrapText="1"/>
    </xf>
    <xf numFmtId="3" fontId="47" fillId="3" borderId="1" xfId="0" applyNumberFormat="1" applyFont="1" applyFill="1" applyBorder="1" applyAlignment="1">
      <alignment horizontal="center" vertical="center"/>
    </xf>
    <xf numFmtId="3" fontId="47" fillId="3" borderId="19" xfId="0" applyNumberFormat="1" applyFont="1" applyFill="1" applyBorder="1" applyAlignment="1">
      <alignment horizontal="center" vertical="center"/>
    </xf>
    <xf numFmtId="3" fontId="47" fillId="0" borderId="1" xfId="0" applyNumberFormat="1" applyFont="1" applyBorder="1" applyAlignment="1">
      <alignment horizontal="center" vertical="center"/>
    </xf>
    <xf numFmtId="3" fontId="47" fillId="0" borderId="19" xfId="0" applyNumberFormat="1" applyFont="1" applyBorder="1" applyAlignment="1">
      <alignment horizontal="center" vertical="center"/>
    </xf>
    <xf numFmtId="3" fontId="47" fillId="0" borderId="17" xfId="0" applyNumberFormat="1" applyFont="1" applyBorder="1" applyAlignment="1">
      <alignment horizontal="center" vertical="center"/>
    </xf>
    <xf numFmtId="3" fontId="47" fillId="0" borderId="20" xfId="0" applyNumberFormat="1" applyFont="1" applyBorder="1" applyAlignment="1">
      <alignment horizontal="center" vertical="center"/>
    </xf>
    <xf numFmtId="0" fontId="42" fillId="0" borderId="50" xfId="0" applyFont="1" applyBorder="1" applyAlignment="1">
      <alignment horizontal="center" vertical="center" wrapText="1"/>
    </xf>
    <xf numFmtId="0" fontId="42" fillId="0" borderId="50" xfId="0" applyFont="1" applyBorder="1" applyAlignment="1">
      <alignment horizontal="center" vertical="center"/>
    </xf>
    <xf numFmtId="0" fontId="43" fillId="0" borderId="13" xfId="0" applyFont="1" applyBorder="1" applyAlignment="1">
      <alignment horizontal="center" vertical="center"/>
    </xf>
    <xf numFmtId="0" fontId="43" fillId="0" borderId="16" xfId="0" applyFont="1" applyBorder="1" applyAlignment="1">
      <alignment horizontal="center" vertical="center"/>
    </xf>
    <xf numFmtId="0" fontId="44" fillId="0" borderId="14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/>
    </xf>
    <xf numFmtId="3" fontId="32" fillId="3" borderId="23" xfId="0" applyNumberFormat="1" applyFont="1" applyFill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46" fillId="0" borderId="13" xfId="0" applyFont="1" applyBorder="1" applyAlignment="1">
      <alignment horizontal="center" vertical="center"/>
    </xf>
    <xf numFmtId="0" fontId="47" fillId="0" borderId="14" xfId="0" applyFont="1" applyBorder="1" applyAlignment="1">
      <alignment horizontal="center" vertical="center" wrapText="1"/>
    </xf>
    <xf numFmtId="0" fontId="47" fillId="0" borderId="19" xfId="0" applyFont="1" applyBorder="1" applyAlignment="1">
      <alignment horizontal="center" vertical="center"/>
    </xf>
    <xf numFmtId="3" fontId="47" fillId="0" borderId="14" xfId="0" applyNumberFormat="1" applyFont="1" applyBorder="1" applyAlignment="1">
      <alignment horizontal="center" vertical="center"/>
    </xf>
    <xf numFmtId="0" fontId="35" fillId="6" borderId="21" xfId="0" applyFont="1" applyFill="1" applyBorder="1" applyAlignment="1">
      <alignment horizontal="center" vertical="center"/>
    </xf>
    <xf numFmtId="0" fontId="33" fillId="6" borderId="22" xfId="0" applyFont="1" applyFill="1" applyBorder="1" applyAlignment="1">
      <alignment horizontal="center" vertical="center" wrapText="1"/>
    </xf>
    <xf numFmtId="3" fontId="32" fillId="3" borderId="22" xfId="0" applyNumberFormat="1" applyFont="1" applyFill="1" applyBorder="1" applyAlignment="1">
      <alignment horizontal="center" vertical="center"/>
    </xf>
    <xf numFmtId="3" fontId="58" fillId="0" borderId="75" xfId="0" applyNumberFormat="1" applyFont="1" applyBorder="1" applyAlignment="1">
      <alignment horizontal="center" vertical="center"/>
    </xf>
    <xf numFmtId="0" fontId="54" fillId="17" borderId="75" xfId="0" applyFont="1" applyFill="1" applyBorder="1" applyAlignment="1">
      <alignment horizontal="center" vertical="center" wrapText="1"/>
    </xf>
    <xf numFmtId="0" fontId="54" fillId="17" borderId="75" xfId="0" applyFont="1" applyFill="1" applyBorder="1" applyAlignment="1">
      <alignment horizontal="center" vertical="center"/>
    </xf>
    <xf numFmtId="0" fontId="52" fillId="16" borderId="68" xfId="0" applyFont="1" applyFill="1" applyBorder="1" applyAlignment="1">
      <alignment horizontal="center" vertical="center"/>
    </xf>
    <xf numFmtId="0" fontId="53" fillId="16" borderId="68" xfId="0" applyFont="1" applyFill="1" applyBorder="1" applyAlignment="1">
      <alignment horizontal="center" vertical="center" wrapText="1"/>
    </xf>
    <xf numFmtId="0" fontId="53" fillId="16" borderId="68" xfId="0" applyFont="1" applyFill="1" applyBorder="1" applyAlignment="1">
      <alignment horizontal="center" vertical="center"/>
    </xf>
    <xf numFmtId="3" fontId="55" fillId="20" borderId="75" xfId="0" applyNumberFormat="1" applyFont="1" applyFill="1" applyBorder="1" applyAlignment="1">
      <alignment horizontal="center" vertical="center"/>
    </xf>
    <xf numFmtId="3" fontId="58" fillId="0" borderId="67" xfId="0" applyNumberFormat="1" applyFont="1" applyBorder="1" applyAlignment="1">
      <alignment horizontal="center" vertical="center"/>
    </xf>
    <xf numFmtId="0" fontId="53" fillId="16" borderId="68" xfId="0" applyFont="1" applyFill="1" applyBorder="1" applyAlignment="1">
      <alignment horizontal="left" vertical="center" indent="1"/>
    </xf>
    <xf numFmtId="3" fontId="58" fillId="0" borderId="79" xfId="0" applyNumberFormat="1" applyFont="1" applyBorder="1" applyAlignment="1">
      <alignment horizontal="center" vertical="center"/>
    </xf>
    <xf numFmtId="3" fontId="58" fillId="0" borderId="76" xfId="0" applyNumberFormat="1" applyFont="1" applyBorder="1" applyAlignment="1">
      <alignment horizontal="center" vertical="center"/>
    </xf>
    <xf numFmtId="0" fontId="54" fillId="17" borderId="79" xfId="0" applyFont="1" applyFill="1" applyBorder="1" applyAlignment="1">
      <alignment horizontal="center" vertical="center" wrapText="1"/>
    </xf>
    <xf numFmtId="0" fontId="54" fillId="17" borderId="76" xfId="0" applyFont="1" applyFill="1" applyBorder="1" applyAlignment="1">
      <alignment horizontal="center" vertical="center"/>
    </xf>
    <xf numFmtId="0" fontId="52" fillId="16" borderId="0" xfId="0" applyFont="1" applyFill="1" applyAlignment="1">
      <alignment horizontal="center" vertical="center"/>
    </xf>
    <xf numFmtId="0" fontId="52" fillId="16" borderId="70" xfId="0" applyFont="1" applyFill="1" applyBorder="1" applyAlignment="1">
      <alignment horizontal="center" vertical="center"/>
    </xf>
    <xf numFmtId="0" fontId="53" fillId="16" borderId="0" xfId="0" applyFont="1" applyFill="1" applyAlignment="1">
      <alignment horizontal="center" vertical="center" wrapText="1"/>
    </xf>
    <xf numFmtId="0" fontId="53" fillId="16" borderId="70" xfId="0" applyFont="1" applyFill="1" applyBorder="1" applyAlignment="1">
      <alignment horizontal="center" vertical="center"/>
    </xf>
    <xf numFmtId="3" fontId="55" fillId="20" borderId="79" xfId="0" applyNumberFormat="1" applyFont="1" applyFill="1" applyBorder="1" applyAlignment="1">
      <alignment horizontal="center" vertical="center"/>
    </xf>
    <xf numFmtId="3" fontId="55" fillId="20" borderId="76" xfId="0" applyNumberFormat="1" applyFont="1" applyFill="1" applyBorder="1" applyAlignment="1">
      <alignment horizontal="center" vertical="center"/>
    </xf>
    <xf numFmtId="3" fontId="58" fillId="0" borderId="64" xfId="0" applyNumberFormat="1" applyFont="1" applyBorder="1" applyAlignment="1">
      <alignment horizontal="center" vertical="center"/>
    </xf>
    <xf numFmtId="3" fontId="58" fillId="0" borderId="69" xfId="0" applyNumberFormat="1" applyFont="1" applyBorder="1" applyAlignment="1">
      <alignment horizontal="center" vertical="center"/>
    </xf>
    <xf numFmtId="0" fontId="54" fillId="17" borderId="79" xfId="0" applyFont="1" applyFill="1" applyBorder="1" applyAlignment="1">
      <alignment horizontal="center" vertical="center"/>
    </xf>
    <xf numFmtId="0" fontId="53" fillId="16" borderId="0" xfId="0" applyFont="1" applyFill="1" applyAlignment="1">
      <alignment horizontal="center" vertical="center"/>
    </xf>
    <xf numFmtId="0" fontId="54" fillId="17" borderId="78" xfId="0" applyFont="1" applyFill="1" applyBorder="1" applyAlignment="1">
      <alignment horizontal="center" vertical="center"/>
    </xf>
    <xf numFmtId="0" fontId="52" fillId="16" borderId="72" xfId="0" applyFont="1" applyFill="1" applyBorder="1" applyAlignment="1">
      <alignment horizontal="center" vertical="center"/>
    </xf>
    <xf numFmtId="0" fontId="53" fillId="16" borderId="72" xfId="0" applyFont="1" applyFill="1" applyBorder="1" applyAlignment="1">
      <alignment horizontal="center" vertical="center"/>
    </xf>
    <xf numFmtId="3" fontId="55" fillId="20" borderId="78" xfId="0" applyNumberFormat="1" applyFont="1" applyFill="1" applyBorder="1" applyAlignment="1">
      <alignment horizontal="center" vertical="center"/>
    </xf>
    <xf numFmtId="3" fontId="58" fillId="0" borderId="71" xfId="0" applyNumberFormat="1" applyFont="1" applyBorder="1" applyAlignment="1">
      <alignment horizontal="center" vertical="center"/>
    </xf>
    <xf numFmtId="3" fontId="58" fillId="0" borderId="78" xfId="0" applyNumberFormat="1" applyFont="1" applyBorder="1" applyAlignment="1">
      <alignment horizontal="center" vertical="center"/>
    </xf>
    <xf numFmtId="0" fontId="77" fillId="14" borderId="96" xfId="0" applyFont="1" applyFill="1" applyBorder="1" applyAlignment="1">
      <alignment horizontal="center" vertical="center"/>
    </xf>
    <xf numFmtId="0" fontId="0" fillId="14" borderId="93" xfId="0" applyFill="1" applyBorder="1" applyAlignment="1">
      <alignment vertical="center"/>
    </xf>
    <xf numFmtId="0" fontId="0" fillId="14" borderId="94" xfId="0" applyFill="1" applyBorder="1" applyAlignment="1">
      <alignment vertical="center"/>
    </xf>
    <xf numFmtId="0" fontId="0" fillId="14" borderId="0" xfId="0" applyFill="1" applyAlignment="1">
      <alignment vertical="center"/>
    </xf>
    <xf numFmtId="0" fontId="71" fillId="14" borderId="94" xfId="0" applyFont="1" applyFill="1" applyBorder="1" applyAlignment="1">
      <alignment horizontal="center" vertical="center"/>
    </xf>
    <xf numFmtId="0" fontId="78" fillId="14" borderId="94" xfId="0" applyFont="1" applyFill="1" applyBorder="1" applyAlignment="1">
      <alignment horizontal="center" vertical="center"/>
    </xf>
    <xf numFmtId="0" fontId="83" fillId="14" borderId="94" xfId="0" applyFont="1" applyFill="1" applyBorder="1" applyAlignment="1">
      <alignment horizontal="center" vertical="center"/>
    </xf>
    <xf numFmtId="0" fontId="77" fillId="14" borderId="93" xfId="0" applyFont="1" applyFill="1" applyBorder="1" applyAlignment="1">
      <alignment horizontal="center" vertical="center"/>
    </xf>
    <xf numFmtId="0" fontId="77" fillId="14" borderId="97" xfId="0" applyFont="1" applyFill="1" applyBorder="1" applyAlignment="1">
      <alignment horizontal="center" vertical="center"/>
    </xf>
    <xf numFmtId="0" fontId="0" fillId="14" borderId="95" xfId="0" applyFill="1" applyBorder="1" applyAlignment="1">
      <alignment vertical="center"/>
    </xf>
    <xf numFmtId="3" fontId="70" fillId="10" borderId="81" xfId="0" applyNumberFormat="1" applyFont="1" applyFill="1" applyBorder="1" applyAlignment="1">
      <alignment horizontal="center"/>
    </xf>
    <xf numFmtId="3" fontId="70" fillId="10" borderId="83" xfId="0" applyNumberFormat="1" applyFont="1" applyFill="1" applyBorder="1" applyAlignment="1">
      <alignment horizontal="center"/>
    </xf>
    <xf numFmtId="0" fontId="63" fillId="10" borderId="82" xfId="0" applyFont="1" applyFill="1" applyBorder="1" applyAlignment="1">
      <alignment horizontal="center"/>
    </xf>
    <xf numFmtId="0" fontId="63" fillId="10" borderId="84" xfId="0" applyFont="1" applyFill="1" applyBorder="1" applyAlignment="1">
      <alignment horizontal="center"/>
    </xf>
    <xf numFmtId="0" fontId="62" fillId="10" borderId="111" xfId="0" applyFont="1" applyFill="1" applyBorder="1" applyAlignment="1">
      <alignment horizontal="center"/>
    </xf>
    <xf numFmtId="0" fontId="62" fillId="10" borderId="112" xfId="0" applyFont="1" applyFill="1" applyBorder="1" applyAlignment="1">
      <alignment horizontal="center"/>
    </xf>
    <xf numFmtId="0" fontId="62" fillId="10" borderId="113" xfId="0" applyFont="1" applyFill="1" applyBorder="1" applyAlignment="1">
      <alignment horizontal="center"/>
    </xf>
    <xf numFmtId="0" fontId="62" fillId="10" borderId="114" xfId="0" applyFont="1" applyFill="1" applyBorder="1" applyAlignment="1">
      <alignment horizontal="center"/>
    </xf>
    <xf numFmtId="3" fontId="64" fillId="10" borderId="81" xfId="0" applyNumberFormat="1" applyFont="1" applyFill="1" applyBorder="1" applyAlignment="1">
      <alignment horizontal="center"/>
    </xf>
    <xf numFmtId="3" fontId="64" fillId="10" borderId="83" xfId="0" applyNumberFormat="1" applyFont="1" applyFill="1" applyBorder="1" applyAlignment="1">
      <alignment horizontal="center"/>
    </xf>
    <xf numFmtId="0" fontId="60" fillId="21" borderId="0" xfId="0" applyFont="1" applyFill="1" applyAlignment="1">
      <alignment horizontal="left"/>
    </xf>
    <xf numFmtId="0" fontId="0" fillId="0" borderId="0" xfId="0"/>
    <xf numFmtId="0" fontId="62" fillId="10" borderId="85" xfId="0" applyFont="1" applyFill="1" applyBorder="1" applyAlignment="1">
      <alignment horizontal="center"/>
    </xf>
    <xf numFmtId="0" fontId="62" fillId="10" borderId="86" xfId="0" applyFont="1" applyFill="1" applyBorder="1" applyAlignment="1">
      <alignment horizontal="center"/>
    </xf>
    <xf numFmtId="0" fontId="62" fillId="10" borderId="87" xfId="0" applyFont="1" applyFill="1" applyBorder="1" applyAlignment="1">
      <alignment horizontal="center"/>
    </xf>
    <xf numFmtId="0" fontId="62" fillId="10" borderId="88" xfId="0" applyFont="1" applyFill="1" applyBorder="1" applyAlignment="1">
      <alignment horizontal="center"/>
    </xf>
    <xf numFmtId="0" fontId="62" fillId="10" borderId="89" xfId="0" applyFont="1" applyFill="1" applyBorder="1" applyAlignment="1">
      <alignment horizontal="center"/>
    </xf>
    <xf numFmtId="0" fontId="62" fillId="10" borderId="107" xfId="0" applyFont="1" applyFill="1" applyBorder="1" applyAlignment="1">
      <alignment horizontal="center"/>
    </xf>
    <xf numFmtId="0" fontId="62" fillId="10" borderId="109" xfId="0" applyFont="1" applyFill="1" applyBorder="1" applyAlignment="1">
      <alignment horizontal="center"/>
    </xf>
    <xf numFmtId="0" fontId="62" fillId="10" borderId="110" xfId="0" applyFont="1" applyFill="1" applyBorder="1" applyAlignment="1">
      <alignment horizontal="center"/>
    </xf>
    <xf numFmtId="0" fontId="62" fillId="10" borderId="90" xfId="0" applyFont="1" applyFill="1" applyBorder="1" applyAlignment="1">
      <alignment horizontal="center"/>
    </xf>
    <xf numFmtId="0" fontId="62" fillId="10" borderId="108" xfId="0" applyFont="1" applyFill="1" applyBorder="1" applyAlignment="1">
      <alignment horizontal="center"/>
    </xf>
    <xf numFmtId="0" fontId="56" fillId="17" borderId="91" xfId="0" applyFont="1" applyFill="1" applyBorder="1"/>
    <xf numFmtId="0" fontId="49" fillId="15" borderId="0" xfId="0" applyFont="1" applyFill="1" applyAlignment="1">
      <alignment horizontal="center"/>
    </xf>
    <xf numFmtId="0" fontId="53" fillId="17" borderId="66" xfId="0" applyFont="1" applyFill="1" applyBorder="1"/>
    <xf numFmtId="0" fontId="56" fillId="10" borderId="91" xfId="0" applyFont="1" applyFill="1" applyBorder="1"/>
    <xf numFmtId="0" fontId="88" fillId="15" borderId="0" xfId="0" applyFont="1" applyFill="1"/>
    <xf numFmtId="0" fontId="89" fillId="15" borderId="0" xfId="0" applyFont="1" applyFill="1" applyAlignment="1">
      <alignment horizontal="right"/>
    </xf>
    <xf numFmtId="0" fontId="91" fillId="0" borderId="66" xfId="0" applyFont="1" applyBorder="1" applyAlignment="1">
      <alignment horizontal="center"/>
    </xf>
    <xf numFmtId="3" fontId="60" fillId="0" borderId="0" xfId="0" applyNumberFormat="1" applyFont="1" applyAlignment="1">
      <alignment horizontal="center"/>
    </xf>
    <xf numFmtId="0" fontId="92" fillId="0" borderId="65" xfId="0" applyFont="1" applyBorder="1" applyAlignment="1">
      <alignment horizontal="center"/>
    </xf>
    <xf numFmtId="0" fontId="92" fillId="0" borderId="0" xfId="0" applyFont="1"/>
    <xf numFmtId="0" fontId="53" fillId="17" borderId="63" xfId="0" applyFont="1" applyFill="1" applyBorder="1"/>
    <xf numFmtId="0" fontId="90" fillId="0" borderId="0" xfId="0" applyFont="1"/>
    <xf numFmtId="0" fontId="94" fillId="0" borderId="0" xfId="0" applyFont="1" applyAlignment="1">
      <alignment horizontal="right"/>
    </xf>
    <xf numFmtId="0" fontId="55" fillId="20" borderId="101" xfId="0" applyFont="1" applyFill="1" applyBorder="1"/>
    <xf numFmtId="0" fontId="49" fillId="15" borderId="64" xfId="0" applyFont="1" applyFill="1" applyBorder="1" applyAlignment="1">
      <alignment horizontal="center"/>
    </xf>
    <xf numFmtId="0" fontId="56" fillId="10" borderId="104" xfId="0" applyFont="1" applyFill="1" applyBorder="1"/>
    <xf numFmtId="0" fontId="0" fillId="0" borderId="104" xfId="0" applyBorder="1"/>
    <xf numFmtId="0" fontId="0" fillId="0" borderId="91" xfId="0" applyBorder="1"/>
    <xf numFmtId="0" fontId="55" fillId="20" borderId="100" xfId="0" applyFont="1" applyFill="1" applyBorder="1"/>
  </cellXfs>
  <cellStyles count="3">
    <cellStyle name="Millares [0]" xfId="1" builtinId="6"/>
    <cellStyle name="Normal" xfId="0" builtinId="0"/>
    <cellStyle name="Porcentaje" xfId="2" builtinId="5"/>
  </cellStyles>
  <dxfs count="22">
    <dxf>
      <font>
        <color rgb="FFC8553D"/>
      </font>
    </dxf>
    <dxf>
      <font>
        <color rgb="FF2D6A4F"/>
      </font>
    </dxf>
    <dxf>
      <font>
        <color rgb="FFC8553D"/>
      </font>
    </dxf>
    <dxf>
      <font>
        <color rgb="FF2D6A4F"/>
      </font>
    </dxf>
    <dxf>
      <font>
        <color rgb="FFC8553D"/>
      </font>
    </dxf>
    <dxf>
      <font>
        <color rgb="FF2D6A4F"/>
      </font>
    </dxf>
    <dxf>
      <font>
        <color rgb="FF2D6A4F"/>
      </font>
    </dxf>
    <dxf>
      <font>
        <color rgb="FFC8553D"/>
      </font>
    </dxf>
    <dxf>
      <font>
        <color rgb="FF2D6A4F"/>
      </font>
    </dxf>
    <dxf>
      <font>
        <color rgb="FFC8553D"/>
      </font>
    </dxf>
    <dxf>
      <font>
        <color rgb="FF2D6A4F"/>
      </font>
    </dxf>
    <dxf>
      <font>
        <color rgb="FFC8553D"/>
      </font>
    </dxf>
    <dxf>
      <font>
        <color rgb="FF2D6A4F"/>
      </font>
    </dxf>
    <dxf>
      <font>
        <color rgb="FFC8553D"/>
      </font>
    </dxf>
    <dxf>
      <font>
        <color rgb="FF2D6A4F"/>
      </font>
    </dxf>
    <dxf>
      <font>
        <color rgb="FFC8553D"/>
      </font>
    </dxf>
    <dxf>
      <font>
        <color rgb="FF2D6A4F"/>
      </font>
    </dxf>
    <dxf>
      <font>
        <color rgb="FFC8553D"/>
      </font>
    </dxf>
    <dxf>
      <font>
        <color rgb="FFC8553D"/>
      </font>
    </dxf>
    <dxf>
      <font>
        <color rgb="FF2D6A4F"/>
      </font>
    </dxf>
    <dxf>
      <font>
        <color rgb="FF2D6A4F"/>
      </font>
    </dxf>
    <dxf>
      <font>
        <color rgb="FFC8553D"/>
      </font>
    </dxf>
  </dxfs>
  <tableStyles count="0" defaultTableStyle="TableStyleMedium2" defaultPivotStyle="PivotStyleLight16"/>
  <colors>
    <mruColors>
      <color rgb="FF003A81"/>
      <color rgb="FF7FB3D8"/>
      <color rgb="FF2D5AA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Raleway" pitchFamily="2" charset="0"/>
                <a:ea typeface="+mn-ea"/>
                <a:cs typeface="+mn-cs"/>
              </a:defRPr>
            </a:pPr>
            <a:r>
              <a:rPr lang="es-CL" sz="900" b="1"/>
              <a:t>POM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POM 2025</c:v>
          </c:tx>
          <c:spPr>
            <a:ln w="19050" cap="rnd" cmpd="sng" algn="ctr">
              <a:solidFill>
                <a:srgbClr val="FFC000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solidFill>
                  <a:srgbClr val="FFC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rgbClr val="C00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('KPI´s de negocio REDCO'!$R$2,'KPI´s de negocio REDCO'!$W$2,'KPI´s de negocio REDCO'!$AB$2,'KPI´s de negocio REDCO'!$AH$2,'KPI´s de negocio REDCO'!$AM$2,'KPI´s de negocio REDCO'!$AR$2,'KPI´s de negocio REDCO'!$AX$2,'KPI´s de negocio REDCO'!$BC$2,'KPI´s de negocio REDCO'!$BH$2,'KPI´s de negocio REDCO'!$BM$2)</c:f>
              <c:numCache>
                <c:formatCode>mmm\-yy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('KPI´s de negocio REDCO'!$R$14,'KPI´s de negocio REDCO'!$W$14,'KPI´s de negocio REDCO'!$AB$14,'KPI´s de negocio REDCO'!$AH$14,'KPI´s de negocio REDCO'!$AM$14,'KPI´s de negocio REDCO'!$AR$14,'KPI´s de negocio REDCO'!$AX$14,'KPI´s de negocio REDCO'!$BC$14,'KPI´s de negocio REDCO'!$BH$14,'KPI´s de negocio REDCO'!$BM$14)</c:f>
              <c:numCache>
                <c:formatCode>#,##0</c:formatCode>
                <c:ptCount val="10"/>
                <c:pt idx="0">
                  <c:v>718</c:v>
                </c:pt>
                <c:pt idx="1">
                  <c:v>873</c:v>
                </c:pt>
                <c:pt idx="2">
                  <c:v>811</c:v>
                </c:pt>
                <c:pt idx="3">
                  <c:v>611</c:v>
                </c:pt>
                <c:pt idx="4">
                  <c:v>834</c:v>
                </c:pt>
                <c:pt idx="5">
                  <c:v>910</c:v>
                </c:pt>
                <c:pt idx="6">
                  <c:v>787</c:v>
                </c:pt>
                <c:pt idx="7">
                  <c:v>922</c:v>
                </c:pt>
                <c:pt idx="8">
                  <c:v>795</c:v>
                </c:pt>
                <c:pt idx="9">
                  <c:v>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E1-4C5D-A315-11CC92A427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59189967"/>
        <c:axId val="1959188047"/>
      </c:lineChart>
      <c:dateAx>
        <c:axId val="19591899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959188047"/>
        <c:crosses val="autoZero"/>
        <c:auto val="1"/>
        <c:lblOffset val="100"/>
        <c:baseTimeUnit val="months"/>
      </c:dateAx>
      <c:valAx>
        <c:axId val="1959188047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95918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Raleway" pitchFamily="2" charset="0"/>
                <a:ea typeface="+mn-ea"/>
                <a:cs typeface="+mn-cs"/>
              </a:defRPr>
            </a:pPr>
            <a:r>
              <a:rPr lang="es-CL" sz="900" b="1"/>
              <a:t>EDP</a:t>
            </a:r>
            <a:r>
              <a:rPr lang="es-CL" sz="900" b="1" baseline="0"/>
              <a:t> Facturados</a:t>
            </a:r>
            <a:r>
              <a:rPr lang="es-CL" sz="900" b="1"/>
              <a:t>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Facturado</c:v>
          </c:tx>
          <c:spPr>
            <a:ln w="19050" cap="rnd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solidFill>
                  <a:schemeClr val="bg2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rgbClr val="C00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('KPI´s de negocio REDCO'!$R$2,'KPI´s de negocio REDCO'!$W$2,'KPI´s de negocio REDCO'!$AB$2,'KPI´s de negocio REDCO'!$AH$2,'KPI´s de negocio REDCO'!$AM$2,'KPI´s de negocio REDCO'!$AR$2,'KPI´s de negocio REDCO'!$AX$2,'KPI´s de negocio REDCO'!$BC$2,'KPI´s de negocio REDCO'!$BH$2,'KPI´s de negocio REDCO'!$BM$2)</c:f>
              <c:numCache>
                <c:formatCode>mmm\-yy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('KPI´s de negocio REDCO'!$R$18,'KPI´s de negocio REDCO'!$W$18,'KPI´s de negocio REDCO'!$AB$18,'KPI´s de negocio REDCO'!$AH$18,'KPI´s de negocio REDCO'!$AM$18,'KPI´s de negocio REDCO'!$AR$18,'KPI´s de negocio REDCO'!$AX$18,'KPI´s de negocio REDCO'!$BC$18,'KPI´s de negocio REDCO'!$BH$18,'KPI´s de negocio REDCO'!$BM$18)</c:f>
              <c:numCache>
                <c:formatCode>#,##0</c:formatCode>
                <c:ptCount val="10"/>
                <c:pt idx="0">
                  <c:v>823</c:v>
                </c:pt>
                <c:pt idx="1">
                  <c:v>313</c:v>
                </c:pt>
                <c:pt idx="2">
                  <c:v>798</c:v>
                </c:pt>
                <c:pt idx="3">
                  <c:v>702</c:v>
                </c:pt>
                <c:pt idx="4">
                  <c:v>916</c:v>
                </c:pt>
                <c:pt idx="5">
                  <c:v>782</c:v>
                </c:pt>
                <c:pt idx="6">
                  <c:v>894</c:v>
                </c:pt>
                <c:pt idx="7">
                  <c:v>1334</c:v>
                </c:pt>
                <c:pt idx="8">
                  <c:v>705</c:v>
                </c:pt>
                <c:pt idx="9">
                  <c:v>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C9-4CC7-8C06-F16B14A962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59189967"/>
        <c:axId val="1959188047"/>
      </c:lineChart>
      <c:dateAx>
        <c:axId val="19591899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959188047"/>
        <c:crosses val="autoZero"/>
        <c:auto val="1"/>
        <c:lblOffset val="100"/>
        <c:baseTimeUnit val="months"/>
      </c:dateAx>
      <c:valAx>
        <c:axId val="1959188047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95918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Raleway" pitchFamily="2" charset="0"/>
                <a:ea typeface="+mn-ea"/>
                <a:cs typeface="+mn-cs"/>
              </a:defRPr>
            </a:pPr>
            <a:r>
              <a:rPr lang="es-CL" sz="900" b="1"/>
              <a:t>Ingresos</a:t>
            </a:r>
            <a:r>
              <a:rPr lang="es-CL" sz="900" b="1" baseline="0"/>
              <a:t> EDP</a:t>
            </a:r>
            <a:r>
              <a:rPr lang="es-CL" sz="900" b="1"/>
              <a:t>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Ingresos</c:v>
          </c:tx>
          <c:spPr>
            <a:ln w="19050" cap="rnd" cmpd="sng" algn="ctr">
              <a:solidFill>
                <a:srgbClr val="0070C0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solidFill>
                  <a:srgbClr val="0070C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rgbClr val="C00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('KPI´s de negocio REDCO'!$R$2,'KPI´s de negocio REDCO'!$W$2,'KPI´s de negocio REDCO'!$AB$2,'KPI´s de negocio REDCO'!$AH$2,'KPI´s de negocio REDCO'!$AM$2,'KPI´s de negocio REDCO'!$AR$2,'KPI´s de negocio REDCO'!$AX$2,'KPI´s de negocio REDCO'!$BC$2,'KPI´s de negocio REDCO'!$BH$2,'KPI´s de negocio REDCO'!$BM$2)</c:f>
              <c:numCache>
                <c:formatCode>mmm\-yy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('KPI´s de negocio REDCO'!$R$27,'KPI´s de negocio REDCO'!$W$27,'KPI´s de negocio REDCO'!$AB$27,'KPI´s de negocio REDCO'!$AH$27,'KPI´s de negocio REDCO'!$AM$27,'KPI´s de negocio REDCO'!$AR$27,'KPI´s de negocio REDCO'!$AX$27,'KPI´s de negocio REDCO'!$BC$27,'KPI´s de negocio REDCO'!$BH$27,'KPI´s de negocio REDCO'!$BM$27)</c:f>
              <c:numCache>
                <c:formatCode>#,##0</c:formatCode>
                <c:ptCount val="10"/>
                <c:pt idx="0">
                  <c:v>724</c:v>
                </c:pt>
                <c:pt idx="1">
                  <c:v>932</c:v>
                </c:pt>
                <c:pt idx="2">
                  <c:v>780</c:v>
                </c:pt>
                <c:pt idx="3">
                  <c:v>601</c:v>
                </c:pt>
                <c:pt idx="4">
                  <c:v>628</c:v>
                </c:pt>
                <c:pt idx="5">
                  <c:v>797</c:v>
                </c:pt>
                <c:pt idx="6">
                  <c:v>827</c:v>
                </c:pt>
                <c:pt idx="7">
                  <c:v>949</c:v>
                </c:pt>
                <c:pt idx="8">
                  <c:v>614</c:v>
                </c:pt>
                <c:pt idx="9">
                  <c:v>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75-47A5-87AD-1CDDBB891D1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59189967"/>
        <c:axId val="1959188047"/>
      </c:lineChart>
      <c:dateAx>
        <c:axId val="19591899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959188047"/>
        <c:crosses val="autoZero"/>
        <c:auto val="1"/>
        <c:lblOffset val="100"/>
        <c:baseTimeUnit val="months"/>
      </c:dateAx>
      <c:valAx>
        <c:axId val="1959188047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95918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Raleway" pitchFamily="2" charset="0"/>
                <a:ea typeface="+mn-ea"/>
                <a:cs typeface="+mn-cs"/>
              </a:defRPr>
            </a:pPr>
            <a:r>
              <a:rPr lang="es-CL" sz="900" b="1"/>
              <a:t>EDP</a:t>
            </a:r>
            <a:r>
              <a:rPr lang="es-CL" sz="900" b="1" baseline="0"/>
              <a:t> EMITIDOS</a:t>
            </a:r>
            <a:r>
              <a:rPr lang="es-CL" sz="900" b="1"/>
              <a:t>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EDP EMITIDOS 2025</c:v>
          </c:tx>
          <c:spPr>
            <a:ln w="19050" cap="rnd" cmpd="sng" algn="ctr">
              <a:solidFill>
                <a:srgbClr val="002060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solidFill>
                  <a:srgbClr val="00206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rgbClr val="C00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('KPI´s de negocio REDCO'!$R$2,'KPI´s de negocio REDCO'!$W$2,'KPI´s de negocio REDCO'!$AB$2,'KPI´s de negocio REDCO'!$AH$2,'KPI´s de negocio REDCO'!$AM$2,'KPI´s de negocio REDCO'!$AR$2,'KPI´s de negocio REDCO'!$AX$2,'KPI´s de negocio REDCO'!$BC$2,'KPI´s de negocio REDCO'!$BH$2,'KPI´s de negocio REDCO'!$BM$2)</c:f>
              <c:numCache>
                <c:formatCode>mmm\-yy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('KPI´s de negocio REDCO'!$R$16,'KPI´s de negocio REDCO'!$W$16,'KPI´s de negocio REDCO'!$AB$16,'KPI´s de negocio REDCO'!$AH$16,'KPI´s de negocio REDCO'!$AM$16,'KPI´s de negocio REDCO'!$AR$16,'KPI´s de negocio REDCO'!$AX$16,'KPI´s de negocio REDCO'!$BC$16,'KPI´s de negocio REDCO'!$BH$16,'KPI´s de negocio REDCO'!$BM$16)</c:f>
              <c:numCache>
                <c:formatCode>#,##0</c:formatCode>
                <c:ptCount val="10"/>
                <c:pt idx="0">
                  <c:v>669</c:v>
                </c:pt>
                <c:pt idx="1">
                  <c:v>892</c:v>
                </c:pt>
                <c:pt idx="2">
                  <c:v>694</c:v>
                </c:pt>
                <c:pt idx="3">
                  <c:v>704</c:v>
                </c:pt>
                <c:pt idx="4">
                  <c:v>730</c:v>
                </c:pt>
                <c:pt idx="5">
                  <c:v>1178</c:v>
                </c:pt>
                <c:pt idx="6">
                  <c:v>743</c:v>
                </c:pt>
                <c:pt idx="7">
                  <c:v>785</c:v>
                </c:pt>
                <c:pt idx="8">
                  <c:v>701</c:v>
                </c:pt>
                <c:pt idx="9">
                  <c:v>636.79999999999995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D1-4873-A559-DCD630EC04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59189967"/>
        <c:axId val="1959188047"/>
      </c:lineChart>
      <c:dateAx>
        <c:axId val="19591899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959188047"/>
        <c:crosses val="autoZero"/>
        <c:auto val="1"/>
        <c:lblOffset val="100"/>
        <c:baseTimeUnit val="months"/>
      </c:dateAx>
      <c:valAx>
        <c:axId val="1959188047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95918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'Modulo 2025'!$A$2</c:f>
              <c:strCache>
                <c:ptCount val="1"/>
                <c:pt idx="0">
                  <c:v>Emitido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'Modulo 2025'!$B$1:$G$1</c:f>
              <c:numCache>
                <c:formatCode>mmm\-yy</c:formatCode>
                <c:ptCount val="6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</c:numCache>
            </c:numRef>
          </c:cat>
          <c:val>
            <c:numRef>
              <c:f>'Modulo 2025'!$B$2:$G$2</c:f>
              <c:numCache>
                <c:formatCode>General</c:formatCode>
                <c:ptCount val="6"/>
                <c:pt idx="0">
                  <c:v>527</c:v>
                </c:pt>
                <c:pt idx="1">
                  <c:v>429</c:v>
                </c:pt>
                <c:pt idx="2">
                  <c:v>832</c:v>
                </c:pt>
                <c:pt idx="3">
                  <c:v>667</c:v>
                </c:pt>
                <c:pt idx="4">
                  <c:v>928</c:v>
                </c:pt>
                <c:pt idx="5">
                  <c:v>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E-464A-8AFF-F209808AABBD}"/>
            </c:ext>
          </c:extLst>
        </c:ser>
        <c:ser>
          <c:idx val="1"/>
          <c:order val="1"/>
          <c:tx>
            <c:strRef>
              <c:f>'Modulo 2025'!$A$3</c:f>
              <c:strCache>
                <c:ptCount val="1"/>
                <c:pt idx="0">
                  <c:v>Facturado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'Modulo 2025'!$B$1:$G$1</c:f>
              <c:numCache>
                <c:formatCode>mmm\-yy</c:formatCode>
                <c:ptCount val="6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</c:numCache>
            </c:numRef>
          </c:cat>
          <c:val>
            <c:numRef>
              <c:f>'Modulo 2025'!$B$3:$G$3</c:f>
              <c:numCache>
                <c:formatCode>General</c:formatCode>
                <c:ptCount val="6"/>
                <c:pt idx="0">
                  <c:v>864</c:v>
                </c:pt>
                <c:pt idx="1">
                  <c:v>493</c:v>
                </c:pt>
                <c:pt idx="2">
                  <c:v>521</c:v>
                </c:pt>
                <c:pt idx="3">
                  <c:v>859</c:v>
                </c:pt>
                <c:pt idx="4">
                  <c:v>394</c:v>
                </c:pt>
                <c:pt idx="5">
                  <c:v>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7E-464A-8AFF-F209808AABBD}"/>
            </c:ext>
          </c:extLst>
        </c:ser>
        <c:ser>
          <c:idx val="2"/>
          <c:order val="2"/>
          <c:tx>
            <c:strRef>
              <c:f>'Modulo 2025'!$A$4</c:f>
              <c:strCache>
                <c:ptCount val="1"/>
                <c:pt idx="0">
                  <c:v>Ingresado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'Modulo 2025'!$B$1:$G$1</c:f>
              <c:numCache>
                <c:formatCode>mmm\-yy</c:formatCode>
                <c:ptCount val="6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</c:numCache>
            </c:numRef>
          </c:cat>
          <c:val>
            <c:numRef>
              <c:f>'Modulo 2025'!$B$4:$G$4</c:f>
              <c:numCache>
                <c:formatCode>General</c:formatCode>
                <c:ptCount val="6"/>
                <c:pt idx="0">
                  <c:v>1004</c:v>
                </c:pt>
                <c:pt idx="1">
                  <c:v>616</c:v>
                </c:pt>
                <c:pt idx="2">
                  <c:v>476</c:v>
                </c:pt>
                <c:pt idx="3">
                  <c:v>706</c:v>
                </c:pt>
                <c:pt idx="4">
                  <c:v>887</c:v>
                </c:pt>
                <c:pt idx="5">
                  <c:v>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7E-464A-8AFF-F209808AA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3127983"/>
        <c:axId val="83124143"/>
      </c:barChart>
      <c:dateAx>
        <c:axId val="8312798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124143"/>
        <c:crosses val="autoZero"/>
        <c:auto val="1"/>
        <c:lblOffset val="100"/>
        <c:baseTimeUnit val="months"/>
      </c:dateAx>
      <c:valAx>
        <c:axId val="8312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12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'Modulo 2025'!$A$2</c:f>
              <c:strCache>
                <c:ptCount val="1"/>
                <c:pt idx="0">
                  <c:v>Emitido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'Modulo 2025'!$B$1:$G$1</c:f>
              <c:numCache>
                <c:formatCode>mmm\-yy</c:formatCode>
                <c:ptCount val="6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</c:numCache>
            </c:numRef>
          </c:cat>
          <c:val>
            <c:numRef>
              <c:f>'Modulo 2025'!$B$2:$G$2</c:f>
              <c:numCache>
                <c:formatCode>General</c:formatCode>
                <c:ptCount val="6"/>
                <c:pt idx="0">
                  <c:v>527</c:v>
                </c:pt>
                <c:pt idx="1">
                  <c:v>429</c:v>
                </c:pt>
                <c:pt idx="2">
                  <c:v>832</c:v>
                </c:pt>
                <c:pt idx="3">
                  <c:v>667</c:v>
                </c:pt>
                <c:pt idx="4">
                  <c:v>928</c:v>
                </c:pt>
                <c:pt idx="5">
                  <c:v>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7D-4B3F-8457-10E2B579F912}"/>
            </c:ext>
          </c:extLst>
        </c:ser>
        <c:ser>
          <c:idx val="1"/>
          <c:order val="1"/>
          <c:tx>
            <c:strRef>
              <c:f>'Modulo 2025'!$A$3</c:f>
              <c:strCache>
                <c:ptCount val="1"/>
                <c:pt idx="0">
                  <c:v>Facturado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'Modulo 2025'!$B$1:$G$1</c:f>
              <c:numCache>
                <c:formatCode>mmm\-yy</c:formatCode>
                <c:ptCount val="6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</c:numCache>
            </c:numRef>
          </c:cat>
          <c:val>
            <c:numRef>
              <c:f>'Modulo 2025'!$B$3:$G$3</c:f>
              <c:numCache>
                <c:formatCode>General</c:formatCode>
                <c:ptCount val="6"/>
                <c:pt idx="0">
                  <c:v>864</c:v>
                </c:pt>
                <c:pt idx="1">
                  <c:v>493</c:v>
                </c:pt>
                <c:pt idx="2">
                  <c:v>521</c:v>
                </c:pt>
                <c:pt idx="3">
                  <c:v>859</c:v>
                </c:pt>
                <c:pt idx="4">
                  <c:v>394</c:v>
                </c:pt>
                <c:pt idx="5">
                  <c:v>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7D-4B3F-8457-10E2B579F912}"/>
            </c:ext>
          </c:extLst>
        </c:ser>
        <c:ser>
          <c:idx val="2"/>
          <c:order val="2"/>
          <c:tx>
            <c:strRef>
              <c:f>'Modulo 2025'!$A$4</c:f>
              <c:strCache>
                <c:ptCount val="1"/>
                <c:pt idx="0">
                  <c:v>Ingresado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'Modulo 2025'!$B$1:$G$1</c:f>
              <c:numCache>
                <c:formatCode>mmm\-yy</c:formatCode>
                <c:ptCount val="6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</c:numCache>
            </c:numRef>
          </c:cat>
          <c:val>
            <c:numRef>
              <c:f>'Modulo 2025'!$B$4:$G$4</c:f>
              <c:numCache>
                <c:formatCode>General</c:formatCode>
                <c:ptCount val="6"/>
                <c:pt idx="0">
                  <c:v>1004</c:v>
                </c:pt>
                <c:pt idx="1">
                  <c:v>616</c:v>
                </c:pt>
                <c:pt idx="2">
                  <c:v>476</c:v>
                </c:pt>
                <c:pt idx="3">
                  <c:v>706</c:v>
                </c:pt>
                <c:pt idx="4">
                  <c:v>887</c:v>
                </c:pt>
                <c:pt idx="5">
                  <c:v>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7D-4B3F-8457-10E2B579F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25583"/>
        <c:axId val="83132303"/>
      </c:lineChart>
      <c:dateAx>
        <c:axId val="8312558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132303"/>
        <c:crosses val="autoZero"/>
        <c:auto val="1"/>
        <c:lblOffset val="100"/>
        <c:baseTimeUnit val="months"/>
      </c:dateAx>
      <c:valAx>
        <c:axId val="8313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12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'Modulo 2025'!$E$40</c:f>
              <c:strCache>
                <c:ptCount val="1"/>
                <c:pt idx="0">
                  <c:v>MO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'Modulo 2025'!$E$37</c:f>
              <c:strCache>
                <c:ptCount val="1"/>
                <c:pt idx="0">
                  <c:v>Item</c:v>
                </c:pt>
              </c:strCache>
            </c:strRef>
          </c:cat>
          <c:val>
            <c:numRef>
              <c:f>'Modulo 2025'!$I$40</c:f>
              <c:numCache>
                <c:formatCode>#,##0</c:formatCode>
                <c:ptCount val="1"/>
                <c:pt idx="0">
                  <c:v>420298.38709677424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17-42CC-BA1D-0710746A31C2}"/>
            </c:ext>
          </c:extLst>
        </c:ser>
        <c:ser>
          <c:idx val="1"/>
          <c:order val="1"/>
          <c:tx>
            <c:strRef>
              <c:f>'Modulo 2025'!$E$41</c:f>
              <c:strCache>
                <c:ptCount val="1"/>
                <c:pt idx="0">
                  <c:v>Tercero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'Modulo 2025'!$E$37</c:f>
              <c:strCache>
                <c:ptCount val="1"/>
                <c:pt idx="0">
                  <c:v>Item</c:v>
                </c:pt>
              </c:strCache>
            </c:strRef>
          </c:cat>
          <c:val>
            <c:numRef>
              <c:f>'Modulo 2025'!$I$41</c:f>
              <c:numCache>
                <c:formatCode>#,##0</c:formatCode>
                <c:ptCount val="1"/>
                <c:pt idx="0">
                  <c:v>60042.626728110612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17-42CC-BA1D-0710746A31C2}"/>
            </c:ext>
          </c:extLst>
        </c:ser>
        <c:ser>
          <c:idx val="2"/>
          <c:order val="2"/>
          <c:tx>
            <c:strRef>
              <c:f>'Modulo 2025'!$E$42</c:f>
              <c:strCache>
                <c:ptCount val="1"/>
                <c:pt idx="0">
                  <c:v>Operación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'Modulo 2025'!$E$37</c:f>
              <c:strCache>
                <c:ptCount val="1"/>
                <c:pt idx="0">
                  <c:v>Item</c:v>
                </c:pt>
              </c:strCache>
            </c:strRef>
          </c:cat>
          <c:val>
            <c:numRef>
              <c:f>'Modulo 2025'!$I$42</c:f>
              <c:numCache>
                <c:formatCode>#,##0</c:formatCode>
                <c:ptCount val="1"/>
                <c:pt idx="0">
                  <c:v>78055.4147465438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17-42CC-BA1D-0710746A31C2}"/>
            </c:ext>
          </c:extLst>
        </c:ser>
        <c:ser>
          <c:idx val="3"/>
          <c:order val="3"/>
          <c:tx>
            <c:strRef>
              <c:f>'Modulo 2025'!$E$43</c:f>
              <c:strCache>
                <c:ptCount val="1"/>
                <c:pt idx="0">
                  <c:v>Admin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'Modulo 2025'!$E$37</c:f>
              <c:strCache>
                <c:ptCount val="1"/>
                <c:pt idx="0">
                  <c:v>Item</c:v>
                </c:pt>
              </c:strCache>
            </c:strRef>
          </c:cat>
          <c:val>
            <c:numRef>
              <c:f>'Modulo 2025'!$I$43</c:f>
              <c:numCache>
                <c:formatCode>#,##0</c:formatCode>
                <c:ptCount val="1"/>
                <c:pt idx="0">
                  <c:v>30021.313364055306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17-42CC-BA1D-0710746A31C2}"/>
            </c:ext>
          </c:extLst>
        </c:ser>
        <c:ser>
          <c:idx val="4"/>
          <c:order val="4"/>
          <c:tx>
            <c:strRef>
              <c:f>'Modulo 2025'!$E$44</c:f>
              <c:strCache>
                <c:ptCount val="1"/>
                <c:pt idx="0">
                  <c:v>Otros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'Modulo 2025'!$E$37</c:f>
              <c:strCache>
                <c:ptCount val="1"/>
                <c:pt idx="0">
                  <c:v>Item</c:v>
                </c:pt>
              </c:strCache>
            </c:strRef>
          </c:cat>
          <c:val>
            <c:numRef>
              <c:f>'Modulo 2025'!$I$44</c:f>
              <c:numCache>
                <c:formatCode>#,##0</c:formatCode>
                <c:ptCount val="1"/>
                <c:pt idx="0">
                  <c:v>12008.525345622122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17-42CC-BA1D-0710746A3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0936031"/>
        <c:axId val="1730934591"/>
      </c:barChart>
      <c:catAx>
        <c:axId val="173093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730934591"/>
        <c:crosses val="autoZero"/>
        <c:auto val="1"/>
        <c:lblAlgn val="ctr"/>
        <c:lblOffset val="100"/>
        <c:noMultiLvlLbl val="0"/>
      </c:catAx>
      <c:valAx>
        <c:axId val="173093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730936031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Raleway" pitchFamily="2" charset="0"/>
                <a:ea typeface="+mn-ea"/>
                <a:cs typeface="+mn-cs"/>
              </a:defRPr>
            </a:pPr>
            <a:r>
              <a:rPr lang="es-CL" sz="900" b="1"/>
              <a:t>POM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POM 2025</c:v>
          </c:tx>
          <c:spPr>
            <a:ln w="19050" cap="rnd" cmpd="sng" algn="ctr">
              <a:solidFill>
                <a:srgbClr val="FFC000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solidFill>
                  <a:srgbClr val="FFC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rgbClr val="FFC000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rgbClr val="C00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('KPI´s de negocio 2025'!$R$2,'KPI´s de negocio 2025'!$W$2,'KPI´s de negocio 2025'!$AB$2,'KPI´s de negocio 2025'!$AH$2,'KPI´s de negocio 2025'!$AM$2,'KPI´s de negocio 2025'!$AR$2,'KPI´s de negocio 2025'!$AX$2,'KPI´s de negocio 2025'!$BC$2,'KPI´s de negocio 2025'!$BH$2,'KPI´s de negocio 2025'!$BN$2)</c:f>
              <c:numCache>
                <c:formatCode>mmm\-yy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('KPI´s de negocio 2025'!$R$8,'KPI´s de negocio 2025'!$W$8,'KPI´s de negocio 2025'!$AB$8,'KPI´s de negocio 2025'!$AH$8,'KPI´s de negocio 2025'!$AM$8,'KPI´s de negocio 2025'!$AR$8,'KPI´s de negocio 2025'!$AX$8,'KPI´s de negocio 2025'!$BC$8,'KPI´s de negocio 2025'!$BH$8,'KPI´s de negocio 2025'!$BN$8)</c:f>
              <c:numCache>
                <c:formatCode>#,##0</c:formatCode>
                <c:ptCount val="10"/>
                <c:pt idx="0">
                  <c:v>718</c:v>
                </c:pt>
                <c:pt idx="1">
                  <c:v>873</c:v>
                </c:pt>
                <c:pt idx="2">
                  <c:v>811</c:v>
                </c:pt>
                <c:pt idx="3">
                  <c:v>611</c:v>
                </c:pt>
                <c:pt idx="4">
                  <c:v>834</c:v>
                </c:pt>
                <c:pt idx="5">
                  <c:v>910</c:v>
                </c:pt>
                <c:pt idx="6">
                  <c:v>787</c:v>
                </c:pt>
                <c:pt idx="7">
                  <c:v>922</c:v>
                </c:pt>
                <c:pt idx="8">
                  <c:v>795</c:v>
                </c:pt>
                <c:pt idx="9">
                  <c:v>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E8-4216-9F20-BF3B40EB47E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59189967"/>
        <c:axId val="1959188047"/>
      </c:lineChart>
      <c:dateAx>
        <c:axId val="19591899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959188047"/>
        <c:crosses val="autoZero"/>
        <c:auto val="1"/>
        <c:lblOffset val="100"/>
        <c:baseTimeUnit val="months"/>
      </c:dateAx>
      <c:valAx>
        <c:axId val="1959188047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95918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Raleway" pitchFamily="2" charset="0"/>
                <a:ea typeface="+mn-ea"/>
                <a:cs typeface="+mn-cs"/>
              </a:defRPr>
            </a:pPr>
            <a:r>
              <a:rPr lang="es-CL" sz="900" b="1"/>
              <a:t>EDP</a:t>
            </a:r>
            <a:r>
              <a:rPr lang="es-CL" sz="900" b="1" baseline="0"/>
              <a:t> Facturados</a:t>
            </a:r>
            <a:r>
              <a:rPr lang="es-CL" sz="900" b="1"/>
              <a:t>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Facturado</c:v>
          </c:tx>
          <c:spPr>
            <a:ln w="19050" cap="rnd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solidFill>
                  <a:schemeClr val="bg2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rgbClr val="C00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('KPI´s de negocio 2025'!$R$2,'KPI´s de negocio 2025'!$W$2,'KPI´s de negocio 2025'!$AB$2,'KPI´s de negocio 2025'!$AH$2,'KPI´s de negocio 2025'!$AM$2,'KPI´s de negocio 2025'!$AR$2,'KPI´s de negocio 2025'!$AX$2,'KPI´s de negocio 2025'!$BC$2,'KPI´s de negocio 2025'!$BH$2,'KPI´s de negocio 2025'!$BN$2)</c:f>
              <c:numCache>
                <c:formatCode>mmm\-yy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('KPI´s de negocio 2025'!$R$12,'KPI´s de negocio 2025'!$W$12,'KPI´s de negocio 2025'!$AB$12,'KPI´s de negocio 2025'!$AH$12,'KPI´s de negocio 2025'!$AM$12,'KPI´s de negocio 2025'!$AR$12,'KPI´s de negocio 2025'!$AX$12,'KPI´s de negocio 2025'!$BC$12,'KPI´s de negocio 2025'!$BH$12,'KPI´s de negocio 2025'!$BN$12)</c:f>
              <c:numCache>
                <c:formatCode>#,##0</c:formatCode>
                <c:ptCount val="10"/>
                <c:pt idx="0">
                  <c:v>823</c:v>
                </c:pt>
                <c:pt idx="1">
                  <c:v>313</c:v>
                </c:pt>
                <c:pt idx="2">
                  <c:v>798</c:v>
                </c:pt>
                <c:pt idx="3">
                  <c:v>702</c:v>
                </c:pt>
                <c:pt idx="4">
                  <c:v>916</c:v>
                </c:pt>
                <c:pt idx="5">
                  <c:v>782</c:v>
                </c:pt>
                <c:pt idx="6">
                  <c:v>894</c:v>
                </c:pt>
                <c:pt idx="7">
                  <c:v>1334</c:v>
                </c:pt>
                <c:pt idx="8">
                  <c:v>727</c:v>
                </c:pt>
                <c:pt idx="9">
                  <c:v>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87-404C-8952-60237AF607D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59189967"/>
        <c:axId val="1959188047"/>
      </c:lineChart>
      <c:dateAx>
        <c:axId val="19591899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959188047"/>
        <c:crosses val="autoZero"/>
        <c:auto val="1"/>
        <c:lblOffset val="100"/>
        <c:baseTimeUnit val="months"/>
      </c:dateAx>
      <c:valAx>
        <c:axId val="1959188047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95918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Raleway" pitchFamily="2" charset="0"/>
                <a:ea typeface="+mn-ea"/>
                <a:cs typeface="+mn-cs"/>
              </a:defRPr>
            </a:pPr>
            <a:r>
              <a:rPr lang="es-CL" sz="900" b="1" baseline="0"/>
              <a:t>EDP</a:t>
            </a:r>
            <a:r>
              <a:rPr lang="es-CL" sz="900" b="1"/>
              <a:t>  Pagados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Ingresos</c:v>
          </c:tx>
          <c:spPr>
            <a:ln w="19050" cap="rnd" cmpd="sng" algn="ctr">
              <a:solidFill>
                <a:srgbClr val="0070C0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solidFill>
                  <a:srgbClr val="0070C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rgbClr val="C00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('KPI´s de negocio 2025'!$R$2,'KPI´s de negocio 2025'!$W$2,'KPI´s de negocio 2025'!$AB$2,'KPI´s de negocio 2025'!$AH$2,'KPI´s de negocio 2025'!$AM$2,'KPI´s de negocio 2025'!$AR$2,'KPI´s de negocio 2025'!$AX$2,'KPI´s de negocio 2025'!$BC$2,'KPI´s de negocio 2025'!$BH$2,'KPI´s de negocio 2025'!$BN$2)</c:f>
              <c:numCache>
                <c:formatCode>mmm\-yy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('KPI´s de negocio 2025'!$R$14,'KPI´s de negocio 2025'!$W$14,'KPI´s de negocio 2025'!$AB$14,'KPI´s de negocio 2025'!$AH$14,'KPI´s de negocio 2025'!$AM$14,'KPI´s de negocio 2025'!$AR$14,'KPI´s de negocio 2025'!$AX$14,'KPI´s de negocio 2025'!$BC$14,'KPI´s de negocio 2025'!$BH$14,'KPI´s de negocio 2025'!$BN$14)</c:f>
              <c:numCache>
                <c:formatCode>#,##0</c:formatCode>
                <c:ptCount val="10"/>
                <c:pt idx="0">
                  <c:v>724</c:v>
                </c:pt>
                <c:pt idx="1">
                  <c:v>932</c:v>
                </c:pt>
                <c:pt idx="2">
                  <c:v>780</c:v>
                </c:pt>
                <c:pt idx="3">
                  <c:v>601</c:v>
                </c:pt>
                <c:pt idx="4">
                  <c:v>628</c:v>
                </c:pt>
                <c:pt idx="5">
                  <c:v>797</c:v>
                </c:pt>
                <c:pt idx="6">
                  <c:v>827</c:v>
                </c:pt>
                <c:pt idx="7">
                  <c:v>949</c:v>
                </c:pt>
                <c:pt idx="8">
                  <c:v>614</c:v>
                </c:pt>
                <c:pt idx="9">
                  <c:v>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5F-4BB7-965A-2ED033092A6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59189967"/>
        <c:axId val="1959188047"/>
      </c:lineChart>
      <c:dateAx>
        <c:axId val="19591899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959188047"/>
        <c:crosses val="autoZero"/>
        <c:auto val="1"/>
        <c:lblOffset val="100"/>
        <c:baseTimeUnit val="months"/>
      </c:dateAx>
      <c:valAx>
        <c:axId val="1959188047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95918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Raleway" pitchFamily="2" charset="0"/>
                <a:ea typeface="+mn-ea"/>
                <a:cs typeface="+mn-cs"/>
              </a:defRPr>
            </a:pPr>
            <a:r>
              <a:rPr lang="es-CL" sz="900" b="1"/>
              <a:t>EDP</a:t>
            </a:r>
            <a:r>
              <a:rPr lang="es-CL" sz="900" b="1" baseline="0"/>
              <a:t> EMITIDOS</a:t>
            </a:r>
            <a:r>
              <a:rPr lang="es-CL" sz="900" b="1"/>
              <a:t>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EDP EMITIDOS 2025</c:v>
          </c:tx>
          <c:spPr>
            <a:ln w="19050" cap="rnd" cmpd="sng" algn="ctr">
              <a:solidFill>
                <a:srgbClr val="002060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solidFill>
                  <a:srgbClr val="00206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rgbClr val="002060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rgbClr val="C00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('KPI´s de negocio 2025'!$R$2,'KPI´s de negocio 2025'!$W$2,'KPI´s de negocio 2025'!$AB$2,'KPI´s de negocio 2025'!$AH$2,'KPI´s de negocio 2025'!$AM$2,'KPI´s de negocio 2025'!$AR$2,'KPI´s de negocio 2025'!$AX$2,'KPI´s de negocio 2025'!$BC$2,'KPI´s de negocio 2025'!$BH$2,'KPI´s de negocio 2025'!$BN$2)</c:f>
              <c:numCache>
                <c:formatCode>mmm\-yy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('KPI´s de negocio 2025'!$R$10,'KPI´s de negocio 2025'!$W$10,'KPI´s de negocio 2025'!$AB$10,'KPI´s de negocio 2025'!$AH$10,'KPI´s de negocio 2025'!$AM$10,'KPI´s de negocio 2025'!$AR$10,'KPI´s de negocio 2025'!$AX$10,'KPI´s de negocio 2025'!$BC$10,'KPI´s de negocio 2025'!$BH$10,'KPI´s de negocio 2025'!$BN$10)</c:f>
              <c:numCache>
                <c:formatCode>#,##0</c:formatCode>
                <c:ptCount val="10"/>
                <c:pt idx="0">
                  <c:v>669</c:v>
                </c:pt>
                <c:pt idx="1">
                  <c:v>892</c:v>
                </c:pt>
                <c:pt idx="2">
                  <c:v>694</c:v>
                </c:pt>
                <c:pt idx="3">
                  <c:v>704</c:v>
                </c:pt>
                <c:pt idx="4">
                  <c:v>730</c:v>
                </c:pt>
                <c:pt idx="5">
                  <c:v>1178</c:v>
                </c:pt>
                <c:pt idx="6">
                  <c:v>743</c:v>
                </c:pt>
                <c:pt idx="7">
                  <c:v>785</c:v>
                </c:pt>
                <c:pt idx="8">
                  <c:v>678.59100000000001</c:v>
                </c:pt>
                <c:pt idx="9">
                  <c:v>862.8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EC-40BD-A39B-CAB9333D1C9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59189967"/>
        <c:axId val="1959188047"/>
      </c:lineChart>
      <c:dateAx>
        <c:axId val="19591899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959188047"/>
        <c:crosses val="autoZero"/>
        <c:auto val="1"/>
        <c:lblOffset val="100"/>
        <c:baseTimeUnit val="months"/>
      </c:dateAx>
      <c:valAx>
        <c:axId val="1959188047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95918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sz="1050"/>
              <a:t>Monto</a:t>
            </a:r>
            <a:r>
              <a:rPr lang="es-CL" sz="1050" baseline="0"/>
              <a:t> de ingeniería ya ejecutada 2025</a:t>
            </a:r>
            <a:r>
              <a:rPr lang="es-CL" sz="1050"/>
              <a:t> </a:t>
            </a:r>
          </a:p>
        </c:rich>
      </c:tx>
      <c:layout>
        <c:manualLayout>
          <c:xMode val="edge"/>
          <c:yMode val="edge"/>
          <c:x val="2.232850577274844E-2"/>
          <c:y val="2.77585010409437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'KPI´s de negocio 2025'!$CG$3</c:f>
              <c:strCache>
                <c:ptCount val="1"/>
                <c:pt idx="0">
                  <c:v>Ingreso Operacional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Ejecutado</c:v>
              </c:pt>
            </c:strLit>
          </c:cat>
          <c:val>
            <c:numRef>
              <c:f>'KPI´s de negocio 2025'!$CH$3</c:f>
              <c:numCache>
                <c:formatCode>#,##0</c:formatCode>
                <c:ptCount val="1"/>
                <c:pt idx="0">
                  <c:v>9025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1-4334-8FFD-B8FE792A654F}"/>
            </c:ext>
          </c:extLst>
        </c:ser>
        <c:ser>
          <c:idx val="1"/>
          <c:order val="1"/>
          <c:tx>
            <c:strRef>
              <c:f>'KPI´s de negocio 2025'!$CG$4</c:f>
              <c:strCache>
                <c:ptCount val="1"/>
                <c:pt idx="0">
                  <c:v>Facturas por cobrar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Ejecutado</c:v>
              </c:pt>
            </c:strLit>
          </c:cat>
          <c:val>
            <c:numRef>
              <c:f>'KPI´s de negocio 2025'!$CH$4</c:f>
              <c:numCache>
                <c:formatCode>#,##0</c:formatCode>
                <c:ptCount val="1"/>
                <c:pt idx="0">
                  <c:v>1462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61-4334-8FFD-B8FE792A654F}"/>
            </c:ext>
          </c:extLst>
        </c:ser>
        <c:ser>
          <c:idx val="2"/>
          <c:order val="2"/>
          <c:tx>
            <c:strRef>
              <c:f>'KPI´s de negocio 2025'!$CG$5</c:f>
              <c:strCache>
                <c:ptCount val="1"/>
                <c:pt idx="0">
                  <c:v>EDP por facturar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Ejecutado</c:v>
              </c:pt>
            </c:strLit>
          </c:cat>
          <c:val>
            <c:numRef>
              <c:f>'KPI´s de negocio 2025'!$CH$5</c:f>
              <c:numCache>
                <c:formatCode>#,##0</c:formatCode>
                <c:ptCount val="1"/>
                <c:pt idx="0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61-4334-8FFD-B8FE792A6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165769056"/>
        <c:axId val="1165772416"/>
      </c:barChart>
      <c:catAx>
        <c:axId val="116576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165772416"/>
        <c:crosses val="autoZero"/>
        <c:auto val="1"/>
        <c:lblAlgn val="ctr"/>
        <c:lblOffset val="100"/>
        <c:noMultiLvlLbl val="0"/>
      </c:catAx>
      <c:valAx>
        <c:axId val="11657724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r>
                  <a:rPr lang="es-CL"/>
                  <a:t>kUS$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Raleway" pitchFamily="2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1657690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sz="1050"/>
              <a:t>Distribución de montos de ingeniería</a:t>
            </a:r>
            <a:r>
              <a:rPr lang="es-CL" sz="1050" baseline="0"/>
              <a:t> ya ejecutada 2025</a:t>
            </a:r>
            <a:endParaRPr lang="es-CL" sz="1050"/>
          </a:p>
        </c:rich>
      </c:tx>
      <c:layout>
        <c:manualLayout>
          <c:xMode val="edge"/>
          <c:yMode val="edge"/>
          <c:x val="2.1466168164684777E-2"/>
          <c:y val="2.77585010409437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51-4C51-9834-7AF05ACEE8B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451-4C51-9834-7AF05ACEE8B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451-4C51-9834-7AF05ACEE8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'KPI´s de negocio 2025'!$CG$3:$CG$5</c:f>
              <c:strCache>
                <c:ptCount val="3"/>
                <c:pt idx="0">
                  <c:v>Ingreso Operacional</c:v>
                </c:pt>
                <c:pt idx="1">
                  <c:v>Facturas por cobrar</c:v>
                </c:pt>
                <c:pt idx="2">
                  <c:v>EDP por facturar</c:v>
                </c:pt>
              </c:strCache>
            </c:strRef>
          </c:cat>
          <c:val>
            <c:numRef>
              <c:f>'KPI´s de negocio 2025'!$CH$3:$CH$5</c:f>
              <c:numCache>
                <c:formatCode>#,##0</c:formatCode>
                <c:ptCount val="3"/>
                <c:pt idx="0">
                  <c:v>9025</c:v>
                </c:pt>
                <c:pt idx="1">
                  <c:v>1462</c:v>
                </c:pt>
                <c:pt idx="2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3-4812-B9D4-7E2A1E2DA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B2A4A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Propuestas Adjudicadas (kUS$)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B2A4A"/>
              </a:solidFill>
              <a:latin typeface="Segoe UI"/>
              <a:ea typeface="Segoe UI"/>
              <a:cs typeface="Segoe UI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Comparativo'!$C$107</c:f>
              <c:strCache>
                <c:ptCount val="1"/>
                <c:pt idx="0">
                  <c:v>Adj. 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'Análisis Comparativo'!$B$108:$B$112</c:f>
              <c:strCache>
                <c:ptCount val="5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'Análisis Comparativo'!$C$108:$C$112</c:f>
              <c:numCache>
                <c:formatCode>General</c:formatCode>
                <c:ptCount val="5"/>
                <c:pt idx="0">
                  <c:v>1056</c:v>
                </c:pt>
                <c:pt idx="1">
                  <c:v>1246</c:v>
                </c:pt>
                <c:pt idx="2">
                  <c:v>736</c:v>
                </c:pt>
                <c:pt idx="3">
                  <c:v>1014</c:v>
                </c:pt>
                <c:pt idx="4">
                  <c:v>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40-417B-B25D-CF92193F415A}"/>
            </c:ext>
          </c:extLst>
        </c:ser>
        <c:ser>
          <c:idx val="1"/>
          <c:order val="1"/>
          <c:tx>
            <c:strRef>
              <c:f>'Análisis Comparativo'!$D$107</c:f>
              <c:strCache>
                <c:ptCount val="1"/>
                <c:pt idx="0">
                  <c:v>Adj. 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'Análisis Comparativo'!$B$108:$B$112</c:f>
              <c:strCache>
                <c:ptCount val="5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'Análisis Comparativo'!$D$108:$D$112</c:f>
              <c:numCache>
                <c:formatCode>General</c:formatCode>
                <c:ptCount val="5"/>
                <c:pt idx="0">
                  <c:v>804</c:v>
                </c:pt>
                <c:pt idx="1">
                  <c:v>371</c:v>
                </c:pt>
                <c:pt idx="2">
                  <c:v>1406</c:v>
                </c:pt>
                <c:pt idx="3">
                  <c:v>1060</c:v>
                </c:pt>
                <c:pt idx="4" formatCode="0">
                  <c:v>409.92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40-417B-B25D-CF92193F4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7921408"/>
        <c:axId val="597911808"/>
      </c:barChart>
      <c:catAx>
        <c:axId val="59792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E4E7EB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B8D"/>
                </a:solidFill>
                <a:latin typeface="Segoe UI"/>
                <a:ea typeface="Segoe UI"/>
                <a:cs typeface="Segoe UI"/>
              </a:defRPr>
            </a:pPr>
            <a:endParaRPr lang="es-CL"/>
          </a:p>
        </c:txPr>
        <c:crossAx val="597911808"/>
        <c:crosses val="autoZero"/>
        <c:auto val="1"/>
        <c:lblAlgn val="ctr"/>
        <c:lblOffset val="100"/>
        <c:noMultiLvlLbl val="0"/>
      </c:catAx>
      <c:valAx>
        <c:axId val="597911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FFFFFF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9AABB8"/>
                </a:solidFill>
                <a:latin typeface="Segoe UI"/>
                <a:ea typeface="Segoe UI"/>
                <a:cs typeface="Segoe UI"/>
              </a:defRPr>
            </a:pPr>
            <a:endParaRPr lang="es-CL"/>
          </a:p>
        </c:txPr>
        <c:crossAx val="59792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B7B8D"/>
              </a:solidFill>
              <a:latin typeface="Segoe UI"/>
              <a:ea typeface="Segoe UI"/>
              <a:cs typeface="Segoe UI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B2A4A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Gasto Operacional (kUS$)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B2A4A"/>
              </a:solidFill>
              <a:latin typeface="Segoe UI"/>
              <a:ea typeface="Segoe UI"/>
              <a:cs typeface="Segoe UI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Comparativo'!$O$107</c:f>
              <c:strCache>
                <c:ptCount val="1"/>
                <c:pt idx="0">
                  <c:v>Gasto Op. 25</c:v>
                </c:pt>
              </c:strCache>
            </c:strRef>
          </c:tx>
          <c:spPr>
            <a:solidFill>
              <a:srgbClr val="C8553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'Análisis Comparativo'!$N$108:$N$112</c:f>
              <c:strCache>
                <c:ptCount val="5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'Análisis Comparativo'!$O$108:$O$112</c:f>
              <c:numCache>
                <c:formatCode>General</c:formatCode>
                <c:ptCount val="5"/>
                <c:pt idx="0">
                  <c:v>477</c:v>
                </c:pt>
                <c:pt idx="1">
                  <c:v>500</c:v>
                </c:pt>
                <c:pt idx="2">
                  <c:v>536</c:v>
                </c:pt>
                <c:pt idx="3">
                  <c:v>518</c:v>
                </c:pt>
                <c:pt idx="4">
                  <c:v>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3-4A80-93F0-E9945B10585A}"/>
            </c:ext>
          </c:extLst>
        </c:ser>
        <c:ser>
          <c:idx val="1"/>
          <c:order val="1"/>
          <c:tx>
            <c:strRef>
              <c:f>'Análisis Comparativo'!$P$107</c:f>
              <c:strCache>
                <c:ptCount val="1"/>
                <c:pt idx="0">
                  <c:v>Gasto Op. 26</c:v>
                </c:pt>
              </c:strCache>
            </c:strRef>
          </c:tx>
          <c:spPr>
            <a:solidFill>
              <a:srgbClr val="E8A87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'Análisis Comparativo'!$N$108:$N$112</c:f>
              <c:strCache>
                <c:ptCount val="5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'Análisis Comparativo'!$P$108:$P$112</c:f>
              <c:numCache>
                <c:formatCode>General</c:formatCode>
                <c:ptCount val="5"/>
                <c:pt idx="0">
                  <c:v>715</c:v>
                </c:pt>
                <c:pt idx="1">
                  <c:v>565</c:v>
                </c:pt>
                <c:pt idx="2">
                  <c:v>546</c:v>
                </c:pt>
                <c:pt idx="3">
                  <c:v>585</c:v>
                </c:pt>
                <c:pt idx="4">
                  <c:v>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63-4A80-93F0-E9945B105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2245936"/>
        <c:axId val="1812249296"/>
      </c:barChart>
      <c:catAx>
        <c:axId val="181224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E4E7EB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B8D"/>
                </a:solidFill>
                <a:latin typeface="Segoe UI"/>
                <a:ea typeface="Segoe UI"/>
                <a:cs typeface="Segoe UI"/>
              </a:defRPr>
            </a:pPr>
            <a:endParaRPr lang="es-CL"/>
          </a:p>
        </c:txPr>
        <c:crossAx val="1812249296"/>
        <c:crosses val="autoZero"/>
        <c:auto val="1"/>
        <c:lblAlgn val="ctr"/>
        <c:lblOffset val="100"/>
        <c:noMultiLvlLbl val="0"/>
      </c:catAx>
      <c:valAx>
        <c:axId val="1812249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FFFFFF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9AABB8"/>
                </a:solidFill>
                <a:latin typeface="Segoe UI"/>
                <a:ea typeface="Segoe UI"/>
                <a:cs typeface="Segoe UI"/>
              </a:defRPr>
            </a:pPr>
            <a:endParaRPr lang="es-CL"/>
          </a:p>
        </c:txPr>
        <c:crossAx val="181224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B7B8D"/>
              </a:solidFill>
              <a:latin typeface="Segoe UI"/>
              <a:ea typeface="Segoe UI"/>
              <a:cs typeface="Segoe UI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B2A4A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Ingreso Operacional (kUS$)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B2A4A"/>
              </a:solidFill>
              <a:latin typeface="Segoe UI"/>
              <a:ea typeface="Segoe UI"/>
              <a:cs typeface="Segoe UI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Comparativo'!$K$107</c:f>
              <c:strCache>
                <c:ptCount val="1"/>
                <c:pt idx="0">
                  <c:v>Ing. Op. 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'Análisis Comparativo'!$J$108:$J$112</c:f>
              <c:strCache>
                <c:ptCount val="5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'Análisis Comparativo'!$K$108:$K$112</c:f>
              <c:numCache>
                <c:formatCode>General</c:formatCode>
                <c:ptCount val="5"/>
                <c:pt idx="0">
                  <c:v>724</c:v>
                </c:pt>
                <c:pt idx="1">
                  <c:v>932</c:v>
                </c:pt>
                <c:pt idx="2">
                  <c:v>780</c:v>
                </c:pt>
                <c:pt idx="3">
                  <c:v>601</c:v>
                </c:pt>
                <c:pt idx="4">
                  <c:v>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0-4879-AE40-13FE8CA88072}"/>
            </c:ext>
          </c:extLst>
        </c:ser>
        <c:ser>
          <c:idx val="1"/>
          <c:order val="1"/>
          <c:tx>
            <c:strRef>
              <c:f>'Análisis Comparativo'!$L$107</c:f>
              <c:strCache>
                <c:ptCount val="1"/>
                <c:pt idx="0">
                  <c:v>Ing. Op. 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'Análisis Comparativo'!$J$108:$J$112</c:f>
              <c:strCache>
                <c:ptCount val="5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'Análisis Comparativo'!$L$108:$L$112</c:f>
              <c:numCache>
                <c:formatCode>General</c:formatCode>
                <c:ptCount val="5"/>
                <c:pt idx="0">
                  <c:v>1645</c:v>
                </c:pt>
                <c:pt idx="1">
                  <c:v>239</c:v>
                </c:pt>
                <c:pt idx="2">
                  <c:v>422</c:v>
                </c:pt>
                <c:pt idx="3">
                  <c:v>472</c:v>
                </c:pt>
                <c:pt idx="4">
                  <c:v>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E0-4879-AE40-13FE8CA88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3432528"/>
        <c:axId val="573430128"/>
      </c:barChart>
      <c:catAx>
        <c:axId val="57343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E4E7EB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B8D"/>
                </a:solidFill>
                <a:latin typeface="Segoe UI"/>
                <a:ea typeface="Segoe UI"/>
                <a:cs typeface="Segoe UI"/>
              </a:defRPr>
            </a:pPr>
            <a:endParaRPr lang="es-CL"/>
          </a:p>
        </c:txPr>
        <c:crossAx val="573430128"/>
        <c:crosses val="autoZero"/>
        <c:auto val="1"/>
        <c:lblAlgn val="ctr"/>
        <c:lblOffset val="100"/>
        <c:noMultiLvlLbl val="0"/>
      </c:catAx>
      <c:valAx>
        <c:axId val="573430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FFFFFF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9AABB8"/>
                </a:solidFill>
                <a:latin typeface="Segoe UI"/>
                <a:ea typeface="Segoe UI"/>
                <a:cs typeface="Segoe UI"/>
              </a:defRPr>
            </a:pPr>
            <a:endParaRPr lang="es-CL"/>
          </a:p>
        </c:txPr>
        <c:crossAx val="57343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B7B8D"/>
              </a:solidFill>
              <a:latin typeface="Segoe UI"/>
              <a:ea typeface="Segoe UI"/>
              <a:cs typeface="Segoe UI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B2A4A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Cumplimiento POM vs EDP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B2A4A"/>
              </a:solidFill>
              <a:latin typeface="Segoe UI"/>
              <a:ea typeface="Segoe UI"/>
              <a:cs typeface="Segoe UI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'Análisis Comparativo'!$G$107</c:f>
              <c:strCache>
                <c:ptCount val="1"/>
                <c:pt idx="0">
                  <c:v>Cumpl. 25</c:v>
                </c:pt>
              </c:strCache>
            </c:strRef>
          </c:tx>
          <c:spPr>
            <a:ln w="28575" cap="rnd">
              <a:solidFill>
                <a:srgbClr val="1B2A4A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1B2A4A"/>
              </a:solidFill>
              <a:ln w="9525">
                <a:solidFill>
                  <a:srgbClr val="1B2A4A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'Análisis Comparativo'!$F$108:$F$112</c:f>
              <c:strCache>
                <c:ptCount val="5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'Análisis Comparativo'!$G$108:$G$112</c:f>
              <c:numCache>
                <c:formatCode>0%</c:formatCode>
                <c:ptCount val="5"/>
                <c:pt idx="0">
                  <c:v>0.93175487465181062</c:v>
                </c:pt>
                <c:pt idx="1">
                  <c:v>1.0217640320733103</c:v>
                </c:pt>
                <c:pt idx="2">
                  <c:v>0.8557336621454994</c:v>
                </c:pt>
                <c:pt idx="3">
                  <c:v>1.1522094926350246</c:v>
                </c:pt>
                <c:pt idx="4">
                  <c:v>0.87529976019184652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BA-4B7C-BBC7-E38E9F9600FD}"/>
            </c:ext>
          </c:extLst>
        </c:ser>
        <c:ser>
          <c:idx val="1"/>
          <c:order val="1"/>
          <c:tx>
            <c:strRef>
              <c:f>'Análisis Comparativo'!$H$107</c:f>
              <c:strCache>
                <c:ptCount val="1"/>
                <c:pt idx="0">
                  <c:v>Cumpl. 26</c:v>
                </c:pt>
              </c:strCache>
            </c:strRef>
          </c:tx>
          <c:spPr>
            <a:ln w="28575" cap="rnd">
              <a:solidFill>
                <a:srgbClr val="6B9AC4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6B9AC4"/>
              </a:solidFill>
              <a:ln w="9525">
                <a:solidFill>
                  <a:srgbClr val="6B9AC4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'Análisis Comparativo'!$F$108:$F$112</c:f>
              <c:strCache>
                <c:ptCount val="5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'Análisis Comparativo'!$H$108:$H$112</c:f>
              <c:numCache>
                <c:formatCode>0%</c:formatCode>
                <c:ptCount val="5"/>
                <c:pt idx="0">
                  <c:v>0.56244166196681478</c:v>
                </c:pt>
                <c:pt idx="1">
                  <c:v>0.77854983176845383</c:v>
                </c:pt>
                <c:pt idx="2">
                  <c:v>1.7234966358671433</c:v>
                </c:pt>
                <c:pt idx="3">
                  <c:v>0.97252747252747251</c:v>
                </c:pt>
                <c:pt idx="4">
                  <c:v>0.79914529914529919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BA-4B7C-BBC7-E38E9F960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438288"/>
        <c:axId val="573440688"/>
      </c:lineChart>
      <c:catAx>
        <c:axId val="57343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E4E7EB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B8D"/>
                </a:solidFill>
                <a:latin typeface="Segoe UI"/>
                <a:ea typeface="Segoe UI"/>
                <a:cs typeface="Segoe UI"/>
              </a:defRPr>
            </a:pPr>
            <a:endParaRPr lang="es-CL"/>
          </a:p>
        </c:txPr>
        <c:crossAx val="573440688"/>
        <c:crosses val="autoZero"/>
        <c:auto val="1"/>
        <c:lblAlgn val="ctr"/>
        <c:lblOffset val="100"/>
        <c:noMultiLvlLbl val="0"/>
      </c:catAx>
      <c:valAx>
        <c:axId val="57344068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solidFill>
              <a:srgbClr val="FFFFFF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9AABB8"/>
                </a:solidFill>
                <a:latin typeface="Segoe UI"/>
                <a:ea typeface="Segoe UI"/>
                <a:cs typeface="Segoe UI"/>
              </a:defRPr>
            </a:pPr>
            <a:endParaRPr lang="es-CL"/>
          </a:p>
        </c:txPr>
        <c:crossAx val="57343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B7B8D"/>
              </a:solidFill>
              <a:latin typeface="Segoe UI"/>
              <a:ea typeface="Segoe UI"/>
              <a:cs typeface="Segoe UI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B2A4A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Comparativo Mensual: POM vs EDP (#)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B2A4A"/>
              </a:solidFill>
              <a:latin typeface="Segoe UI"/>
              <a:ea typeface="Segoe UI"/>
              <a:cs typeface="Segoe UI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2026'!$C$54</c:f>
              <c:strCache>
                <c:ptCount val="1"/>
                <c:pt idx="0">
                  <c:v>POM (#)</c:v>
                </c:pt>
              </c:strCache>
            </c:strRef>
          </c:tx>
          <c:spPr>
            <a:ln w="28575" cap="rnd">
              <a:solidFill>
                <a:srgbClr val="1B2A4A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1B2A4A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B2A4A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2026'!$B$55:$B$58</c:f>
              <c:strCache>
                <c:ptCount val="4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'Dashboard 2026'!$C$55:$C$58</c:f>
              <c:numCache>
                <c:formatCode>General</c:formatCode>
                <c:ptCount val="4"/>
                <c:pt idx="0">
                  <c:v>16</c:v>
                </c:pt>
                <c:pt idx="1">
                  <c:v>15</c:v>
                </c:pt>
                <c:pt idx="2">
                  <c:v>19</c:v>
                </c:pt>
                <c:pt idx="3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05-4031-817F-4ED8B8DEFD45}"/>
            </c:ext>
          </c:extLst>
        </c:ser>
        <c:ser>
          <c:idx val="1"/>
          <c:order val="1"/>
          <c:tx>
            <c:strRef>
              <c:f>'Dashboard 2026'!$D$54</c:f>
              <c:strCache>
                <c:ptCount val="1"/>
                <c:pt idx="0">
                  <c:v>EDP Emitidos (#)</c:v>
                </c:pt>
              </c:strCache>
            </c:strRef>
          </c:tx>
          <c:spPr>
            <a:ln w="28575" cap="rnd">
              <a:solidFill>
                <a:srgbClr val="6B4C9A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6B4C9A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6B4C9A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2026'!$B$55:$B$58</c:f>
              <c:strCache>
                <c:ptCount val="4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'Dashboard 2026'!$D$55:$D$58</c:f>
              <c:numCache>
                <c:formatCode>General</c:formatCode>
                <c:ptCount val="4"/>
                <c:pt idx="0">
                  <c:v>10</c:v>
                </c:pt>
                <c:pt idx="1">
                  <c:v>17</c:v>
                </c:pt>
                <c:pt idx="2">
                  <c:v>20</c:v>
                </c:pt>
                <c:pt idx="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05-4031-817F-4ED8B8DEFD45}"/>
            </c:ext>
          </c:extLst>
        </c:ser>
        <c:ser>
          <c:idx val="2"/>
          <c:order val="2"/>
          <c:tx>
            <c:strRef>
              <c:f>'Dashboard 2026'!$E$54</c:f>
              <c:strCache>
                <c:ptCount val="1"/>
                <c:pt idx="0">
                  <c:v>EDP Facturados (#)</c:v>
                </c:pt>
              </c:strCache>
            </c:strRef>
          </c:tx>
          <c:spPr>
            <a:ln w="28575" cap="rnd">
              <a:solidFill>
                <a:srgbClr val="E8683F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E8683F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E8683F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2026'!$B$55:$B$58</c:f>
              <c:strCache>
                <c:ptCount val="4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'Dashboard 2026'!$E$55:$E$58</c:f>
              <c:numCache>
                <c:formatCode>General</c:formatCode>
                <c:ptCount val="4"/>
                <c:pt idx="0">
                  <c:v>12</c:v>
                </c:pt>
                <c:pt idx="1">
                  <c:v>12</c:v>
                </c:pt>
                <c:pt idx="2">
                  <c:v>16</c:v>
                </c:pt>
                <c:pt idx="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05-4031-817F-4ED8B8DEFD45}"/>
            </c:ext>
          </c:extLst>
        </c:ser>
        <c:ser>
          <c:idx val="3"/>
          <c:order val="3"/>
          <c:tx>
            <c:strRef>
              <c:f>'Dashboard 2026'!$F$54</c:f>
              <c:strCache>
                <c:ptCount val="1"/>
                <c:pt idx="0">
                  <c:v>EDP Pagados (#)</c:v>
                </c:pt>
              </c:strCache>
            </c:strRef>
          </c:tx>
          <c:spPr>
            <a:ln w="28575" cap="rnd">
              <a:solidFill>
                <a:srgbClr val="2D5AA0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2D5AA0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D5AA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2026'!$B$55:$B$58</c:f>
              <c:strCache>
                <c:ptCount val="4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'Dashboard 2026'!$F$55:$F$58</c:f>
              <c:numCache>
                <c:formatCode>General</c:formatCode>
                <c:ptCount val="4"/>
                <c:pt idx="0">
                  <c:v>27</c:v>
                </c:pt>
                <c:pt idx="1">
                  <c:v>10</c:v>
                </c:pt>
                <c:pt idx="2">
                  <c:v>15</c:v>
                </c:pt>
                <c:pt idx="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05-4031-817F-4ED8B8DEF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0443087"/>
        <c:axId val="590459887"/>
      </c:lineChart>
      <c:catAx>
        <c:axId val="59044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90459887"/>
        <c:crosses val="autoZero"/>
        <c:auto val="1"/>
        <c:lblAlgn val="ctr"/>
        <c:lblOffset val="100"/>
        <c:noMultiLvlLbl val="0"/>
      </c:catAx>
      <c:valAx>
        <c:axId val="590459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9044308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33333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E0E0E0"/>
      </a:solidFill>
      <a:prstDash val="solid"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B2A4A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POM Mensual (kUS$)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B2A4A"/>
              </a:solidFill>
              <a:latin typeface="Segoe UI"/>
              <a:ea typeface="Segoe UI"/>
              <a:cs typeface="Segoe UI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2026'!$I$54</c:f>
              <c:strCache>
                <c:ptCount val="1"/>
                <c:pt idx="0">
                  <c:v>POM (kUS$)</c:v>
                </c:pt>
              </c:strCache>
            </c:strRef>
          </c:tx>
          <c:spPr>
            <a:solidFill>
              <a:srgbClr val="0D7C66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B2A4A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2026'!$H$55:$H$58</c:f>
              <c:strCache>
                <c:ptCount val="4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'Dashboard 2026'!$I$55:$I$58</c:f>
              <c:numCache>
                <c:formatCode>#,##0</c:formatCode>
                <c:ptCount val="4"/>
                <c:pt idx="0">
                  <c:v>567.61568620000003</c:v>
                </c:pt>
                <c:pt idx="1">
                  <c:v>778.37021507472195</c:v>
                </c:pt>
                <c:pt idx="2">
                  <c:v>814.62300000000005</c:v>
                </c:pt>
                <c:pt idx="3">
                  <c:v>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A-43CA-AFE7-02725C9A9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2220976"/>
        <c:axId val="1812223856"/>
      </c:barChart>
      <c:catAx>
        <c:axId val="181222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12223856"/>
        <c:crosses val="autoZero"/>
        <c:auto val="1"/>
        <c:lblAlgn val="ctr"/>
        <c:lblOffset val="100"/>
        <c:noMultiLvlLbl val="0"/>
      </c:catAx>
      <c:valAx>
        <c:axId val="181222385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122209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E0E0E0"/>
      </a:solidFill>
      <a:prstDash val="solid"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B2A4A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EDP Montos Mensuales (kUS$)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B2A4A"/>
              </a:solidFill>
              <a:latin typeface="Segoe UI"/>
              <a:ea typeface="Segoe UI"/>
              <a:cs typeface="Segoe UI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2026'!$O$54</c:f>
              <c:strCache>
                <c:ptCount val="1"/>
                <c:pt idx="0">
                  <c:v>EDP Emitidos (kUS$)</c:v>
                </c:pt>
              </c:strCache>
            </c:strRef>
          </c:tx>
          <c:spPr>
            <a:solidFill>
              <a:srgbClr val="6B4C9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1B2A4A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2026'!$N$55:$N$58</c:f>
              <c:strCache>
                <c:ptCount val="4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'Dashboard 2026'!$O$55:$O$58</c:f>
              <c:numCache>
                <c:formatCode>0</c:formatCode>
                <c:ptCount val="4"/>
                <c:pt idx="0">
                  <c:v>319.250709904762</c:v>
                </c:pt>
                <c:pt idx="1">
                  <c:v>606</c:v>
                </c:pt>
                <c:pt idx="2">
                  <c:v>1404</c:v>
                </c:pt>
                <c:pt idx="3">
                  <c:v>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1-4B30-AECA-AB3AC42FC7B9}"/>
            </c:ext>
          </c:extLst>
        </c:ser>
        <c:ser>
          <c:idx val="1"/>
          <c:order val="1"/>
          <c:tx>
            <c:strRef>
              <c:f>'Dashboard 2026'!$P$54</c:f>
              <c:strCache>
                <c:ptCount val="1"/>
                <c:pt idx="0">
                  <c:v>EDP Facturados (kUS$)</c:v>
                </c:pt>
              </c:strCache>
            </c:strRef>
          </c:tx>
          <c:spPr>
            <a:solidFill>
              <a:srgbClr val="E8683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1B2A4A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2026'!$N$55:$N$58</c:f>
              <c:strCache>
                <c:ptCount val="4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'Dashboard 2026'!$P$55:$P$58</c:f>
              <c:numCache>
                <c:formatCode>0</c:formatCode>
                <c:ptCount val="4"/>
                <c:pt idx="0">
                  <c:v>452.44871937044098</c:v>
                </c:pt>
                <c:pt idx="1">
                  <c:v>392</c:v>
                </c:pt>
                <c:pt idx="2">
                  <c:v>1023</c:v>
                </c:pt>
                <c:pt idx="3">
                  <c:v>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D1-4B30-AECA-AB3AC42FC7B9}"/>
            </c:ext>
          </c:extLst>
        </c:ser>
        <c:ser>
          <c:idx val="2"/>
          <c:order val="2"/>
          <c:tx>
            <c:strRef>
              <c:f>'Dashboard 2026'!$Q$54</c:f>
              <c:strCache>
                <c:ptCount val="1"/>
                <c:pt idx="0">
                  <c:v>EDP Pagados (kUS$)</c:v>
                </c:pt>
              </c:strCache>
            </c:strRef>
          </c:tx>
          <c:spPr>
            <a:solidFill>
              <a:srgbClr val="2D5A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1B2A4A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2026'!$N$55:$N$58</c:f>
              <c:strCache>
                <c:ptCount val="4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'Dashboard 2026'!$Q$55:$Q$58</c:f>
              <c:numCache>
                <c:formatCode>0</c:formatCode>
                <c:ptCount val="4"/>
                <c:pt idx="0">
                  <c:v>1645</c:v>
                </c:pt>
                <c:pt idx="1">
                  <c:v>239</c:v>
                </c:pt>
                <c:pt idx="2">
                  <c:v>422</c:v>
                </c:pt>
                <c:pt idx="3">
                  <c:v>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D1-4B30-AECA-AB3AC42FC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028079"/>
        <c:axId val="508020399"/>
      </c:barChart>
      <c:catAx>
        <c:axId val="50802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08020399"/>
        <c:crosses val="autoZero"/>
        <c:auto val="1"/>
        <c:lblAlgn val="ctr"/>
        <c:lblOffset val="100"/>
        <c:noMultiLvlLbl val="0"/>
      </c:catAx>
      <c:valAx>
        <c:axId val="508020399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0802807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33333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E0E0E0"/>
      </a:solidFill>
      <a:prstDash val="solid"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B2A4A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Distribución Montos Ejecutados (kUS$)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B2A4A"/>
              </a:solidFill>
              <a:latin typeface="Segoe UI"/>
              <a:ea typeface="Segoe UI"/>
              <a:cs typeface="Segoe UI"/>
            </a:defRPr>
          </a:pPr>
          <a:endParaRPr lang="es-CL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'Dashboard 2026'!$L$54</c:f>
              <c:strCache>
                <c:ptCount val="1"/>
                <c:pt idx="0">
                  <c:v>kUS$</c:v>
                </c:pt>
              </c:strCache>
            </c:strRef>
          </c:tx>
          <c:dPt>
            <c:idx val="0"/>
            <c:bubble3D val="0"/>
            <c:spPr>
              <a:solidFill>
                <a:srgbClr val="1B2A4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64-4722-9D34-A27A1628F74A}"/>
              </c:ext>
            </c:extLst>
          </c:dPt>
          <c:dPt>
            <c:idx val="1"/>
            <c:bubble3D val="0"/>
            <c:spPr>
              <a:solidFill>
                <a:srgbClr val="2D5A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064-4722-9D34-A27A1628F74A}"/>
              </c:ext>
            </c:extLst>
          </c:dPt>
          <c:dPt>
            <c:idx val="2"/>
            <c:bubble3D val="0"/>
            <c:spPr>
              <a:solidFill>
                <a:srgbClr val="7FB3D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64-4722-9D34-A27A1628F7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2026'!$K$55:$K$57</c:f>
              <c:strCache>
                <c:ptCount val="3"/>
                <c:pt idx="0">
                  <c:v>Ingreso Operacional</c:v>
                </c:pt>
                <c:pt idx="1">
                  <c:v>Facturas por cobrar</c:v>
                </c:pt>
                <c:pt idx="2">
                  <c:v>EDP por facturar</c:v>
                </c:pt>
              </c:strCache>
            </c:strRef>
          </c:cat>
          <c:val>
            <c:numRef>
              <c:f>'Dashboard 2026'!$L$55:$L$57</c:f>
              <c:numCache>
                <c:formatCode>#,##0</c:formatCode>
                <c:ptCount val="3"/>
                <c:pt idx="0">
                  <c:v>3253</c:v>
                </c:pt>
                <c:pt idx="1">
                  <c:v>1517</c:v>
                </c:pt>
                <c:pt idx="2">
                  <c:v>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4-4722-9D34-A27A1628F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33333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E0E0E0"/>
      </a:solidFill>
      <a:prstDash val="solid"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B2A4A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Montos Ingeniería</a:t>
            </a:r>
            <a:r>
              <a:rPr lang="en-US" baseline="0"/>
              <a:t> </a:t>
            </a:r>
            <a:r>
              <a:rPr lang="en-US"/>
              <a:t>Ejecutada (kUS$)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B2A4A"/>
              </a:solidFill>
              <a:latin typeface="Segoe UI"/>
              <a:ea typeface="Segoe UI"/>
              <a:cs typeface="Segoe UI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'Dashboard 2026'!$K$55</c:f>
              <c:strCache>
                <c:ptCount val="1"/>
                <c:pt idx="0">
                  <c:v>Ingreso Operacional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B2A4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43-4637-BA00-863745455BAA}"/>
              </c:ext>
            </c:extLst>
          </c:dPt>
          <c:dPt>
            <c:idx val="1"/>
            <c:invertIfNegative val="0"/>
            <c:bubble3D val="0"/>
            <c:spPr>
              <a:solidFill>
                <a:srgbClr val="2D5A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43-4637-BA00-863745455BAA}"/>
              </c:ext>
            </c:extLst>
          </c:dPt>
          <c:dPt>
            <c:idx val="2"/>
            <c:invertIfNegative val="0"/>
            <c:bubble3D val="0"/>
            <c:spPr>
              <a:solidFill>
                <a:srgbClr val="7FB3D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643-4637-BA00-863745455B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2026'!$L$54</c:f>
              <c:strCache>
                <c:ptCount val="1"/>
                <c:pt idx="0">
                  <c:v>kUS$</c:v>
                </c:pt>
              </c:strCache>
            </c:strRef>
          </c:cat>
          <c:val>
            <c:numRef>
              <c:f>'Dashboard 2026'!$L$55</c:f>
              <c:numCache>
                <c:formatCode>#,##0</c:formatCode>
                <c:ptCount val="1"/>
                <c:pt idx="0">
                  <c:v>3253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43-4637-BA00-863745455BAA}"/>
            </c:ext>
          </c:extLst>
        </c:ser>
        <c:ser>
          <c:idx val="1"/>
          <c:order val="1"/>
          <c:tx>
            <c:strRef>
              <c:f>'Dashboard 2026'!$K$56</c:f>
              <c:strCache>
                <c:ptCount val="1"/>
                <c:pt idx="0">
                  <c:v>Facturas por cobrar</c:v>
                </c:pt>
              </c:strCache>
            </c:strRef>
          </c:tx>
          <c:spPr>
            <a:solidFill>
              <a:srgbClr val="2D5AA0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2026'!$L$54</c:f>
              <c:strCache>
                <c:ptCount val="1"/>
                <c:pt idx="0">
                  <c:v>kUS$</c:v>
                </c:pt>
              </c:strCache>
            </c:strRef>
          </c:cat>
          <c:val>
            <c:numRef>
              <c:f>'Dashboard 2026'!$L$56</c:f>
              <c:numCache>
                <c:formatCode>#,##0</c:formatCode>
                <c:ptCount val="1"/>
                <c:pt idx="0">
                  <c:v>1517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643-4637-BA00-863745455BAA}"/>
            </c:ext>
          </c:extLst>
        </c:ser>
        <c:ser>
          <c:idx val="2"/>
          <c:order val="2"/>
          <c:tx>
            <c:strRef>
              <c:f>'Dashboard 2026'!$K$57</c:f>
              <c:strCache>
                <c:ptCount val="1"/>
                <c:pt idx="0">
                  <c:v>EDP por facturar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FB3D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643-4637-BA00-863745455BAA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643-4637-BA00-863745455B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2026'!$L$54</c:f>
              <c:strCache>
                <c:ptCount val="1"/>
                <c:pt idx="0">
                  <c:v>kUS$</c:v>
                </c:pt>
              </c:strCache>
            </c:strRef>
          </c:cat>
          <c:val>
            <c:numRef>
              <c:f>'Dashboard 2026'!$L$57</c:f>
              <c:numCache>
                <c:formatCode>#,##0</c:formatCode>
                <c:ptCount val="1"/>
                <c:pt idx="0">
                  <c:v>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643-4637-BA00-863745455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969795519"/>
        <c:axId val="969795999"/>
      </c:barChart>
      <c:catAx>
        <c:axId val="9697955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69795999"/>
        <c:crosses val="autoZero"/>
        <c:auto val="1"/>
        <c:lblAlgn val="ctr"/>
        <c:lblOffset val="100"/>
        <c:noMultiLvlLbl val="0"/>
      </c:catAx>
      <c:valAx>
        <c:axId val="969795999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6979551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33333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E0E0E0"/>
      </a:solidFill>
      <a:prstDash val="solid"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'Vasos comunicantes'!$Y$3</c:f>
              <c:strCache>
                <c:ptCount val="1"/>
                <c:pt idx="0">
                  <c:v>kUS$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4DFE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8A-4210-AA60-D6DC2E911615}"/>
              </c:ext>
            </c:extLst>
          </c:dPt>
          <c:dPt>
            <c:idx val="1"/>
            <c:invertIfNegative val="0"/>
            <c:bubble3D val="0"/>
            <c:spPr>
              <a:solidFill>
                <a:srgbClr val="D4DFE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C8A-4210-AA60-D6DC2E911615}"/>
              </c:ext>
            </c:extLst>
          </c:dPt>
          <c:dPt>
            <c:idx val="2"/>
            <c:invertIfNegative val="0"/>
            <c:bubble3D val="0"/>
            <c:spPr>
              <a:solidFill>
                <a:srgbClr val="E4E7E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8A-4210-AA60-D6DC2E911615}"/>
              </c:ext>
            </c:extLst>
          </c:dPt>
          <c:dPt>
            <c:idx val="3"/>
            <c:invertIfNegative val="0"/>
            <c:bubble3D val="0"/>
            <c:spPr>
              <a:solidFill>
                <a:srgbClr val="D4DFE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C8A-4210-AA60-D6DC2E911615}"/>
              </c:ext>
            </c:extLst>
          </c:dPt>
          <c:dPt>
            <c:idx val="4"/>
            <c:invertIfNegative val="0"/>
            <c:bubble3D val="0"/>
            <c:spPr>
              <a:solidFill>
                <a:srgbClr val="C8CDD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C8A-4210-AA60-D6DC2E911615}"/>
              </c:ext>
            </c:extLst>
          </c:dPt>
          <c:dPt>
            <c:idx val="5"/>
            <c:invertIfNegative val="0"/>
            <c:bubble3D val="0"/>
            <c:spPr>
              <a:solidFill>
                <a:srgbClr val="1B2A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C8A-4210-AA60-D6DC2E9116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B2A4A"/>
                    </a:solidFill>
                    <a:latin typeface="Segoe UI"/>
                    <a:ea typeface="Segoe UI"/>
                    <a:cs typeface="Segoe UI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'Vasos comunicantes'!$X$4:$X$9</c:f>
              <c:strCache>
                <c:ptCount val="6"/>
                <c:pt idx="0">
                  <c:v>Proyectado (POM)</c:v>
                </c:pt>
                <c:pt idx="1">
                  <c:v>Emitido por aprobar</c:v>
                </c:pt>
                <c:pt idx="2">
                  <c:v>Aprobado por facturar</c:v>
                </c:pt>
                <c:pt idx="3">
                  <c:v>Facturado por pagar</c:v>
                </c:pt>
                <c:pt idx="4">
                  <c:v>Ingreso proy. mayo</c:v>
                </c:pt>
                <c:pt idx="5">
                  <c:v>Ingreso acumulado</c:v>
                </c:pt>
              </c:strCache>
            </c:strRef>
          </c:cat>
          <c:val>
            <c:numRef>
              <c:f>'Vasos comunicantes'!$Y$4:$Y$9</c:f>
              <c:numCache>
                <c:formatCode>General</c:formatCode>
                <c:ptCount val="6"/>
                <c:pt idx="0">
                  <c:v>634</c:v>
                </c:pt>
                <c:pt idx="1">
                  <c:v>777</c:v>
                </c:pt>
                <c:pt idx="2">
                  <c:v>0</c:v>
                </c:pt>
                <c:pt idx="3">
                  <c:v>847</c:v>
                </c:pt>
                <c:pt idx="4">
                  <c:v>845</c:v>
                </c:pt>
                <c:pt idx="5">
                  <c:v>2770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A-4210-AA60-D6DC2E911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48003440"/>
        <c:axId val="948007760"/>
      </c:barChart>
      <c:catAx>
        <c:axId val="9480034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C8CDD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4A4A4A"/>
                </a:solidFill>
                <a:latin typeface="Segoe UI"/>
                <a:ea typeface="Segoe UI"/>
                <a:cs typeface="Segoe UI"/>
              </a:defRPr>
            </a:pPr>
            <a:endParaRPr lang="es-CL"/>
          </a:p>
        </c:txPr>
        <c:crossAx val="948007760"/>
        <c:crosses val="autoZero"/>
        <c:auto val="1"/>
        <c:lblAlgn val="ctr"/>
        <c:lblOffset val="100"/>
        <c:noMultiLvlLbl val="0"/>
      </c:catAx>
      <c:valAx>
        <c:axId val="948007760"/>
        <c:scaling>
          <c:orientation val="minMax"/>
          <c:max val="3100"/>
          <c:min val="0"/>
        </c:scaling>
        <c:delete val="0"/>
        <c:axPos val="t"/>
        <c:majorGridlines>
          <c:spPr>
            <a:ln w="9525" cap="flat" cmpd="sng" algn="ctr">
              <a:solidFill>
                <a:srgbClr val="E4E7EB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E4E7EB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C8CDD3"/>
                </a:solidFill>
                <a:latin typeface="Segoe UI"/>
                <a:ea typeface="Segoe UI"/>
                <a:cs typeface="Segoe UI"/>
              </a:defRPr>
            </a:pPr>
            <a:endParaRPr lang="es-CL"/>
          </a:p>
        </c:txPr>
        <c:crossAx val="948003440"/>
        <c:crosses val="autoZero"/>
        <c:crossBetween val="between"/>
      </c:valAx>
      <c:spPr>
        <a:solidFill>
          <a:srgbClr val="FFFFFF"/>
        </a:solidFill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19116</xdr:colOff>
      <xdr:row>31</xdr:row>
      <xdr:rowOff>170569</xdr:rowOff>
    </xdr:from>
    <xdr:to>
      <xdr:col>17</xdr:col>
      <xdr:colOff>528621</xdr:colOff>
      <xdr:row>43</xdr:row>
      <xdr:rowOff>147869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82F1AC-3978-2C0D-E7EB-83AAD2F10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638175</xdr:colOff>
      <xdr:row>32</xdr:row>
      <xdr:rowOff>3732</xdr:rowOff>
    </xdr:from>
    <xdr:to>
      <xdr:col>49</xdr:col>
      <xdr:colOff>301942</xdr:colOff>
      <xdr:row>43</xdr:row>
      <xdr:rowOff>154782</xdr:rowOff>
    </xdr:to>
    <xdr:graphicFrame macro="">
      <xdr:nvGraphicFramePr>
        <xdr:cNvPr id="13" name="Gráfico 3">
          <a:extLst>
            <a:ext uri="{FF2B5EF4-FFF2-40B4-BE49-F238E27FC236}">
              <a16:creationId xmlns:a16="http://schemas.microsoft.com/office/drawing/2014/main" id="{9C92C9D4-B540-4D5C-AB5F-AD778A8441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628650</xdr:colOff>
      <xdr:row>44</xdr:row>
      <xdr:rowOff>43691</xdr:rowOff>
    </xdr:from>
    <xdr:to>
      <xdr:col>49</xdr:col>
      <xdr:colOff>269559</xdr:colOff>
      <xdr:row>55</xdr:row>
      <xdr:rowOff>156881</xdr:rowOff>
    </xdr:to>
    <xdr:graphicFrame macro="">
      <xdr:nvGraphicFramePr>
        <xdr:cNvPr id="11" name="Gráfico 5">
          <a:extLst>
            <a:ext uri="{FF2B5EF4-FFF2-40B4-BE49-F238E27FC236}">
              <a16:creationId xmlns:a16="http://schemas.microsoft.com/office/drawing/2014/main" id="{69344E82-667B-486D-9830-50AABD2CBD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16497</xdr:colOff>
      <xdr:row>44</xdr:row>
      <xdr:rowOff>42735</xdr:rowOff>
    </xdr:from>
    <xdr:to>
      <xdr:col>17</xdr:col>
      <xdr:colOff>515778</xdr:colOff>
      <xdr:row>56</xdr:row>
      <xdr:rowOff>1302</xdr:rowOff>
    </xdr:to>
    <xdr:graphicFrame macro="">
      <xdr:nvGraphicFramePr>
        <xdr:cNvPr id="12" name="Gráfico 6">
          <a:extLst>
            <a:ext uri="{FF2B5EF4-FFF2-40B4-BE49-F238E27FC236}">
              <a16:creationId xmlns:a16="http://schemas.microsoft.com/office/drawing/2014/main" id="{F875EE60-D2C3-4485-AA9F-4302BE4528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7</xdr:row>
      <xdr:rowOff>138112</xdr:rowOff>
    </xdr:from>
    <xdr:to>
      <xdr:col>6</xdr:col>
      <xdr:colOff>228600</xdr:colOff>
      <xdr:row>22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646DD9-29CC-EF03-F8D5-F199D479E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485775</xdr:colOff>
      <xdr:row>7</xdr:row>
      <xdr:rowOff>157162</xdr:rowOff>
    </xdr:from>
    <xdr:to>
      <xdr:col>12</xdr:col>
      <xdr:colOff>485775</xdr:colOff>
      <xdr:row>22</xdr:row>
      <xdr:rowOff>42862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635FA82-7BFC-F9C2-288E-4DC0188B4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594360</xdr:colOff>
      <xdr:row>41</xdr:row>
      <xdr:rowOff>19050</xdr:rowOff>
    </xdr:from>
    <xdr:to>
      <xdr:col>16</xdr:col>
      <xdr:colOff>495300</xdr:colOff>
      <xdr:row>56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919DAB8-DEA0-014D-5D7A-A2A766213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19116</xdr:colOff>
      <xdr:row>29</xdr:row>
      <xdr:rowOff>170569</xdr:rowOff>
    </xdr:from>
    <xdr:to>
      <xdr:col>27</xdr:col>
      <xdr:colOff>381143</xdr:colOff>
      <xdr:row>42</xdr:row>
      <xdr:rowOff>3088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665703-485B-48ED-A130-7789249ED7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33</xdr:col>
      <xdr:colOff>215265</xdr:colOff>
      <xdr:row>30</xdr:row>
      <xdr:rowOff>38498</xdr:rowOff>
    </xdr:from>
    <xdr:to>
      <xdr:col>59</xdr:col>
      <xdr:colOff>601027</xdr:colOff>
      <xdr:row>42</xdr:row>
      <xdr:rowOff>26670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EDE43723-0A2A-41B6-B7AB-DB833D6ECF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33</xdr:col>
      <xdr:colOff>216217</xdr:colOff>
      <xdr:row>42</xdr:row>
      <xdr:rowOff>83696</xdr:rowOff>
    </xdr:from>
    <xdr:to>
      <xdr:col>59</xdr:col>
      <xdr:colOff>599440</xdr:colOff>
      <xdr:row>54</xdr:row>
      <xdr:rowOff>26071</xdr:rowOff>
    </xdr:to>
    <xdr:graphicFrame macro="">
      <xdr:nvGraphicFramePr>
        <xdr:cNvPr id="4" name="Gráfico 5">
          <a:extLst>
            <a:ext uri="{FF2B5EF4-FFF2-40B4-BE49-F238E27FC236}">
              <a16:creationId xmlns:a16="http://schemas.microsoft.com/office/drawing/2014/main" id="{96107C59-D8E4-49E8-B467-56739BE93A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16497</xdr:colOff>
      <xdr:row>42</xdr:row>
      <xdr:rowOff>42735</xdr:rowOff>
    </xdr:from>
    <xdr:to>
      <xdr:col>27</xdr:col>
      <xdr:colOff>382270</xdr:colOff>
      <xdr:row>54</xdr:row>
      <xdr:rowOff>1302</xdr:rowOff>
    </xdr:to>
    <xdr:graphicFrame macro="">
      <xdr:nvGraphicFramePr>
        <xdr:cNvPr id="5" name="Gráfico 6">
          <a:extLst>
            <a:ext uri="{FF2B5EF4-FFF2-40B4-BE49-F238E27FC236}">
              <a16:creationId xmlns:a16="http://schemas.microsoft.com/office/drawing/2014/main" id="{A563F8D7-F1EA-4577-A433-43BAC3F4D2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83</xdr:col>
      <xdr:colOff>680562</xdr:colOff>
      <xdr:row>6</xdr:row>
      <xdr:rowOff>69057</xdr:rowOff>
    </xdr:from>
    <xdr:to>
      <xdr:col>89</xdr:col>
      <xdr:colOff>110332</xdr:colOff>
      <xdr:row>17</xdr:row>
      <xdr:rowOff>192882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C29B3E9-8BFD-2956-2FF8-F36D3F137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89</xdr:col>
      <xdr:colOff>192405</xdr:colOff>
      <xdr:row>6</xdr:row>
      <xdr:rowOff>69057</xdr:rowOff>
    </xdr:from>
    <xdr:to>
      <xdr:col>95</xdr:col>
      <xdr:colOff>71756</xdr:colOff>
      <xdr:row>17</xdr:row>
      <xdr:rowOff>192882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3D51CB0-A7D0-7E05-4843-21534CAB0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76675</xdr:colOff>
      <xdr:row>66</xdr:row>
      <xdr:rowOff>20955</xdr:rowOff>
    </xdr:from>
    <xdr:to>
      <xdr:col>7</xdr:col>
      <xdr:colOff>774354</xdr:colOff>
      <xdr:row>83</xdr:row>
      <xdr:rowOff>20955</xdr:rowOff>
    </xdr:to>
    <xdr:graphicFrame macro="">
      <xdr:nvGraphicFramePr>
        <xdr:cNvPr id="27" name="Gráfico 2">
          <a:extLst>
            <a:ext uri="{FF2B5EF4-FFF2-40B4-BE49-F238E27FC236}">
              <a16:creationId xmlns:a16="http://schemas.microsoft.com/office/drawing/2014/main" id="{BEF1A549-6AAA-9C7B-77B8-9E2AFD830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83</xdr:row>
      <xdr:rowOff>168275</xdr:rowOff>
    </xdr:from>
    <xdr:to>
      <xdr:col>14</xdr:col>
      <xdr:colOff>825602</xdr:colOff>
      <xdr:row>100</xdr:row>
      <xdr:rowOff>168275</xdr:rowOff>
    </xdr:to>
    <xdr:graphicFrame macro="">
      <xdr:nvGraphicFramePr>
        <xdr:cNvPr id="26" name="Gráfico 3">
          <a:extLst>
            <a:ext uri="{FF2B5EF4-FFF2-40B4-BE49-F238E27FC236}">
              <a16:creationId xmlns:a16="http://schemas.microsoft.com/office/drawing/2014/main" id="{6367FAB3-22F2-F922-1798-CF3A37997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59531</xdr:colOff>
      <xdr:row>83</xdr:row>
      <xdr:rowOff>167640</xdr:rowOff>
    </xdr:from>
    <xdr:to>
      <xdr:col>7</xdr:col>
      <xdr:colOff>761020</xdr:colOff>
      <xdr:row>101</xdr:row>
      <xdr:rowOff>27147</xdr:rowOff>
    </xdr:to>
    <xdr:graphicFrame macro="">
      <xdr:nvGraphicFramePr>
        <xdr:cNvPr id="29" name="Gráfico 6">
          <a:extLst>
            <a:ext uri="{FF2B5EF4-FFF2-40B4-BE49-F238E27FC236}">
              <a16:creationId xmlns:a16="http://schemas.microsoft.com/office/drawing/2014/main" id="{93FD1234-E939-39D1-6CE8-86181D65D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25400</xdr:colOff>
      <xdr:row>66</xdr:row>
      <xdr:rowOff>25400</xdr:rowOff>
    </xdr:from>
    <xdr:to>
      <xdr:col>14</xdr:col>
      <xdr:colOff>838200</xdr:colOff>
      <xdr:row>83</xdr:row>
      <xdr:rowOff>63500</xdr:rowOff>
    </xdr:to>
    <xdr:graphicFrame macro="">
      <xdr:nvGraphicFramePr>
        <xdr:cNvPr id="28" name="Gráfico 7">
          <a:extLst>
            <a:ext uri="{FF2B5EF4-FFF2-40B4-BE49-F238E27FC236}">
              <a16:creationId xmlns:a16="http://schemas.microsoft.com/office/drawing/2014/main" id="{3CC68C1D-539E-347F-6BA4-A95F404FC9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152397</xdr:rowOff>
    </xdr:from>
    <xdr:to>
      <xdr:col>6</xdr:col>
      <xdr:colOff>206375</xdr:colOff>
      <xdr:row>29</xdr:row>
      <xdr:rowOff>100644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6A1F37-7E0C-F7F2-D312-056CB9539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472440</xdr:colOff>
      <xdr:row>13</xdr:row>
      <xdr:rowOff>152397</xdr:rowOff>
    </xdr:from>
    <xdr:to>
      <xdr:col>11</xdr:col>
      <xdr:colOff>665480</xdr:colOff>
      <xdr:row>29</xdr:row>
      <xdr:rowOff>100644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7BC4083-A93C-EA42-B38E-F3A74A7EF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30</xdr:row>
      <xdr:rowOff>9525</xdr:rowOff>
    </xdr:from>
    <xdr:to>
      <xdr:col>6</xdr:col>
      <xdr:colOff>206375</xdr:colOff>
      <xdr:row>45</xdr:row>
      <xdr:rowOff>168275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7CA376F-689D-F868-CFCF-B4A48F91E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469265</xdr:colOff>
      <xdr:row>30</xdr:row>
      <xdr:rowOff>12065</xdr:rowOff>
    </xdr:from>
    <xdr:to>
      <xdr:col>11</xdr:col>
      <xdr:colOff>670560</xdr:colOff>
      <xdr:row>45</xdr:row>
      <xdr:rowOff>172085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59D5F13-9F2B-6084-C392-F2F1C3380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30</xdr:row>
      <xdr:rowOff>0</xdr:rowOff>
    </xdr:from>
    <xdr:to>
      <xdr:col>17</xdr:col>
      <xdr:colOff>200660</xdr:colOff>
      <xdr:row>45</xdr:row>
      <xdr:rowOff>160655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23A082C-E7C0-4D45-B667-0203A3CC8F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76199</xdr:rowOff>
    </xdr:from>
    <xdr:to>
      <xdr:col>16</xdr:col>
      <xdr:colOff>365591</xdr:colOff>
      <xdr:row>36</xdr:row>
      <xdr:rowOff>19049</xdr:rowOff>
    </xdr:to>
    <xdr:pic>
      <xdr:nvPicPr>
        <xdr:cNvPr id="4" name="Gráfico 3">
          <a:extLst>
            <a:ext uri="{FF2B5EF4-FFF2-40B4-BE49-F238E27FC236}">
              <a16:creationId xmlns:a16="http://schemas.microsoft.com/office/drawing/2014/main" id="{255E9450-76D2-3A51-A8B8-C87361055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76199"/>
          <a:ext cx="11657161" cy="6505575"/>
        </a:xfrm>
        <a:prstGeom prst="rect">
          <a:avLst/>
        </a:prstGeom>
      </xdr:spPr>
    </xdr:pic>
    <xdr:clientData/>
  </xdr:twoCellAnchor>
  <xdr:twoCellAnchor>
    <xdr:from>
      <xdr:col>11</xdr:col>
      <xdr:colOff>38100</xdr:colOff>
      <xdr:row>47</xdr:row>
      <xdr:rowOff>72389</xdr:rowOff>
    </xdr:from>
    <xdr:to>
      <xdr:col>14</xdr:col>
      <xdr:colOff>31750</xdr:colOff>
      <xdr:row>58</xdr:row>
      <xdr:rowOff>31749</xdr:rowOff>
    </xdr:to>
    <xdr:graphicFrame macro="">
      <xdr:nvGraphicFramePr>
        <xdr:cNvPr id="9" name="FlujoREDCO">
          <a:extLst>
            <a:ext uri="{FF2B5EF4-FFF2-40B4-BE49-F238E27FC236}">
              <a16:creationId xmlns:a16="http://schemas.microsoft.com/office/drawing/2014/main" id="{4063DF4A-A2DE-6EDF-54BE-565E299C0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duardo Cuevas" id="{AA1D18E0-AC3F-459D-B6E5-4582C988F679}" userId="S::ecuevas@redcoglobal.com::1895eeda-fe30-4958-a15c-75961a407efe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L14" dT="2025-10-27T14:31:45.68" personId="{AA1D18E0-AC3F-459D-B6E5-4582C988F679}" id="{9C79CA23-7444-4EC9-A862-016D818B0E90}">
    <text>Se quita AMSA RIINO y HDD</text>
  </threadedComment>
  <threadedComment ref="AW17" dT="2025-08-25T15:08:02.96" personId="{AA1D18E0-AC3F-459D-B6E5-4582C988F679}" id="{BE1A866C-FEBC-43B1-BC9C-35293926D488}">
    <text>Se agrega invoice 03 emitido a Franco Nevada la ultima semana de julio por 99 kUSD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L8" dT="2025-10-27T14:31:45.68" personId="{AA1D18E0-AC3F-459D-B6E5-4582C988F679}" id="{25C0FD45-3462-464B-AE3A-2F6E585A4329}">
    <text>Se quita AMSA RIINO y HDD</text>
  </threadedComment>
  <threadedComment ref="BM10" dT="2025-11-10T13:42:10.29" personId="{AA1D18E0-AC3F-459D-B6E5-4582C988F679}" id="{8E8B538D-F26B-48EA-AA5B-065C86F76E09}">
    <text>Se suman los trabajos adicionales a Py Los Calatos V3 por 41k</text>
  </threadedComment>
  <threadedComment ref="AW11" dT="2025-08-25T15:08:02.96" personId="{AA1D18E0-AC3F-459D-B6E5-4582C988F679}" id="{AC8B7546-E2B4-40F9-85AE-96800B93B9EF}">
    <text>Se agrega invoice 03 emitido a Franco Nevada la ultima semana de julio por 99 kUSD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F8" dT="2025-10-27T14:31:45.68" personId="{AA1D18E0-AC3F-459D-B6E5-4582C988F679}" id="{02A34764-E66A-4EE5-B2F5-CBDBB61FD64C}">
    <text>Se quita AMSA RIINO y HDD</text>
  </threadedComment>
  <threadedComment ref="BG10" dT="2025-11-10T13:42:10.29" personId="{AA1D18E0-AC3F-459D-B6E5-4582C988F679}" id="{233C6B5E-AD6E-4B43-9459-5D58742E082C}">
    <text>Se suman los trabajos adicionales a Py Los Calatos V3 por 41k</text>
  </threadedComment>
  <threadedComment ref="AQ11" dT="2025-08-25T15:08:02.96" personId="{AA1D18E0-AC3F-459D-B6E5-4582C988F679}" id="{D1278AE0-395A-4E97-8EE6-4B28E873EE5C}">
    <text>Se agrega invoice 03 emitido a Franco Nevada la ultima semana de julio por 99 kUSD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9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073D4F9-F49E-4D5F-8DB2-C2AA1BC273DC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14240dd8-c44e-44ad-92a5-129bc938ffd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576E-7EED-48AF-ACAA-415CC711666B}">
  <sheetPr codeName="Hoja1"/>
  <dimension ref="B1:X35"/>
  <sheetViews>
    <sheetView showGridLines="0" zoomScale="90" zoomScaleNormal="90" workbookViewId="0">
      <selection activeCell="A3" sqref="A3:XFD3"/>
    </sheetView>
  </sheetViews>
  <sheetFormatPr baseColWidth="10" defaultColWidth="11.5" defaultRowHeight="14" outlineLevelCol="1" x14ac:dyDescent="0.2"/>
  <cols>
    <col min="1" max="1" width="11.5" style="48"/>
    <col min="2" max="2" width="2.83203125" style="48" customWidth="1"/>
    <col min="3" max="3" width="22.83203125" style="48" bestFit="1" customWidth="1"/>
    <col min="4" max="4" width="11.1640625" style="48" bestFit="1" customWidth="1"/>
    <col min="5" max="7" width="11.1640625" style="48" hidden="1" customWidth="1" outlineLevel="1"/>
    <col min="8" max="8" width="7.83203125" style="48" hidden="1" customWidth="1" collapsed="1"/>
    <col min="9" max="9" width="7.83203125" style="48" hidden="1" customWidth="1"/>
    <col min="10" max="10" width="6" style="48" hidden="1" customWidth="1"/>
    <col min="11" max="11" width="7.83203125" style="48" hidden="1" customWidth="1"/>
    <col min="12" max="12" width="12.5" style="48" bestFit="1" customWidth="1"/>
    <col min="13" max="16" width="8.83203125" style="48" customWidth="1"/>
    <col min="17" max="17" width="10.83203125" style="48" bestFit="1" customWidth="1"/>
    <col min="18" max="18" width="10.83203125" style="48" customWidth="1"/>
    <col min="19" max="19" width="7.5" style="48" customWidth="1"/>
    <col min="20" max="16384" width="11.5" style="48"/>
  </cols>
  <sheetData>
    <row r="1" spans="2:21" ht="15" thickBot="1" x14ac:dyDescent="0.25"/>
    <row r="2" spans="2:21" ht="15" thickBot="1" x14ac:dyDescent="0.25">
      <c r="B2" s="116" t="s">
        <v>0</v>
      </c>
      <c r="C2" s="117" t="s">
        <v>1</v>
      </c>
      <c r="D2" s="117" t="s">
        <v>2</v>
      </c>
      <c r="E2" s="118">
        <v>45474</v>
      </c>
      <c r="F2" s="118">
        <v>45505</v>
      </c>
      <c r="G2" s="118">
        <v>45536</v>
      </c>
      <c r="H2" s="118">
        <v>45566</v>
      </c>
      <c r="I2" s="118">
        <v>45597</v>
      </c>
      <c r="J2" s="118">
        <v>45627</v>
      </c>
      <c r="K2" s="117" t="s">
        <v>3</v>
      </c>
      <c r="L2" s="117" t="s">
        <v>4</v>
      </c>
      <c r="M2" s="118" t="s">
        <v>5</v>
      </c>
      <c r="N2" s="118" t="s">
        <v>6</v>
      </c>
      <c r="O2" s="118" t="s">
        <v>7</v>
      </c>
      <c r="P2" s="118" t="s">
        <v>8</v>
      </c>
      <c r="Q2" s="118">
        <v>45658</v>
      </c>
      <c r="R2" s="155" t="s">
        <v>9</v>
      </c>
      <c r="S2" s="119" t="s">
        <v>10</v>
      </c>
      <c r="U2" s="153" t="s">
        <v>11</v>
      </c>
    </row>
    <row r="3" spans="2:21" ht="18" customHeight="1" x14ac:dyDescent="0.2">
      <c r="B3" s="538">
        <v>1</v>
      </c>
      <c r="C3" s="540" t="s">
        <v>12</v>
      </c>
      <c r="D3" s="105" t="s">
        <v>0</v>
      </c>
      <c r="E3" s="105">
        <f>8+8</f>
        <v>16</v>
      </c>
      <c r="F3" s="105"/>
      <c r="G3" s="105">
        <v>6</v>
      </c>
      <c r="H3" s="106">
        <f>8+H5</f>
        <v>12</v>
      </c>
      <c r="I3" s="106">
        <f>9+I5</f>
        <v>15</v>
      </c>
      <c r="J3" s="106">
        <f>7+J5</f>
        <v>15</v>
      </c>
      <c r="K3" s="106">
        <f>+SUM(H3:J3)</f>
        <v>42</v>
      </c>
      <c r="L3" s="542">
        <f>+K4/K3</f>
        <v>236.3095238095238</v>
      </c>
      <c r="M3" s="106">
        <v>1</v>
      </c>
      <c r="N3" s="106">
        <v>3</v>
      </c>
      <c r="O3" s="106">
        <v>3</v>
      </c>
      <c r="P3" s="106">
        <v>1</v>
      </c>
      <c r="Q3" s="107">
        <f>+M3+N3+O3+P3</f>
        <v>8</v>
      </c>
      <c r="R3" s="106">
        <v>3</v>
      </c>
      <c r="S3" s="555">
        <f>+R4/R3</f>
        <v>323.66666666666669</v>
      </c>
      <c r="T3" s="61"/>
      <c r="U3" s="152"/>
    </row>
    <row r="4" spans="2:21" ht="18" customHeight="1" thickBot="1" x14ac:dyDescent="0.25">
      <c r="B4" s="539"/>
      <c r="C4" s="541"/>
      <c r="D4" s="108" t="s">
        <v>13</v>
      </c>
      <c r="E4" s="108">
        <f>1062+E6</f>
        <v>1735</v>
      </c>
      <c r="F4" s="108"/>
      <c r="G4" s="108">
        <f>453+300</f>
        <v>753</v>
      </c>
      <c r="H4" s="109">
        <f>1600+H6</f>
        <v>1999</v>
      </c>
      <c r="I4" s="109">
        <f>2455+I6</f>
        <v>3967</v>
      </c>
      <c r="J4" s="109">
        <f>2600+J6</f>
        <v>3959</v>
      </c>
      <c r="K4" s="109">
        <f t="shared" ref="K4:K23" si="0">+SUM(H4:J4)</f>
        <v>9925</v>
      </c>
      <c r="L4" s="543"/>
      <c r="M4" s="109">
        <v>200</v>
      </c>
      <c r="N4" s="109">
        <v>1400</v>
      </c>
      <c r="O4" s="109">
        <v>470</v>
      </c>
      <c r="P4" s="109">
        <v>142</v>
      </c>
      <c r="Q4" s="110">
        <f>+M4+N4+O4+P4</f>
        <v>2212</v>
      </c>
      <c r="R4" s="109">
        <v>971</v>
      </c>
      <c r="S4" s="556"/>
      <c r="U4" s="152"/>
    </row>
    <row r="5" spans="2:21" ht="18" customHeight="1" x14ac:dyDescent="0.2">
      <c r="B5" s="538">
        <v>2</v>
      </c>
      <c r="C5" s="540" t="s">
        <v>14</v>
      </c>
      <c r="D5" s="105" t="s">
        <v>0</v>
      </c>
      <c r="E5" s="105">
        <v>8</v>
      </c>
      <c r="F5" s="105">
        <v>6</v>
      </c>
      <c r="G5" s="105">
        <v>3</v>
      </c>
      <c r="H5" s="106">
        <v>4</v>
      </c>
      <c r="I5" s="106">
        <v>6</v>
      </c>
      <c r="J5" s="114">
        <v>8</v>
      </c>
      <c r="K5" s="106">
        <f>+SUM(H5:J5)</f>
        <v>18</v>
      </c>
      <c r="L5" s="542">
        <f>+K6/K5</f>
        <v>181.66666666666666</v>
      </c>
      <c r="M5" s="114">
        <v>4</v>
      </c>
      <c r="N5" s="114">
        <v>2</v>
      </c>
      <c r="O5" s="114">
        <v>2</v>
      </c>
      <c r="P5" s="114">
        <v>0</v>
      </c>
      <c r="Q5" s="107">
        <f>+M5+N5+O5+P5</f>
        <v>8</v>
      </c>
      <c r="R5" s="114">
        <v>1</v>
      </c>
      <c r="S5" s="555">
        <f>+R6/R5</f>
        <v>1045</v>
      </c>
      <c r="U5" s="154"/>
    </row>
    <row r="6" spans="2:21" ht="18" customHeight="1" thickBot="1" x14ac:dyDescent="0.25">
      <c r="B6" s="539"/>
      <c r="C6" s="541"/>
      <c r="D6" s="108" t="s">
        <v>13</v>
      </c>
      <c r="E6" s="108">
        <v>673</v>
      </c>
      <c r="F6" s="108">
        <v>524</v>
      </c>
      <c r="G6" s="108">
        <v>300</v>
      </c>
      <c r="H6" s="109">
        <v>399</v>
      </c>
      <c r="I6" s="109">
        <f>+Respaldo!I25</f>
        <v>1512</v>
      </c>
      <c r="J6" s="115">
        <f>+Respaldo!I31</f>
        <v>1359</v>
      </c>
      <c r="K6" s="109">
        <f t="shared" si="0"/>
        <v>3270</v>
      </c>
      <c r="L6" s="543"/>
      <c r="M6" s="115">
        <v>690</v>
      </c>
      <c r="N6" s="115">
        <v>240</v>
      </c>
      <c r="O6" s="115">
        <v>395</v>
      </c>
      <c r="P6" s="115">
        <v>0</v>
      </c>
      <c r="Q6" s="110">
        <f>+M6+N6+O6+P6</f>
        <v>1325</v>
      </c>
      <c r="R6" s="115">
        <v>1045</v>
      </c>
      <c r="S6" s="556"/>
      <c r="U6" s="152"/>
    </row>
    <row r="7" spans="2:21" ht="18" hidden="1" customHeight="1" x14ac:dyDescent="0.2">
      <c r="B7" s="111"/>
      <c r="C7" s="112" t="s">
        <v>15</v>
      </c>
      <c r="D7" s="113" t="s">
        <v>16</v>
      </c>
      <c r="E7" s="101"/>
      <c r="F7" s="101"/>
      <c r="G7" s="101"/>
      <c r="H7" s="102"/>
      <c r="I7" s="102"/>
      <c r="J7" s="103"/>
      <c r="K7" s="102"/>
      <c r="L7" s="54"/>
      <c r="M7" s="103"/>
      <c r="N7" s="103"/>
      <c r="O7" s="103"/>
      <c r="P7" s="103"/>
      <c r="Q7" s="104">
        <f t="shared" ref="Q7:Q25" si="1">+M7</f>
        <v>0</v>
      </c>
      <c r="R7" s="103"/>
      <c r="S7" s="54"/>
    </row>
    <row r="8" spans="2:21" ht="18" hidden="1" customHeight="1" x14ac:dyDescent="0.2">
      <c r="B8" s="46"/>
      <c r="C8" s="62" t="s">
        <v>17</v>
      </c>
      <c r="D8" s="98" t="s">
        <v>18</v>
      </c>
      <c r="E8" s="42"/>
      <c r="F8" s="42"/>
      <c r="G8" s="42"/>
      <c r="H8" s="43"/>
      <c r="I8" s="43"/>
      <c r="J8" s="60"/>
      <c r="K8" s="43"/>
      <c r="L8" s="49"/>
      <c r="M8" s="60"/>
      <c r="N8" s="60"/>
      <c r="O8" s="60"/>
      <c r="P8" s="60"/>
      <c r="Q8" s="100">
        <f t="shared" si="1"/>
        <v>0</v>
      </c>
      <c r="R8" s="60"/>
      <c r="S8" s="49"/>
    </row>
    <row r="9" spans="2:21" ht="30.5" hidden="1" customHeight="1" thickBot="1" x14ac:dyDescent="0.25">
      <c r="B9" s="63"/>
      <c r="C9" s="120" t="s">
        <v>19</v>
      </c>
      <c r="D9" s="121" t="s">
        <v>13</v>
      </c>
      <c r="E9" s="122"/>
      <c r="F9" s="122"/>
      <c r="G9" s="122"/>
      <c r="H9" s="123"/>
      <c r="I9" s="123"/>
      <c r="J9" s="124"/>
      <c r="K9" s="123"/>
      <c r="L9" s="55"/>
      <c r="M9" s="124"/>
      <c r="N9" s="124"/>
      <c r="O9" s="124"/>
      <c r="P9" s="124"/>
      <c r="Q9" s="125">
        <f t="shared" si="1"/>
        <v>0</v>
      </c>
      <c r="R9" s="124"/>
      <c r="S9" s="55"/>
    </row>
    <row r="10" spans="2:21" ht="18" customHeight="1" x14ac:dyDescent="0.2">
      <c r="B10" s="538">
        <v>3</v>
      </c>
      <c r="C10" s="540" t="s">
        <v>20</v>
      </c>
      <c r="D10" s="105" t="s">
        <v>0</v>
      </c>
      <c r="E10" s="105"/>
      <c r="F10" s="105"/>
      <c r="G10" s="105"/>
      <c r="H10" s="106">
        <v>4</v>
      </c>
      <c r="I10" s="106">
        <v>6</v>
      </c>
      <c r="J10" s="106">
        <v>5</v>
      </c>
      <c r="K10" s="106">
        <f>+SUM(H10:J10)</f>
        <v>15</v>
      </c>
      <c r="L10" s="542">
        <f>+K11/K10</f>
        <v>193</v>
      </c>
      <c r="M10" s="106">
        <v>0</v>
      </c>
      <c r="N10" s="106">
        <v>1</v>
      </c>
      <c r="O10" s="106"/>
      <c r="P10" s="106"/>
      <c r="Q10" s="107">
        <f>+N10+M10+O10+P10</f>
        <v>1</v>
      </c>
      <c r="R10" s="106">
        <v>0</v>
      </c>
      <c r="S10" s="555">
        <v>0</v>
      </c>
      <c r="U10" s="152"/>
    </row>
    <row r="11" spans="2:21" ht="18" customHeight="1" thickBot="1" x14ac:dyDescent="0.25">
      <c r="B11" s="544"/>
      <c r="C11" s="545"/>
      <c r="D11" s="42" t="s">
        <v>13</v>
      </c>
      <c r="E11" s="42"/>
      <c r="F11" s="42"/>
      <c r="G11" s="42"/>
      <c r="H11" s="43">
        <v>399</v>
      </c>
      <c r="I11" s="43">
        <v>1012</v>
      </c>
      <c r="J11" s="43">
        <v>1484</v>
      </c>
      <c r="K11" s="43">
        <f t="shared" si="0"/>
        <v>2895</v>
      </c>
      <c r="L11" s="546"/>
      <c r="M11" s="43">
        <v>0</v>
      </c>
      <c r="N11" s="43">
        <v>345</v>
      </c>
      <c r="O11" s="43"/>
      <c r="P11" s="43"/>
      <c r="Q11" s="100">
        <f>+N11+M11+O11+P11</f>
        <v>345</v>
      </c>
      <c r="R11" s="43">
        <v>0</v>
      </c>
      <c r="S11" s="559"/>
      <c r="U11" s="152"/>
    </row>
    <row r="12" spans="2:21" ht="14.25" hidden="1" customHeight="1" thickBot="1" x14ac:dyDescent="0.25">
      <c r="B12" s="539"/>
      <c r="C12" s="541"/>
      <c r="D12" s="126" t="s">
        <v>21</v>
      </c>
      <c r="E12" s="126"/>
      <c r="F12" s="126"/>
      <c r="G12" s="126"/>
      <c r="H12" s="127">
        <v>1</v>
      </c>
      <c r="I12" s="127">
        <v>3</v>
      </c>
      <c r="J12" s="127">
        <v>4</v>
      </c>
      <c r="K12" s="127">
        <f>+SUM(H12:J12)</f>
        <v>8</v>
      </c>
      <c r="L12" s="543"/>
      <c r="M12" s="127"/>
      <c r="N12" s="127"/>
      <c r="O12" s="127"/>
      <c r="P12" s="127"/>
      <c r="Q12" s="110">
        <f t="shared" si="1"/>
        <v>0</v>
      </c>
      <c r="R12" s="127"/>
      <c r="S12" s="556"/>
    </row>
    <row r="13" spans="2:21" ht="18" customHeight="1" x14ac:dyDescent="0.2">
      <c r="B13" s="538">
        <v>4</v>
      </c>
      <c r="C13" s="540" t="s">
        <v>22</v>
      </c>
      <c r="D13" s="105" t="s">
        <v>0</v>
      </c>
      <c r="E13" s="105"/>
      <c r="F13" s="105"/>
      <c r="G13" s="105"/>
      <c r="H13" s="106">
        <v>14</v>
      </c>
      <c r="I13" s="106">
        <v>24</v>
      </c>
      <c r="J13" s="106">
        <v>23</v>
      </c>
      <c r="K13" s="106">
        <f t="shared" si="0"/>
        <v>61</v>
      </c>
      <c r="L13" s="542">
        <f>+K14/K13</f>
        <v>31.950819672131146</v>
      </c>
      <c r="M13" s="106">
        <v>22</v>
      </c>
      <c r="N13" s="106">
        <v>22</v>
      </c>
      <c r="O13" s="106">
        <v>22</v>
      </c>
      <c r="P13" s="106">
        <v>22</v>
      </c>
      <c r="Q13" s="107">
        <f>+P13</f>
        <v>22</v>
      </c>
      <c r="R13" s="106">
        <v>16</v>
      </c>
      <c r="S13" s="555">
        <f>+R14/R13</f>
        <v>35.1875</v>
      </c>
      <c r="U13" s="152"/>
    </row>
    <row r="14" spans="2:21" ht="18" customHeight="1" thickBot="1" x14ac:dyDescent="0.25">
      <c r="B14" s="539"/>
      <c r="C14" s="541"/>
      <c r="D14" s="108" t="s">
        <v>13</v>
      </c>
      <c r="E14" s="108"/>
      <c r="F14" s="108"/>
      <c r="G14" s="108"/>
      <c r="H14" s="109">
        <v>516</v>
      </c>
      <c r="I14" s="109">
        <v>652</v>
      </c>
      <c r="J14" s="109">
        <v>781</v>
      </c>
      <c r="K14" s="109">
        <f t="shared" si="0"/>
        <v>1949</v>
      </c>
      <c r="L14" s="543"/>
      <c r="M14" s="109">
        <v>762</v>
      </c>
      <c r="N14" s="109">
        <v>754</v>
      </c>
      <c r="O14" s="109">
        <v>718</v>
      </c>
      <c r="P14" s="109">
        <v>718</v>
      </c>
      <c r="Q14" s="110">
        <f>+P14</f>
        <v>718</v>
      </c>
      <c r="R14" s="109">
        <v>563</v>
      </c>
      <c r="S14" s="556"/>
    </row>
    <row r="15" spans="2:21" ht="18" customHeight="1" x14ac:dyDescent="0.2">
      <c r="B15" s="538">
        <v>5</v>
      </c>
      <c r="C15" s="540" t="s">
        <v>23</v>
      </c>
      <c r="D15" s="105" t="s">
        <v>0</v>
      </c>
      <c r="E15" s="105"/>
      <c r="F15" s="105"/>
      <c r="G15" s="105"/>
      <c r="H15" s="106">
        <v>16</v>
      </c>
      <c r="I15" s="106">
        <v>17</v>
      </c>
      <c r="J15" s="106">
        <v>19</v>
      </c>
      <c r="K15" s="106">
        <f t="shared" si="0"/>
        <v>52</v>
      </c>
      <c r="L15" s="542">
        <f>+K16/K15</f>
        <v>34.384615384615387</v>
      </c>
      <c r="M15" s="106">
        <v>0</v>
      </c>
      <c r="N15" s="106">
        <v>2</v>
      </c>
      <c r="O15" s="106">
        <v>8</v>
      </c>
      <c r="P15" s="106">
        <v>10</v>
      </c>
      <c r="Q15" s="107">
        <f>M15+N15+O15+P15</f>
        <v>20</v>
      </c>
      <c r="R15" s="106">
        <v>0</v>
      </c>
      <c r="S15" s="555">
        <v>0</v>
      </c>
    </row>
    <row r="16" spans="2:21" ht="18" customHeight="1" thickBot="1" x14ac:dyDescent="0.25">
      <c r="B16" s="539"/>
      <c r="C16" s="541"/>
      <c r="D16" s="108" t="s">
        <v>13</v>
      </c>
      <c r="E16" s="108"/>
      <c r="F16" s="108"/>
      <c r="G16" s="108"/>
      <c r="H16" s="109">
        <v>527</v>
      </c>
      <c r="I16" s="109">
        <v>429</v>
      </c>
      <c r="J16" s="109">
        <f>770+62</f>
        <v>832</v>
      </c>
      <c r="K16" s="109">
        <f t="shared" si="0"/>
        <v>1788</v>
      </c>
      <c r="L16" s="543"/>
      <c r="M16" s="109">
        <v>0</v>
      </c>
      <c r="N16" s="109">
        <v>86</v>
      </c>
      <c r="O16" s="109">
        <v>261</v>
      </c>
      <c r="P16" s="109">
        <v>354</v>
      </c>
      <c r="Q16" s="110">
        <f>M16+N16+O16+P16</f>
        <v>701</v>
      </c>
      <c r="R16" s="109">
        <v>0</v>
      </c>
      <c r="S16" s="556"/>
      <c r="U16" s="61"/>
    </row>
    <row r="17" spans="2:24" ht="18" customHeight="1" x14ac:dyDescent="0.2">
      <c r="B17" s="549">
        <v>6</v>
      </c>
      <c r="C17" s="558" t="s">
        <v>24</v>
      </c>
      <c r="D17" s="128" t="s">
        <v>0</v>
      </c>
      <c r="E17" s="128"/>
      <c r="F17" s="128"/>
      <c r="G17" s="128"/>
      <c r="H17" s="114">
        <v>23</v>
      </c>
      <c r="I17" s="114">
        <v>17</v>
      </c>
      <c r="J17" s="114">
        <v>18</v>
      </c>
      <c r="K17" s="106">
        <f t="shared" si="0"/>
        <v>58</v>
      </c>
      <c r="L17" s="542">
        <f>+K18/K17</f>
        <v>32.379310344827587</v>
      </c>
      <c r="M17" s="114">
        <v>12</v>
      </c>
      <c r="N17" s="114">
        <v>1</v>
      </c>
      <c r="O17" s="114">
        <v>1</v>
      </c>
      <c r="P17" s="114">
        <v>4</v>
      </c>
      <c r="Q17" s="107">
        <f>+N17+M17+O17+P17</f>
        <v>18</v>
      </c>
      <c r="R17" s="114">
        <v>0</v>
      </c>
      <c r="S17" s="555">
        <v>0</v>
      </c>
    </row>
    <row r="18" spans="2:24" ht="18" customHeight="1" thickBot="1" x14ac:dyDescent="0.25">
      <c r="B18" s="550"/>
      <c r="C18" s="548"/>
      <c r="D18" s="129" t="s">
        <v>13</v>
      </c>
      <c r="E18" s="129"/>
      <c r="F18" s="129"/>
      <c r="G18" s="129"/>
      <c r="H18" s="115">
        <v>864</v>
      </c>
      <c r="I18" s="115">
        <v>493</v>
      </c>
      <c r="J18" s="115">
        <v>521</v>
      </c>
      <c r="K18" s="109">
        <f t="shared" si="0"/>
        <v>1878</v>
      </c>
      <c r="L18" s="543"/>
      <c r="M18" s="115">
        <v>427</v>
      </c>
      <c r="N18" s="115">
        <v>82</v>
      </c>
      <c r="O18" s="115">
        <v>35</v>
      </c>
      <c r="P18" s="115">
        <v>142</v>
      </c>
      <c r="Q18" s="110">
        <f>+N18+M18+O18+P18</f>
        <v>686</v>
      </c>
      <c r="R18" s="115">
        <v>0</v>
      </c>
      <c r="S18" s="556"/>
      <c r="U18" s="61"/>
    </row>
    <row r="19" spans="2:24" ht="18" customHeight="1" x14ac:dyDescent="0.2">
      <c r="B19" s="549">
        <v>7</v>
      </c>
      <c r="C19" s="547" t="s">
        <v>25</v>
      </c>
      <c r="D19" s="128" t="s">
        <v>0</v>
      </c>
      <c r="E19" s="128"/>
      <c r="F19" s="128"/>
      <c r="G19" s="128"/>
      <c r="H19" s="114"/>
      <c r="I19" s="114"/>
      <c r="J19" s="114"/>
      <c r="K19" s="106"/>
      <c r="L19" s="542"/>
      <c r="M19" s="114">
        <v>4</v>
      </c>
      <c r="N19" s="114">
        <v>2</v>
      </c>
      <c r="O19" s="114">
        <v>2</v>
      </c>
      <c r="P19" s="114">
        <v>0</v>
      </c>
      <c r="Q19" s="107">
        <f>+P19</f>
        <v>0</v>
      </c>
      <c r="R19" s="114">
        <v>10</v>
      </c>
      <c r="S19" s="555">
        <f>+R20/R19</f>
        <v>17.5</v>
      </c>
    </row>
    <row r="20" spans="2:24" ht="18" customHeight="1" thickBot="1" x14ac:dyDescent="0.25">
      <c r="B20" s="550"/>
      <c r="C20" s="548"/>
      <c r="D20" s="143" t="s">
        <v>13</v>
      </c>
      <c r="E20" s="143"/>
      <c r="F20" s="143"/>
      <c r="G20" s="143"/>
      <c r="H20" s="144"/>
      <c r="I20" s="144"/>
      <c r="J20" s="144"/>
      <c r="K20" s="145"/>
      <c r="L20" s="543"/>
      <c r="M20" s="144">
        <v>192</v>
      </c>
      <c r="N20" s="144">
        <v>43</v>
      </c>
      <c r="O20" s="144">
        <v>43</v>
      </c>
      <c r="P20" s="144">
        <v>0</v>
      </c>
      <c r="Q20" s="146">
        <f>+P20</f>
        <v>0</v>
      </c>
      <c r="R20" s="144">
        <v>175</v>
      </c>
      <c r="S20" s="556"/>
    </row>
    <row r="21" spans="2:24" ht="18" customHeight="1" x14ac:dyDescent="0.2">
      <c r="B21" s="549">
        <v>8</v>
      </c>
      <c r="C21" s="547" t="s">
        <v>26</v>
      </c>
      <c r="D21" s="105" t="s">
        <v>0</v>
      </c>
      <c r="E21" s="105"/>
      <c r="F21" s="105"/>
      <c r="G21" s="105"/>
      <c r="H21" s="106"/>
      <c r="I21" s="106">
        <v>1</v>
      </c>
      <c r="J21" s="106">
        <v>3</v>
      </c>
      <c r="K21" s="106">
        <f t="shared" si="0"/>
        <v>4</v>
      </c>
      <c r="L21" s="542">
        <f>+K22/K21</f>
        <v>23.5</v>
      </c>
      <c r="M21" s="106">
        <v>2</v>
      </c>
      <c r="N21" s="106">
        <v>2</v>
      </c>
      <c r="O21" s="106">
        <v>1</v>
      </c>
      <c r="P21" s="106">
        <v>1</v>
      </c>
      <c r="Q21" s="107">
        <f>+P21</f>
        <v>1</v>
      </c>
      <c r="R21" s="106">
        <v>1</v>
      </c>
      <c r="S21" s="555">
        <f>+R22/R21</f>
        <v>35</v>
      </c>
    </row>
    <row r="22" spans="2:24" ht="18" customHeight="1" thickBot="1" x14ac:dyDescent="0.25">
      <c r="B22" s="550"/>
      <c r="C22" s="557"/>
      <c r="D22" s="108" t="s">
        <v>13</v>
      </c>
      <c r="E22" s="108"/>
      <c r="F22" s="108"/>
      <c r="G22" s="108"/>
      <c r="H22" s="109"/>
      <c r="I22" s="109">
        <v>35</v>
      </c>
      <c r="J22" s="109">
        <v>59</v>
      </c>
      <c r="K22" s="109">
        <f t="shared" si="0"/>
        <v>94</v>
      </c>
      <c r="L22" s="543"/>
      <c r="M22" s="109">
        <v>70</v>
      </c>
      <c r="N22" s="109">
        <v>70</v>
      </c>
      <c r="O22" s="109">
        <v>35</v>
      </c>
      <c r="P22" s="109">
        <v>35</v>
      </c>
      <c r="Q22" s="110">
        <f>+P22</f>
        <v>35</v>
      </c>
      <c r="R22" s="109">
        <v>35</v>
      </c>
      <c r="S22" s="556"/>
    </row>
    <row r="23" spans="2:24" s="148" customFormat="1" ht="14.25" hidden="1" customHeight="1" thickBot="1" x14ac:dyDescent="0.25">
      <c r="B23" s="130"/>
      <c r="C23" s="131" t="s">
        <v>27</v>
      </c>
      <c r="D23" s="132" t="s">
        <v>13</v>
      </c>
      <c r="E23" s="132"/>
      <c r="F23" s="132"/>
      <c r="G23" s="132"/>
      <c r="H23" s="133">
        <v>864</v>
      </c>
      <c r="I23" s="133">
        <v>493</v>
      </c>
      <c r="J23" s="133">
        <v>551</v>
      </c>
      <c r="K23" s="133">
        <f t="shared" si="0"/>
        <v>1908</v>
      </c>
      <c r="L23" s="134">
        <f>+K23/3</f>
        <v>636</v>
      </c>
      <c r="M23" s="133"/>
      <c r="N23" s="133"/>
      <c r="O23" s="133"/>
      <c r="P23" s="133"/>
      <c r="Q23" s="147">
        <f t="shared" si="1"/>
        <v>0</v>
      </c>
      <c r="R23" s="133"/>
      <c r="S23" s="134"/>
    </row>
    <row r="24" spans="2:24" s="148" customFormat="1" ht="14.25" hidden="1" customHeight="1" thickBot="1" x14ac:dyDescent="0.25">
      <c r="B24" s="553"/>
      <c r="C24" s="551" t="s">
        <v>28</v>
      </c>
      <c r="D24" s="98" t="s">
        <v>0</v>
      </c>
      <c r="E24" s="98"/>
      <c r="F24" s="98"/>
      <c r="G24" s="98"/>
      <c r="H24" s="56"/>
      <c r="I24" s="56"/>
      <c r="J24" s="56"/>
      <c r="K24" s="56"/>
      <c r="L24" s="560"/>
      <c r="M24" s="56"/>
      <c r="N24" s="56"/>
      <c r="O24" s="56"/>
      <c r="P24" s="56"/>
      <c r="Q24" s="149">
        <f t="shared" si="1"/>
        <v>0</v>
      </c>
      <c r="R24" s="56"/>
      <c r="S24" s="560"/>
    </row>
    <row r="25" spans="2:24" s="148" customFormat="1" ht="14.25" hidden="1" customHeight="1" thickBot="1" x14ac:dyDescent="0.25">
      <c r="B25" s="554"/>
      <c r="C25" s="552"/>
      <c r="D25" s="121" t="s">
        <v>13</v>
      </c>
      <c r="E25" s="121"/>
      <c r="F25" s="121"/>
      <c r="G25" s="121"/>
      <c r="H25" s="150"/>
      <c r="I25" s="150"/>
      <c r="J25" s="150"/>
      <c r="K25" s="150"/>
      <c r="L25" s="561"/>
      <c r="M25" s="150"/>
      <c r="N25" s="150"/>
      <c r="O25" s="150"/>
      <c r="P25" s="150"/>
      <c r="Q25" s="151">
        <f t="shared" si="1"/>
        <v>0</v>
      </c>
      <c r="R25" s="150"/>
      <c r="S25" s="561"/>
    </row>
    <row r="26" spans="2:24" ht="18" customHeight="1" x14ac:dyDescent="0.2">
      <c r="B26" s="549">
        <v>9</v>
      </c>
      <c r="C26" s="547" t="s">
        <v>29</v>
      </c>
      <c r="D26" s="105" t="s">
        <v>0</v>
      </c>
      <c r="E26" s="105"/>
      <c r="F26" s="105"/>
      <c r="G26" s="105"/>
      <c r="H26" s="106">
        <v>25</v>
      </c>
      <c r="I26" s="106">
        <v>15</v>
      </c>
      <c r="J26" s="106">
        <v>15</v>
      </c>
      <c r="K26" s="106">
        <f>+SUM(H26:J26)</f>
        <v>55</v>
      </c>
      <c r="L26" s="542">
        <f>+K27/K26</f>
        <v>38.109090909090909</v>
      </c>
      <c r="M26" s="106">
        <v>4</v>
      </c>
      <c r="N26" s="106">
        <v>4</v>
      </c>
      <c r="O26" s="106">
        <v>8</v>
      </c>
      <c r="P26" s="106">
        <v>4</v>
      </c>
      <c r="Q26" s="107">
        <f>+N26+M26+O26+P26</f>
        <v>20</v>
      </c>
      <c r="R26" s="106">
        <v>2</v>
      </c>
      <c r="S26" s="555">
        <f>+R27/R26</f>
        <v>23</v>
      </c>
      <c r="T26" s="61">
        <f>+T27-Q27</f>
        <v>0</v>
      </c>
      <c r="W26" s="48" t="s">
        <v>30</v>
      </c>
      <c r="X26" s="48">
        <v>175</v>
      </c>
    </row>
    <row r="27" spans="2:24" ht="18" customHeight="1" thickBot="1" x14ac:dyDescent="0.25">
      <c r="B27" s="550"/>
      <c r="C27" s="548"/>
      <c r="D27" s="108" t="s">
        <v>13</v>
      </c>
      <c r="E27" s="108"/>
      <c r="F27" s="108"/>
      <c r="G27" s="108"/>
      <c r="H27" s="109">
        <v>1004</v>
      </c>
      <c r="I27" s="109">
        <v>616</v>
      </c>
      <c r="J27" s="109">
        <v>476</v>
      </c>
      <c r="K27" s="109">
        <f>+SUM(H27:J27)</f>
        <v>2096</v>
      </c>
      <c r="L27" s="543"/>
      <c r="M27" s="109">
        <v>197</v>
      </c>
      <c r="N27" s="109">
        <v>83</v>
      </c>
      <c r="O27" s="109">
        <v>269</v>
      </c>
      <c r="P27" s="109">
        <v>157</v>
      </c>
      <c r="Q27" s="110">
        <f>+N27+M27+O27+P27</f>
        <v>706</v>
      </c>
      <c r="R27" s="109">
        <v>46</v>
      </c>
      <c r="S27" s="556"/>
      <c r="T27" s="48">
        <v>706</v>
      </c>
      <c r="W27" s="48" t="s">
        <v>31</v>
      </c>
      <c r="X27" s="48">
        <v>220</v>
      </c>
    </row>
    <row r="28" spans="2:24" ht="18" customHeight="1" x14ac:dyDescent="0.2">
      <c r="B28" s="549">
        <v>10</v>
      </c>
      <c r="C28" s="547" t="s">
        <v>32</v>
      </c>
      <c r="D28" s="128" t="s">
        <v>0</v>
      </c>
      <c r="E28" s="105"/>
      <c r="F28" s="105"/>
      <c r="G28" s="105"/>
      <c r="H28" s="106"/>
      <c r="I28" s="106"/>
      <c r="J28" s="106">
        <v>8</v>
      </c>
      <c r="K28" s="106">
        <f t="shared" ref="K28:K29" si="2">+SUM(H28:J28)</f>
        <v>8</v>
      </c>
      <c r="L28" s="542">
        <f>+K29/K28</f>
        <v>35.75</v>
      </c>
      <c r="M28" s="106">
        <v>5</v>
      </c>
      <c r="N28" s="106">
        <v>3</v>
      </c>
      <c r="O28" s="106">
        <v>2</v>
      </c>
      <c r="P28" s="106">
        <v>5</v>
      </c>
      <c r="Q28" s="107">
        <f>+P28</f>
        <v>5</v>
      </c>
      <c r="R28" s="106">
        <v>5</v>
      </c>
      <c r="S28" s="555">
        <f>+R29/R28</f>
        <v>50.8</v>
      </c>
      <c r="U28" s="48" t="s">
        <v>33</v>
      </c>
      <c r="V28" s="48" t="s">
        <v>34</v>
      </c>
    </row>
    <row r="29" spans="2:24" ht="18" customHeight="1" thickBot="1" x14ac:dyDescent="0.25">
      <c r="B29" s="550"/>
      <c r="C29" s="548"/>
      <c r="D29" s="129" t="s">
        <v>35</v>
      </c>
      <c r="E29" s="108"/>
      <c r="F29" s="108"/>
      <c r="G29" s="108"/>
      <c r="H29" s="109"/>
      <c r="I29" s="109"/>
      <c r="J29" s="109">
        <v>286</v>
      </c>
      <c r="K29" s="109">
        <f t="shared" si="2"/>
        <v>286</v>
      </c>
      <c r="L29" s="543"/>
      <c r="M29" s="109">
        <v>110</v>
      </c>
      <c r="N29" s="109">
        <v>60</v>
      </c>
      <c r="O29" s="109">
        <v>26.8</v>
      </c>
      <c r="P29" s="109">
        <f>227+27</f>
        <v>254</v>
      </c>
      <c r="Q29" s="110">
        <f>+P29</f>
        <v>254</v>
      </c>
      <c r="R29" s="109">
        <v>254</v>
      </c>
      <c r="S29" s="556"/>
      <c r="V29" s="48" t="s">
        <v>36</v>
      </c>
      <c r="W29" s="48">
        <v>80</v>
      </c>
    </row>
    <row r="30" spans="2:24" ht="18" customHeight="1" thickBot="1" x14ac:dyDescent="0.25">
      <c r="B30" s="135">
        <v>11</v>
      </c>
      <c r="C30" s="136" t="s">
        <v>37</v>
      </c>
      <c r="D30" s="137" t="s">
        <v>38</v>
      </c>
      <c r="E30" s="137"/>
      <c r="F30" s="137"/>
      <c r="G30" s="137"/>
      <c r="H30" s="138">
        <f>+IFERROR(H16/H14,0)</f>
        <v>1.0213178294573644</v>
      </c>
      <c r="I30" s="138">
        <f t="shared" ref="I30:J30" si="3">+IFERROR(I16/I14,0)</f>
        <v>0.65797546012269936</v>
      </c>
      <c r="J30" s="138">
        <f t="shared" si="3"/>
        <v>1.0653008962868118</v>
      </c>
      <c r="K30" s="139">
        <f>+AVERAGE(H30:J30)</f>
        <v>0.91486472862229196</v>
      </c>
      <c r="L30" s="140" t="s">
        <v>39</v>
      </c>
      <c r="M30" s="138" t="s">
        <v>39</v>
      </c>
      <c r="N30" s="138">
        <f t="shared" ref="N30:Q30" si="4">+IFERROR(N16/N14,0)</f>
        <v>0.11405835543766578</v>
      </c>
      <c r="O30" s="138">
        <f t="shared" si="4"/>
        <v>0.36350974930362118</v>
      </c>
      <c r="P30" s="138">
        <f t="shared" si="4"/>
        <v>0.49303621169916434</v>
      </c>
      <c r="Q30" s="141">
        <f t="shared" si="4"/>
        <v>0.9763231197771588</v>
      </c>
      <c r="R30" s="138">
        <v>0</v>
      </c>
      <c r="S30" s="142">
        <v>0</v>
      </c>
      <c r="W30" s="48">
        <v>240</v>
      </c>
    </row>
    <row r="31" spans="2:24" ht="18" customHeight="1" thickBot="1" x14ac:dyDescent="0.25">
      <c r="B31" s="135">
        <v>12</v>
      </c>
      <c r="C31" s="136" t="s">
        <v>40</v>
      </c>
      <c r="D31" s="137" t="s">
        <v>38</v>
      </c>
      <c r="E31" s="137"/>
      <c r="F31" s="137"/>
      <c r="G31" s="137"/>
      <c r="H31" s="139">
        <v>0.73</v>
      </c>
      <c r="I31" s="139">
        <v>0.67</v>
      </c>
      <c r="J31" s="139">
        <v>0.76</v>
      </c>
      <c r="K31" s="139">
        <f>+AVERAGE(H31:J31)</f>
        <v>0.72000000000000008</v>
      </c>
      <c r="L31" s="140" t="s">
        <v>39</v>
      </c>
      <c r="M31" s="139" t="s">
        <v>39</v>
      </c>
      <c r="N31" s="139" t="s">
        <v>39</v>
      </c>
      <c r="O31" s="139" t="s">
        <v>39</v>
      </c>
      <c r="P31" s="139" t="s">
        <v>39</v>
      </c>
      <c r="Q31" s="141">
        <v>0.84</v>
      </c>
      <c r="R31" s="139">
        <v>0</v>
      </c>
      <c r="S31" s="142">
        <v>0</v>
      </c>
      <c r="W31" s="48">
        <v>150</v>
      </c>
    </row>
    <row r="34" spans="4:19" x14ac:dyDescent="0.2">
      <c r="D34" s="53"/>
      <c r="E34" s="53"/>
      <c r="F34" s="53"/>
      <c r="G34" s="53"/>
      <c r="Q34" s="61"/>
      <c r="R34" s="61"/>
      <c r="S34" s="61"/>
    </row>
    <row r="35" spans="4:19" x14ac:dyDescent="0.2">
      <c r="D35" s="53"/>
      <c r="E35" s="53"/>
      <c r="F35" s="53"/>
      <c r="G35" s="53"/>
      <c r="Q35" s="61"/>
      <c r="R35" s="61"/>
      <c r="S35" s="61"/>
    </row>
  </sheetData>
  <mergeCells count="44">
    <mergeCell ref="S24:S25"/>
    <mergeCell ref="S26:S27"/>
    <mergeCell ref="S28:S29"/>
    <mergeCell ref="C19:C20"/>
    <mergeCell ref="L19:L20"/>
    <mergeCell ref="S19:S20"/>
    <mergeCell ref="L24:L25"/>
    <mergeCell ref="L28:L29"/>
    <mergeCell ref="L26:L27"/>
    <mergeCell ref="S3:S4"/>
    <mergeCell ref="S5:S6"/>
    <mergeCell ref="S10:S12"/>
    <mergeCell ref="S13:S14"/>
    <mergeCell ref="S15:S16"/>
    <mergeCell ref="S17:S18"/>
    <mergeCell ref="S21:S22"/>
    <mergeCell ref="C21:C22"/>
    <mergeCell ref="B17:B18"/>
    <mergeCell ref="C17:C18"/>
    <mergeCell ref="B21:B22"/>
    <mergeCell ref="L17:L18"/>
    <mergeCell ref="L21:L22"/>
    <mergeCell ref="B19:B20"/>
    <mergeCell ref="B15:B16"/>
    <mergeCell ref="C15:C16"/>
    <mergeCell ref="L15:L16"/>
    <mergeCell ref="C28:C29"/>
    <mergeCell ref="B28:B29"/>
    <mergeCell ref="C26:C27"/>
    <mergeCell ref="B26:B27"/>
    <mergeCell ref="C24:C25"/>
    <mergeCell ref="B24:B25"/>
    <mergeCell ref="B10:B12"/>
    <mergeCell ref="C10:C12"/>
    <mergeCell ref="L10:L12"/>
    <mergeCell ref="B13:B14"/>
    <mergeCell ref="C13:C14"/>
    <mergeCell ref="L13:L14"/>
    <mergeCell ref="B3:B4"/>
    <mergeCell ref="C3:C4"/>
    <mergeCell ref="L3:L4"/>
    <mergeCell ref="B5:B6"/>
    <mergeCell ref="C5:C6"/>
    <mergeCell ref="L5:L6"/>
  </mergeCells>
  <pageMargins left="0.7" right="0.7" top="0.75" bottom="0.75" header="0.3" footer="0.3"/>
  <ignoredErrors>
    <ignoredError sqref="K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F139-FCE1-436D-AC40-3B36FE214488}">
  <sheetPr codeName="Hoja2"/>
  <dimension ref="B2:K71"/>
  <sheetViews>
    <sheetView workbookViewId="0">
      <selection activeCell="D35" sqref="D35"/>
    </sheetView>
  </sheetViews>
  <sheetFormatPr baseColWidth="10" defaultColWidth="11.5" defaultRowHeight="15" x14ac:dyDescent="0.2"/>
  <cols>
    <col min="3" max="4" width="52" customWidth="1"/>
    <col min="5" max="5" width="49.1640625" customWidth="1"/>
    <col min="6" max="6" width="94" bestFit="1" customWidth="1"/>
    <col min="7" max="7" width="13.83203125" bestFit="1" customWidth="1"/>
    <col min="8" max="8" width="19" bestFit="1" customWidth="1"/>
    <col min="10" max="10" width="22.83203125" bestFit="1" customWidth="1"/>
    <col min="11" max="11" width="22.83203125" customWidth="1"/>
    <col min="12" max="12" width="2" bestFit="1" customWidth="1"/>
    <col min="13" max="13" width="4.83203125" customWidth="1"/>
    <col min="14" max="14" width="2" customWidth="1"/>
    <col min="15" max="15" width="50.1640625" customWidth="1"/>
    <col min="16" max="16" width="16.1640625" customWidth="1"/>
    <col min="17" max="17" width="41" bestFit="1" customWidth="1"/>
  </cols>
  <sheetData>
    <row r="2" spans="2:9" ht="16" thickBot="1" x14ac:dyDescent="0.25"/>
    <row r="3" spans="2:9" ht="16" thickBot="1" x14ac:dyDescent="0.25">
      <c r="B3" s="3" t="s">
        <v>41</v>
      </c>
      <c r="C3" s="83" t="s">
        <v>42</v>
      </c>
      <c r="D3" s="84" t="s">
        <v>43</v>
      </c>
      <c r="E3" s="83" t="s">
        <v>44</v>
      </c>
      <c r="F3" s="83" t="s">
        <v>45</v>
      </c>
      <c r="G3" s="84" t="s">
        <v>46</v>
      </c>
      <c r="H3" s="4" t="s">
        <v>47</v>
      </c>
    </row>
    <row r="4" spans="2:9" x14ac:dyDescent="0.2">
      <c r="B4" s="5">
        <v>1</v>
      </c>
      <c r="C4" s="85" t="s">
        <v>48</v>
      </c>
      <c r="D4" s="9">
        <v>190</v>
      </c>
      <c r="E4" s="85"/>
      <c r="F4" s="94" t="s">
        <v>49</v>
      </c>
      <c r="G4" s="91"/>
      <c r="H4" s="86"/>
      <c r="I4" s="59">
        <f>+SUM(D4:D11)</f>
        <v>673</v>
      </c>
    </row>
    <row r="5" spans="2:9" x14ac:dyDescent="0.2">
      <c r="B5" s="7">
        <v>2</v>
      </c>
      <c r="C5" s="87" t="s">
        <v>50</v>
      </c>
      <c r="D5" s="9">
        <v>75</v>
      </c>
      <c r="E5" s="87"/>
      <c r="F5" s="95" t="s">
        <v>49</v>
      </c>
      <c r="G5" s="92"/>
      <c r="H5" s="88"/>
    </row>
    <row r="6" spans="2:9" x14ac:dyDescent="0.2">
      <c r="B6" s="7">
        <v>3</v>
      </c>
      <c r="C6" s="87" t="s">
        <v>51</v>
      </c>
      <c r="D6" s="9">
        <v>90</v>
      </c>
      <c r="E6" s="87"/>
      <c r="F6" s="95" t="s">
        <v>49</v>
      </c>
      <c r="G6" s="92"/>
      <c r="H6" s="88"/>
    </row>
    <row r="7" spans="2:9" x14ac:dyDescent="0.2">
      <c r="B7" s="7">
        <v>4</v>
      </c>
      <c r="C7" s="87" t="s">
        <v>52</v>
      </c>
      <c r="D7" s="9">
        <v>43</v>
      </c>
      <c r="E7" s="87"/>
      <c r="F7" s="95" t="s">
        <v>49</v>
      </c>
      <c r="G7" s="92"/>
      <c r="H7" s="88"/>
    </row>
    <row r="8" spans="2:9" x14ac:dyDescent="0.2">
      <c r="B8" s="7">
        <v>5</v>
      </c>
      <c r="C8" s="87" t="s">
        <v>53</v>
      </c>
      <c r="D8" s="9">
        <v>50</v>
      </c>
      <c r="E8" s="87"/>
      <c r="F8" s="95" t="s">
        <v>49</v>
      </c>
      <c r="G8" s="92"/>
      <c r="H8" s="88"/>
    </row>
    <row r="9" spans="2:9" x14ac:dyDescent="0.2">
      <c r="B9" s="7">
        <v>6</v>
      </c>
      <c r="C9" s="87" t="s">
        <v>54</v>
      </c>
      <c r="D9" s="9">
        <v>95</v>
      </c>
      <c r="E9" s="87"/>
      <c r="F9" s="95" t="s">
        <v>49</v>
      </c>
      <c r="G9" s="92"/>
      <c r="H9" s="88"/>
    </row>
    <row r="10" spans="2:9" x14ac:dyDescent="0.2">
      <c r="B10" s="7">
        <v>7</v>
      </c>
      <c r="C10" s="92" t="s">
        <v>55</v>
      </c>
      <c r="D10" s="9">
        <v>60</v>
      </c>
      <c r="E10" s="87"/>
      <c r="F10" s="95" t="s">
        <v>49</v>
      </c>
      <c r="G10" s="92"/>
      <c r="H10" s="88"/>
    </row>
    <row r="11" spans="2:9" ht="16" thickBot="1" x14ac:dyDescent="0.25">
      <c r="B11" s="7">
        <v>8</v>
      </c>
      <c r="C11" s="92" t="s">
        <v>56</v>
      </c>
      <c r="D11" s="9">
        <v>70</v>
      </c>
      <c r="E11" s="87"/>
      <c r="F11" s="95" t="s">
        <v>49</v>
      </c>
      <c r="G11" s="92"/>
      <c r="H11" s="88"/>
    </row>
    <row r="12" spans="2:9" x14ac:dyDescent="0.2">
      <c r="B12" s="7">
        <v>9</v>
      </c>
      <c r="C12" s="6" t="s">
        <v>57</v>
      </c>
      <c r="D12" s="75">
        <v>133</v>
      </c>
      <c r="E12" s="85"/>
      <c r="F12" s="94" t="s">
        <v>58</v>
      </c>
      <c r="G12" s="91"/>
      <c r="H12" s="86"/>
      <c r="I12" s="59">
        <f>+SUM(D12:D17)</f>
        <v>524</v>
      </c>
    </row>
    <row r="13" spans="2:9" x14ac:dyDescent="0.2">
      <c r="B13" s="7">
        <v>10</v>
      </c>
      <c r="C13" s="8" t="s">
        <v>59</v>
      </c>
      <c r="D13" s="76">
        <v>85</v>
      </c>
      <c r="E13" s="87"/>
      <c r="F13" s="97" t="s">
        <v>60</v>
      </c>
      <c r="G13" s="92"/>
      <c r="H13" s="88"/>
    </row>
    <row r="14" spans="2:9" x14ac:dyDescent="0.2">
      <c r="B14" s="7">
        <v>11</v>
      </c>
      <c r="C14" s="8" t="s">
        <v>61</v>
      </c>
      <c r="D14" s="76">
        <v>100</v>
      </c>
      <c r="E14" s="87"/>
      <c r="F14" s="97" t="s">
        <v>62</v>
      </c>
      <c r="G14" s="92"/>
      <c r="H14" s="88"/>
    </row>
    <row r="15" spans="2:9" x14ac:dyDescent="0.2">
      <c r="B15" s="7">
        <v>12</v>
      </c>
      <c r="C15" s="8" t="s">
        <v>63</v>
      </c>
      <c r="D15" s="76">
        <v>100</v>
      </c>
      <c r="E15" s="87"/>
      <c r="F15" s="97" t="s">
        <v>64</v>
      </c>
      <c r="G15" s="92"/>
      <c r="H15" s="88"/>
    </row>
    <row r="16" spans="2:9" x14ac:dyDescent="0.2">
      <c r="B16" s="7">
        <v>13</v>
      </c>
      <c r="C16" s="8" t="s">
        <v>65</v>
      </c>
      <c r="D16" s="76">
        <v>66</v>
      </c>
      <c r="E16" s="87"/>
      <c r="F16" s="97" t="s">
        <v>66</v>
      </c>
      <c r="G16" s="92"/>
      <c r="H16" s="88"/>
    </row>
    <row r="17" spans="2:11" ht="16" thickBot="1" x14ac:dyDescent="0.25">
      <c r="B17" s="7">
        <v>14</v>
      </c>
      <c r="C17" s="13" t="s">
        <v>67</v>
      </c>
      <c r="D17" s="77">
        <v>40</v>
      </c>
      <c r="E17" s="89"/>
      <c r="F17" s="96" t="s">
        <v>68</v>
      </c>
      <c r="G17" s="93"/>
      <c r="H17" s="90"/>
    </row>
    <row r="18" spans="2:11" x14ac:dyDescent="0.2">
      <c r="B18" s="7">
        <v>15</v>
      </c>
      <c r="C18" s="8" t="s">
        <v>69</v>
      </c>
      <c r="D18" s="76">
        <v>20</v>
      </c>
      <c r="E18" s="87"/>
      <c r="F18" s="95" t="s">
        <v>60</v>
      </c>
      <c r="G18" s="92"/>
      <c r="H18" s="88"/>
      <c r="I18" s="59">
        <f>+SUM(D18:D20)</f>
        <v>300</v>
      </c>
    </row>
    <row r="19" spans="2:11" x14ac:dyDescent="0.2">
      <c r="B19" s="7">
        <v>16</v>
      </c>
      <c r="C19" s="8" t="s">
        <v>70</v>
      </c>
      <c r="D19" s="76">
        <v>160</v>
      </c>
      <c r="E19" s="87"/>
      <c r="F19" s="95" t="s">
        <v>60</v>
      </c>
      <c r="G19" s="92"/>
      <c r="H19" s="88"/>
    </row>
    <row r="20" spans="2:11" ht="16" thickBot="1" x14ac:dyDescent="0.25">
      <c r="B20" s="7">
        <v>17</v>
      </c>
      <c r="C20" s="8" t="s">
        <v>71</v>
      </c>
      <c r="D20" s="77">
        <v>120</v>
      </c>
      <c r="E20" s="87"/>
      <c r="F20" s="95" t="s">
        <v>60</v>
      </c>
      <c r="G20" s="92"/>
      <c r="H20" s="88"/>
    </row>
    <row r="21" spans="2:11" x14ac:dyDescent="0.2">
      <c r="B21" s="7">
        <v>18</v>
      </c>
      <c r="C21" s="8" t="s">
        <v>72</v>
      </c>
      <c r="D21" s="9">
        <v>250</v>
      </c>
      <c r="E21" s="10">
        <v>45572</v>
      </c>
      <c r="F21" s="8" t="s">
        <v>62</v>
      </c>
      <c r="G21" s="11" t="s">
        <v>73</v>
      </c>
      <c r="H21" s="12" t="s">
        <v>73</v>
      </c>
      <c r="I21">
        <f>+SUM(D21:D24)</f>
        <v>398.5</v>
      </c>
      <c r="J21" t="s">
        <v>74</v>
      </c>
      <c r="K21" t="s">
        <v>0</v>
      </c>
    </row>
    <row r="22" spans="2:11" x14ac:dyDescent="0.2">
      <c r="B22" s="7">
        <v>19</v>
      </c>
      <c r="C22" s="8" t="s">
        <v>75</v>
      </c>
      <c r="D22" s="9">
        <v>100</v>
      </c>
      <c r="E22" s="10">
        <v>45579</v>
      </c>
      <c r="F22" s="8" t="s">
        <v>62</v>
      </c>
      <c r="G22" s="11" t="s">
        <v>73</v>
      </c>
      <c r="H22" s="12" t="s">
        <v>76</v>
      </c>
      <c r="K22" t="s">
        <v>13</v>
      </c>
    </row>
    <row r="23" spans="2:11" x14ac:dyDescent="0.2">
      <c r="B23" s="58">
        <v>20</v>
      </c>
      <c r="C23" s="8" t="s">
        <v>77</v>
      </c>
      <c r="D23" s="9">
        <v>20</v>
      </c>
      <c r="E23" s="10">
        <v>45579</v>
      </c>
      <c r="F23" s="8" t="s">
        <v>62</v>
      </c>
      <c r="G23" s="11" t="s">
        <v>73</v>
      </c>
      <c r="H23" s="12" t="s">
        <v>76</v>
      </c>
    </row>
    <row r="24" spans="2:11" ht="16" thickBot="1" x14ac:dyDescent="0.25">
      <c r="B24" s="58">
        <v>21</v>
      </c>
      <c r="C24" s="8" t="s">
        <v>78</v>
      </c>
      <c r="D24" s="9">
        <v>28.5</v>
      </c>
      <c r="E24" s="10">
        <v>45586</v>
      </c>
      <c r="F24" s="8" t="s">
        <v>62</v>
      </c>
      <c r="G24" s="11" t="s">
        <v>73</v>
      </c>
      <c r="H24" s="14" t="s">
        <v>76</v>
      </c>
    </row>
    <row r="25" spans="2:11" x14ac:dyDescent="0.2">
      <c r="B25" s="7">
        <v>22</v>
      </c>
      <c r="C25" s="73" t="s">
        <v>79</v>
      </c>
      <c r="D25" s="78">
        <v>480</v>
      </c>
      <c r="E25" s="81">
        <v>45600</v>
      </c>
      <c r="F25" s="73" t="s">
        <v>64</v>
      </c>
      <c r="G25" s="6" t="s">
        <v>73</v>
      </c>
      <c r="H25" s="74" t="s">
        <v>73</v>
      </c>
      <c r="I25" s="59">
        <f>+SUM(D25:D31)</f>
        <v>1512</v>
      </c>
    </row>
    <row r="26" spans="2:11" x14ac:dyDescent="0.2">
      <c r="B26" s="7">
        <v>23</v>
      </c>
      <c r="C26" s="64" t="s">
        <v>80</v>
      </c>
      <c r="D26" s="79">
        <v>45</v>
      </c>
      <c r="E26" s="82">
        <v>45600</v>
      </c>
      <c r="F26" s="64" t="s">
        <v>64</v>
      </c>
      <c r="G26" s="8" t="s">
        <v>73</v>
      </c>
      <c r="H26" s="65" t="s">
        <v>76</v>
      </c>
    </row>
    <row r="27" spans="2:11" x14ac:dyDescent="0.2">
      <c r="B27" s="7">
        <v>24</v>
      </c>
      <c r="C27" s="64" t="s">
        <v>81</v>
      </c>
      <c r="D27" s="79">
        <v>355</v>
      </c>
      <c r="E27" s="82">
        <v>45600</v>
      </c>
      <c r="F27" s="64" t="s">
        <v>64</v>
      </c>
      <c r="G27" s="8" t="s">
        <v>73</v>
      </c>
      <c r="H27" s="65" t="s">
        <v>73</v>
      </c>
    </row>
    <row r="28" spans="2:11" x14ac:dyDescent="0.2">
      <c r="B28" s="7">
        <v>25</v>
      </c>
      <c r="C28" s="64" t="s">
        <v>82</v>
      </c>
      <c r="D28" s="79">
        <v>80</v>
      </c>
      <c r="E28" s="82">
        <v>45614</v>
      </c>
      <c r="F28" s="64" t="s">
        <v>64</v>
      </c>
      <c r="G28" s="8" t="s">
        <v>73</v>
      </c>
      <c r="H28" s="65" t="s">
        <v>76</v>
      </c>
    </row>
    <row r="29" spans="2:11" x14ac:dyDescent="0.2">
      <c r="B29" s="7">
        <v>26</v>
      </c>
      <c r="C29" s="64" t="s">
        <v>83</v>
      </c>
      <c r="D29" s="79">
        <v>14</v>
      </c>
      <c r="E29" s="82">
        <v>45614</v>
      </c>
      <c r="F29" s="64" t="s">
        <v>64</v>
      </c>
      <c r="G29" s="8" t="s">
        <v>73</v>
      </c>
      <c r="H29" s="65" t="s">
        <v>76</v>
      </c>
    </row>
    <row r="30" spans="2:11" x14ac:dyDescent="0.2">
      <c r="B30" s="7">
        <v>27</v>
      </c>
      <c r="C30" s="64" t="s">
        <v>84</v>
      </c>
      <c r="D30" s="79">
        <v>38</v>
      </c>
      <c r="E30" s="82">
        <v>45614</v>
      </c>
      <c r="F30" s="64" t="s">
        <v>64</v>
      </c>
      <c r="G30" s="8" t="s">
        <v>73</v>
      </c>
      <c r="H30" s="65" t="s">
        <v>73</v>
      </c>
    </row>
    <row r="31" spans="2:11" ht="16" thickBot="1" x14ac:dyDescent="0.25">
      <c r="B31" s="7">
        <v>28</v>
      </c>
      <c r="C31" s="64" t="s">
        <v>85</v>
      </c>
      <c r="D31" s="80">
        <v>500</v>
      </c>
      <c r="E31" s="57">
        <v>45649</v>
      </c>
      <c r="F31" s="66" t="s">
        <v>64</v>
      </c>
      <c r="G31" s="13" t="s">
        <v>73</v>
      </c>
      <c r="H31" s="67" t="s">
        <v>73</v>
      </c>
      <c r="I31" s="59">
        <f>+SUM(D32:D38)</f>
        <v>1359</v>
      </c>
    </row>
    <row r="32" spans="2:11" x14ac:dyDescent="0.2">
      <c r="B32" s="7">
        <v>29</v>
      </c>
      <c r="C32" s="73" t="s">
        <v>86</v>
      </c>
      <c r="D32" s="78">
        <v>224</v>
      </c>
      <c r="E32" s="81">
        <v>45642</v>
      </c>
      <c r="F32" s="73" t="s">
        <v>66</v>
      </c>
      <c r="G32" s="6" t="s">
        <v>73</v>
      </c>
      <c r="H32" s="74" t="s">
        <v>73</v>
      </c>
    </row>
    <row r="33" spans="2:8" x14ac:dyDescent="0.2">
      <c r="B33" s="7">
        <v>30</v>
      </c>
      <c r="C33" s="64" t="s">
        <v>87</v>
      </c>
      <c r="D33" s="79">
        <v>260</v>
      </c>
      <c r="E33" s="82">
        <v>45635</v>
      </c>
      <c r="F33" s="64" t="s">
        <v>66</v>
      </c>
      <c r="G33" s="8" t="s">
        <v>73</v>
      </c>
      <c r="H33" s="65" t="s">
        <v>73</v>
      </c>
    </row>
    <row r="34" spans="2:8" x14ac:dyDescent="0.2">
      <c r="B34" s="7">
        <v>31</v>
      </c>
      <c r="C34" s="64" t="s">
        <v>88</v>
      </c>
      <c r="D34" s="79">
        <v>50</v>
      </c>
      <c r="E34" s="82">
        <v>45642</v>
      </c>
      <c r="F34" s="64" t="s">
        <v>66</v>
      </c>
      <c r="G34" s="8" t="s">
        <v>73</v>
      </c>
      <c r="H34" s="65" t="s">
        <v>73</v>
      </c>
    </row>
    <row r="35" spans="2:8" x14ac:dyDescent="0.2">
      <c r="B35" s="7">
        <v>32</v>
      </c>
      <c r="C35" s="64" t="s">
        <v>89</v>
      </c>
      <c r="D35" s="79">
        <v>450</v>
      </c>
      <c r="E35" s="82">
        <v>45649</v>
      </c>
      <c r="F35" s="64" t="s">
        <v>66</v>
      </c>
      <c r="G35" s="8" t="s">
        <v>73</v>
      </c>
      <c r="H35" s="65" t="s">
        <v>76</v>
      </c>
    </row>
    <row r="36" spans="2:8" x14ac:dyDescent="0.2">
      <c r="B36" s="7">
        <v>33</v>
      </c>
      <c r="C36" s="64" t="s">
        <v>90</v>
      </c>
      <c r="D36" s="79">
        <v>75</v>
      </c>
      <c r="E36" s="82">
        <v>45635</v>
      </c>
      <c r="F36" s="64" t="s">
        <v>66</v>
      </c>
      <c r="G36" s="8"/>
      <c r="H36" s="65" t="s">
        <v>73</v>
      </c>
    </row>
    <row r="37" spans="2:8" x14ac:dyDescent="0.2">
      <c r="B37" s="7">
        <v>34</v>
      </c>
      <c r="C37" s="64" t="s">
        <v>91</v>
      </c>
      <c r="D37" s="79">
        <v>270</v>
      </c>
      <c r="E37" s="82" t="s">
        <v>39</v>
      </c>
      <c r="F37" s="64" t="s">
        <v>66</v>
      </c>
      <c r="G37" s="8"/>
      <c r="H37" s="65" t="s">
        <v>73</v>
      </c>
    </row>
    <row r="38" spans="2:8" ht="16" thickBot="1" x14ac:dyDescent="0.25">
      <c r="B38" s="15">
        <v>35</v>
      </c>
      <c r="C38" s="66" t="s">
        <v>92</v>
      </c>
      <c r="D38" s="80">
        <v>30</v>
      </c>
      <c r="E38" s="57"/>
      <c r="F38" s="66" t="s">
        <v>66</v>
      </c>
      <c r="G38" s="13" t="s">
        <v>93</v>
      </c>
      <c r="H38" s="67" t="s">
        <v>76</v>
      </c>
    </row>
    <row r="39" spans="2:8" ht="16" thickBot="1" x14ac:dyDescent="0.25">
      <c r="C39" s="68" t="s">
        <v>94</v>
      </c>
      <c r="D39" s="69">
        <f>+SUM(D21:D38)</f>
        <v>3269.5</v>
      </c>
      <c r="E39" s="70"/>
      <c r="F39" s="68"/>
      <c r="G39" s="71"/>
      <c r="H39" s="72">
        <v>0.53</v>
      </c>
    </row>
    <row r="40" spans="2:8" ht="16" thickBot="1" x14ac:dyDescent="0.25">
      <c r="H40" s="19"/>
    </row>
    <row r="41" spans="2:8" x14ac:dyDescent="0.2">
      <c r="C41" s="21" t="s">
        <v>66</v>
      </c>
      <c r="D41" s="38" t="s">
        <v>95</v>
      </c>
      <c r="E41" s="38" t="s">
        <v>96</v>
      </c>
      <c r="F41" s="39" t="s">
        <v>97</v>
      </c>
      <c r="G41" s="25">
        <v>100000</v>
      </c>
    </row>
    <row r="42" spans="2:8" x14ac:dyDescent="0.2">
      <c r="C42" s="26" t="s">
        <v>66</v>
      </c>
      <c r="D42" s="1" t="s">
        <v>98</v>
      </c>
      <c r="E42" s="1" t="s">
        <v>99</v>
      </c>
      <c r="F42" s="2" t="s">
        <v>100</v>
      </c>
      <c r="G42" s="27">
        <v>45000</v>
      </c>
    </row>
    <row r="43" spans="2:8" x14ac:dyDescent="0.2">
      <c r="C43" s="26" t="s">
        <v>66</v>
      </c>
      <c r="D43" s="16" t="s">
        <v>101</v>
      </c>
      <c r="E43" s="17"/>
      <c r="F43" s="18" t="s">
        <v>102</v>
      </c>
      <c r="G43" s="27">
        <v>1600000</v>
      </c>
    </row>
    <row r="44" spans="2:8" x14ac:dyDescent="0.2">
      <c r="C44" s="26" t="s">
        <v>66</v>
      </c>
      <c r="D44" s="16" t="s">
        <v>95</v>
      </c>
      <c r="E44" s="17" t="s">
        <v>96</v>
      </c>
      <c r="F44" s="18" t="s">
        <v>103</v>
      </c>
      <c r="G44" s="27">
        <v>240000</v>
      </c>
    </row>
    <row r="45" spans="2:8" x14ac:dyDescent="0.2">
      <c r="C45" s="26" t="s">
        <v>66</v>
      </c>
      <c r="D45" s="1" t="s">
        <v>104</v>
      </c>
      <c r="E45" s="1" t="s">
        <v>105</v>
      </c>
      <c r="F45" s="18" t="s">
        <v>106</v>
      </c>
      <c r="G45" s="27">
        <v>220000</v>
      </c>
    </row>
    <row r="46" spans="2:8" x14ac:dyDescent="0.2">
      <c r="C46" s="26" t="s">
        <v>66</v>
      </c>
      <c r="D46" s="16" t="s">
        <v>107</v>
      </c>
      <c r="E46" s="17" t="s">
        <v>108</v>
      </c>
      <c r="F46" s="18" t="s">
        <v>109</v>
      </c>
      <c r="G46" s="27">
        <v>180000</v>
      </c>
    </row>
    <row r="47" spans="2:8" ht="16" thickBot="1" x14ac:dyDescent="0.25">
      <c r="C47" s="28" t="s">
        <v>66</v>
      </c>
      <c r="D47" s="29" t="s">
        <v>110</v>
      </c>
      <c r="E47" s="30"/>
      <c r="F47" s="31" t="s">
        <v>31</v>
      </c>
      <c r="G47" s="32">
        <v>200000</v>
      </c>
    </row>
    <row r="48" spans="2:8" x14ac:dyDescent="0.2">
      <c r="C48" s="33" t="s">
        <v>64</v>
      </c>
      <c r="D48" s="34" t="s">
        <v>111</v>
      </c>
      <c r="E48" s="35"/>
      <c r="F48" s="36" t="s">
        <v>112</v>
      </c>
      <c r="G48" s="37">
        <v>425000</v>
      </c>
    </row>
    <row r="49" spans="3:7" x14ac:dyDescent="0.2">
      <c r="C49" s="26" t="s">
        <v>64</v>
      </c>
      <c r="D49" s="16" t="s">
        <v>113</v>
      </c>
      <c r="E49" s="17" t="s">
        <v>114</v>
      </c>
      <c r="F49" s="18" t="s">
        <v>115</v>
      </c>
      <c r="G49" s="27">
        <v>60000</v>
      </c>
    </row>
    <row r="50" spans="3:7" x14ac:dyDescent="0.2">
      <c r="C50" s="26" t="s">
        <v>64</v>
      </c>
      <c r="D50" s="16" t="s">
        <v>116</v>
      </c>
      <c r="E50" s="17"/>
      <c r="F50" s="18" t="s">
        <v>117</v>
      </c>
      <c r="G50" s="27">
        <v>250000</v>
      </c>
    </row>
    <row r="51" spans="3:7" x14ac:dyDescent="0.2">
      <c r="C51" s="26" t="s">
        <v>64</v>
      </c>
      <c r="D51" s="16" t="s">
        <v>95</v>
      </c>
      <c r="E51" s="17" t="s">
        <v>118</v>
      </c>
      <c r="F51" s="18" t="s">
        <v>119</v>
      </c>
      <c r="G51" s="27">
        <v>150000</v>
      </c>
    </row>
    <row r="52" spans="3:7" x14ac:dyDescent="0.2">
      <c r="C52" s="26" t="s">
        <v>64</v>
      </c>
      <c r="D52" s="16" t="s">
        <v>120</v>
      </c>
      <c r="E52" s="17" t="s">
        <v>121</v>
      </c>
      <c r="F52" s="18" t="s">
        <v>122</v>
      </c>
      <c r="G52" s="27">
        <v>340000</v>
      </c>
    </row>
    <row r="53" spans="3:7" x14ac:dyDescent="0.2">
      <c r="C53" s="26" t="s">
        <v>64</v>
      </c>
      <c r="D53" s="16" t="s">
        <v>123</v>
      </c>
      <c r="E53" s="17"/>
      <c r="F53" s="18" t="s">
        <v>124</v>
      </c>
      <c r="G53" s="27">
        <v>334000</v>
      </c>
    </row>
    <row r="54" spans="3:7" x14ac:dyDescent="0.2">
      <c r="C54" s="26" t="s">
        <v>64</v>
      </c>
      <c r="D54" s="16" t="s">
        <v>125</v>
      </c>
      <c r="E54" s="17"/>
      <c r="F54" s="18" t="s">
        <v>126</v>
      </c>
      <c r="G54" s="27">
        <v>160000</v>
      </c>
    </row>
    <row r="55" spans="3:7" x14ac:dyDescent="0.2">
      <c r="C55" s="26" t="s">
        <v>64</v>
      </c>
      <c r="D55" s="16" t="s">
        <v>127</v>
      </c>
      <c r="E55" s="17" t="s">
        <v>128</v>
      </c>
      <c r="F55" s="18" t="s">
        <v>129</v>
      </c>
      <c r="G55" s="27">
        <v>170000</v>
      </c>
    </row>
    <row r="56" spans="3:7" ht="16" thickBot="1" x14ac:dyDescent="0.25">
      <c r="C56" s="28" t="s">
        <v>64</v>
      </c>
      <c r="D56" s="29" t="s">
        <v>130</v>
      </c>
      <c r="E56" s="30" t="s">
        <v>131</v>
      </c>
      <c r="F56" s="31" t="s">
        <v>132</v>
      </c>
      <c r="G56" s="32">
        <v>566000</v>
      </c>
    </row>
    <row r="57" spans="3:7" x14ac:dyDescent="0.2">
      <c r="C57" s="21" t="s">
        <v>62</v>
      </c>
      <c r="D57" s="22" t="s">
        <v>133</v>
      </c>
      <c r="E57" s="23" t="s">
        <v>134</v>
      </c>
      <c r="F57" s="24" t="s">
        <v>135</v>
      </c>
      <c r="G57" s="25">
        <v>190000</v>
      </c>
    </row>
    <row r="58" spans="3:7" x14ac:dyDescent="0.2">
      <c r="C58" s="26" t="s">
        <v>62</v>
      </c>
      <c r="D58" s="16" t="s">
        <v>136</v>
      </c>
      <c r="E58" s="17" t="s">
        <v>137</v>
      </c>
      <c r="F58" s="18" t="s">
        <v>138</v>
      </c>
      <c r="G58" s="27">
        <v>1100000</v>
      </c>
    </row>
    <row r="59" spans="3:7" x14ac:dyDescent="0.2">
      <c r="C59" s="26" t="s">
        <v>62</v>
      </c>
      <c r="D59" s="16" t="s">
        <v>139</v>
      </c>
      <c r="E59" s="17" t="s">
        <v>139</v>
      </c>
      <c r="F59" s="18" t="s">
        <v>140</v>
      </c>
      <c r="G59" s="27">
        <v>66000</v>
      </c>
    </row>
    <row r="60" spans="3:7" ht="16" thickBot="1" x14ac:dyDescent="0.25">
      <c r="C60" s="28" t="s">
        <v>62</v>
      </c>
      <c r="D60" s="29" t="s">
        <v>141</v>
      </c>
      <c r="E60" s="30" t="s">
        <v>142</v>
      </c>
      <c r="F60" s="31" t="s">
        <v>143</v>
      </c>
      <c r="G60" s="32">
        <v>250000</v>
      </c>
    </row>
    <row r="61" spans="3:7" x14ac:dyDescent="0.2">
      <c r="C61" s="26" t="s">
        <v>60</v>
      </c>
      <c r="D61" s="22" t="s">
        <v>144</v>
      </c>
      <c r="E61" s="22" t="s">
        <v>145</v>
      </c>
      <c r="F61" s="22" t="s">
        <v>146</v>
      </c>
      <c r="G61" s="25">
        <v>180</v>
      </c>
    </row>
    <row r="62" spans="3:7" x14ac:dyDescent="0.2">
      <c r="C62" s="26" t="s">
        <v>60</v>
      </c>
      <c r="D62" s="16" t="s">
        <v>147</v>
      </c>
      <c r="E62" s="16" t="s">
        <v>147</v>
      </c>
      <c r="F62" s="16" t="s">
        <v>148</v>
      </c>
      <c r="G62" s="27">
        <v>173</v>
      </c>
    </row>
    <row r="63" spans="3:7" ht="16" thickBot="1" x14ac:dyDescent="0.25">
      <c r="C63" s="26" t="s">
        <v>60</v>
      </c>
      <c r="D63" s="20" t="s">
        <v>149</v>
      </c>
      <c r="E63" s="20" t="s">
        <v>150</v>
      </c>
      <c r="F63" s="20" t="s">
        <v>151</v>
      </c>
      <c r="G63" s="99">
        <v>100</v>
      </c>
    </row>
    <row r="64" spans="3:7" x14ac:dyDescent="0.2">
      <c r="C64" s="21" t="s">
        <v>49</v>
      </c>
      <c r="D64" s="22" t="s">
        <v>133</v>
      </c>
      <c r="E64" s="22" t="s">
        <v>152</v>
      </c>
      <c r="F64" s="22" t="s">
        <v>153</v>
      </c>
      <c r="G64" s="25">
        <v>81</v>
      </c>
    </row>
    <row r="65" spans="3:7" x14ac:dyDescent="0.2">
      <c r="C65" s="26" t="s">
        <v>49</v>
      </c>
      <c r="D65" s="16" t="s">
        <v>154</v>
      </c>
      <c r="E65" s="16" t="s">
        <v>155</v>
      </c>
      <c r="F65" s="16" t="s">
        <v>156</v>
      </c>
      <c r="G65" s="27">
        <v>500</v>
      </c>
    </row>
    <row r="66" spans="3:7" x14ac:dyDescent="0.2">
      <c r="C66" s="26" t="s">
        <v>49</v>
      </c>
      <c r="D66" s="16" t="s">
        <v>127</v>
      </c>
      <c r="E66" s="16" t="s">
        <v>157</v>
      </c>
      <c r="F66" s="16" t="s">
        <v>158</v>
      </c>
      <c r="G66" s="27" t="s">
        <v>159</v>
      </c>
    </row>
    <row r="67" spans="3:7" x14ac:dyDescent="0.2">
      <c r="C67" s="26" t="s">
        <v>49</v>
      </c>
      <c r="D67" s="16" t="s">
        <v>149</v>
      </c>
      <c r="E67" s="16" t="s">
        <v>150</v>
      </c>
      <c r="F67" s="16" t="s">
        <v>160</v>
      </c>
      <c r="G67" s="27">
        <v>45</v>
      </c>
    </row>
    <row r="68" spans="3:7" x14ac:dyDescent="0.2">
      <c r="C68" s="26" t="s">
        <v>49</v>
      </c>
      <c r="D68" s="16" t="s">
        <v>107</v>
      </c>
      <c r="E68" s="16" t="s">
        <v>161</v>
      </c>
      <c r="F68" s="16" t="s">
        <v>162</v>
      </c>
      <c r="G68" s="27">
        <v>125</v>
      </c>
    </row>
    <row r="69" spans="3:7" x14ac:dyDescent="0.2">
      <c r="C69" s="26" t="s">
        <v>49</v>
      </c>
      <c r="D69" s="16" t="s">
        <v>163</v>
      </c>
      <c r="E69" s="16" t="s">
        <v>164</v>
      </c>
      <c r="F69" s="16" t="s">
        <v>165</v>
      </c>
      <c r="G69" s="27">
        <v>150</v>
      </c>
    </row>
    <row r="70" spans="3:7" x14ac:dyDescent="0.2">
      <c r="C70" s="26" t="s">
        <v>49</v>
      </c>
      <c r="D70" s="16" t="s">
        <v>166</v>
      </c>
      <c r="E70" s="16" t="s">
        <v>166</v>
      </c>
      <c r="F70" s="16" t="s">
        <v>167</v>
      </c>
      <c r="G70" s="27">
        <v>81</v>
      </c>
    </row>
    <row r="71" spans="3:7" ht="16" thickBot="1" x14ac:dyDescent="0.25">
      <c r="C71" s="28" t="s">
        <v>49</v>
      </c>
      <c r="D71" s="29" t="s">
        <v>168</v>
      </c>
      <c r="E71" s="29" t="s">
        <v>169</v>
      </c>
      <c r="F71" s="29" t="s">
        <v>170</v>
      </c>
      <c r="G71" s="32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C9E4-6DF0-4C3C-A84E-6325BD1743DE}">
  <sheetPr codeName="Hoja3"/>
  <dimension ref="B2:O21"/>
  <sheetViews>
    <sheetView showGridLines="0" zoomScale="110" zoomScaleNormal="110" workbookViewId="0">
      <selection activeCell="C23" sqref="C23"/>
    </sheetView>
  </sheetViews>
  <sheetFormatPr baseColWidth="10" defaultColWidth="11.5" defaultRowHeight="14" x14ac:dyDescent="0.2"/>
  <cols>
    <col min="1" max="1" width="11.5" style="48"/>
    <col min="2" max="2" width="2.83203125" style="48" customWidth="1"/>
    <col min="3" max="3" width="22.83203125" style="48" bestFit="1" customWidth="1"/>
    <col min="4" max="4" width="11.1640625" style="48" bestFit="1" customWidth="1"/>
    <col min="5" max="7" width="11.1640625" style="48" customWidth="1"/>
    <col min="8" max="13" width="11.5" style="48"/>
    <col min="14" max="14" width="14.83203125" style="48" bestFit="1" customWidth="1"/>
    <col min="15" max="16384" width="11.5" style="48"/>
  </cols>
  <sheetData>
    <row r="2" spans="2:15" x14ac:dyDescent="0.2">
      <c r="B2" s="40" t="s">
        <v>0</v>
      </c>
      <c r="C2" s="40" t="s">
        <v>1</v>
      </c>
      <c r="D2" s="40" t="s">
        <v>2</v>
      </c>
      <c r="E2" s="41">
        <v>45474</v>
      </c>
      <c r="F2" s="41">
        <v>45505</v>
      </c>
      <c r="G2" s="41">
        <v>45536</v>
      </c>
      <c r="H2" s="41">
        <v>45566</v>
      </c>
      <c r="I2" s="41">
        <v>45597</v>
      </c>
      <c r="J2" s="41">
        <v>45627</v>
      </c>
      <c r="K2" s="40" t="s">
        <v>171</v>
      </c>
      <c r="L2" s="40" t="s">
        <v>172</v>
      </c>
      <c r="N2" s="48" t="s">
        <v>173</v>
      </c>
      <c r="O2" s="48">
        <v>24</v>
      </c>
    </row>
    <row r="3" spans="2:15" ht="16.25" customHeight="1" x14ac:dyDescent="0.2">
      <c r="B3" s="562">
        <v>1</v>
      </c>
      <c r="C3" s="545" t="s">
        <v>12</v>
      </c>
      <c r="D3" s="42" t="s">
        <v>0</v>
      </c>
      <c r="E3" s="42"/>
      <c r="F3" s="42"/>
      <c r="G3" s="42"/>
      <c r="H3" s="43">
        <f>8+H5</f>
        <v>12</v>
      </c>
      <c r="I3" s="43">
        <f>9+I5</f>
        <v>15</v>
      </c>
      <c r="J3" s="43">
        <f>7+J5</f>
        <v>15</v>
      </c>
      <c r="K3" s="43">
        <f>+SUM(H3:J3)</f>
        <v>42</v>
      </c>
      <c r="L3" s="563">
        <f>+K4/K3</f>
        <v>236.3095238095238</v>
      </c>
    </row>
    <row r="4" spans="2:15" ht="16.25" customHeight="1" x14ac:dyDescent="0.2">
      <c r="B4" s="562"/>
      <c r="C4" s="545"/>
      <c r="D4" s="42" t="s">
        <v>13</v>
      </c>
      <c r="E4" s="42"/>
      <c r="F4" s="42"/>
      <c r="G4" s="42"/>
      <c r="H4" s="43">
        <f>1600+H6</f>
        <v>1999</v>
      </c>
      <c r="I4" s="43">
        <f>2455+I6</f>
        <v>3467</v>
      </c>
      <c r="J4" s="43">
        <f>2600+J6</f>
        <v>4459</v>
      </c>
      <c r="K4" s="43">
        <f t="shared" ref="K4:K15" si="0">+SUM(H4:J4)</f>
        <v>9925</v>
      </c>
      <c r="L4" s="564"/>
    </row>
    <row r="5" spans="2:15" ht="16.25" customHeight="1" x14ac:dyDescent="0.2">
      <c r="B5" s="562">
        <v>2</v>
      </c>
      <c r="C5" s="545" t="s">
        <v>14</v>
      </c>
      <c r="D5" s="42" t="s">
        <v>0</v>
      </c>
      <c r="E5" s="42"/>
      <c r="F5" s="42"/>
      <c r="G5" s="42"/>
      <c r="H5" s="43">
        <v>4</v>
      </c>
      <c r="I5" s="43">
        <v>6</v>
      </c>
      <c r="J5" s="60">
        <v>8</v>
      </c>
      <c r="K5" s="43">
        <f t="shared" si="0"/>
        <v>18</v>
      </c>
      <c r="L5" s="563">
        <f>+K6/K5</f>
        <v>181.66666666666666</v>
      </c>
    </row>
    <row r="6" spans="2:15" ht="16.25" customHeight="1" x14ac:dyDescent="0.2">
      <c r="B6" s="562"/>
      <c r="C6" s="545"/>
      <c r="D6" s="42" t="s">
        <v>13</v>
      </c>
      <c r="E6" s="42"/>
      <c r="F6" s="42"/>
      <c r="G6" s="42"/>
      <c r="H6" s="43">
        <v>399</v>
      </c>
      <c r="I6" s="43">
        <v>1012</v>
      </c>
      <c r="J6" s="60">
        <v>1859</v>
      </c>
      <c r="K6" s="43">
        <f t="shared" si="0"/>
        <v>3270</v>
      </c>
      <c r="L6" s="564"/>
    </row>
    <row r="7" spans="2:15" ht="16.25" customHeight="1" x14ac:dyDescent="0.2">
      <c r="B7" s="562">
        <v>3</v>
      </c>
      <c r="C7" s="545" t="s">
        <v>20</v>
      </c>
      <c r="D7" s="42" t="s">
        <v>0</v>
      </c>
      <c r="E7" s="42"/>
      <c r="F7" s="42"/>
      <c r="G7" s="42"/>
      <c r="H7" s="43">
        <v>4</v>
      </c>
      <c r="I7" s="43">
        <v>6</v>
      </c>
      <c r="J7" s="43">
        <v>5</v>
      </c>
      <c r="K7" s="43">
        <f>+SUM(H7:J7)</f>
        <v>15</v>
      </c>
      <c r="L7" s="563">
        <f>+K8/K7</f>
        <v>193</v>
      </c>
    </row>
    <row r="8" spans="2:15" ht="16.25" customHeight="1" x14ac:dyDescent="0.2">
      <c r="B8" s="562"/>
      <c r="C8" s="545"/>
      <c r="D8" s="42" t="s">
        <v>13</v>
      </c>
      <c r="E8" s="42"/>
      <c r="F8" s="42"/>
      <c r="G8" s="42"/>
      <c r="H8" s="43">
        <v>399</v>
      </c>
      <c r="I8" s="43">
        <v>1012</v>
      </c>
      <c r="J8" s="43">
        <v>1484</v>
      </c>
      <c r="K8" s="43">
        <f t="shared" si="0"/>
        <v>2895</v>
      </c>
      <c r="L8" s="546"/>
    </row>
    <row r="9" spans="2:15" ht="16.25" hidden="1" customHeight="1" x14ac:dyDescent="0.2">
      <c r="B9" s="562"/>
      <c r="C9" s="545"/>
      <c r="D9" s="51" t="s">
        <v>21</v>
      </c>
      <c r="E9" s="51"/>
      <c r="F9" s="51"/>
      <c r="G9" s="51"/>
      <c r="H9" s="52">
        <v>1</v>
      </c>
      <c r="I9" s="52">
        <v>3</v>
      </c>
      <c r="J9" s="52">
        <v>4</v>
      </c>
      <c r="K9" s="52">
        <f>+SUM(H9:J9)</f>
        <v>8</v>
      </c>
      <c r="L9" s="564"/>
    </row>
    <row r="10" spans="2:15" ht="16.25" customHeight="1" x14ac:dyDescent="0.2">
      <c r="B10" s="562">
        <v>4</v>
      </c>
      <c r="C10" s="545" t="s">
        <v>22</v>
      </c>
      <c r="D10" s="42" t="s">
        <v>0</v>
      </c>
      <c r="E10" s="42"/>
      <c r="F10" s="42"/>
      <c r="G10" s="42"/>
      <c r="H10" s="43">
        <v>14</v>
      </c>
      <c r="I10" s="43">
        <v>24</v>
      </c>
      <c r="J10" s="43">
        <v>23</v>
      </c>
      <c r="K10" s="43">
        <f t="shared" si="0"/>
        <v>61</v>
      </c>
      <c r="L10" s="563">
        <f>+K11/K10</f>
        <v>31.950819672131146</v>
      </c>
    </row>
    <row r="11" spans="2:15" ht="16.25" customHeight="1" x14ac:dyDescent="0.2">
      <c r="B11" s="562"/>
      <c r="C11" s="545"/>
      <c r="D11" s="42" t="s">
        <v>13</v>
      </c>
      <c r="E11" s="42"/>
      <c r="F11" s="42"/>
      <c r="G11" s="42"/>
      <c r="H11" s="43">
        <v>516</v>
      </c>
      <c r="I11" s="43">
        <v>652</v>
      </c>
      <c r="J11" s="43">
        <v>781</v>
      </c>
      <c r="K11" s="43">
        <f t="shared" si="0"/>
        <v>1949</v>
      </c>
      <c r="L11" s="564"/>
    </row>
    <row r="12" spans="2:15" ht="16.25" customHeight="1" x14ac:dyDescent="0.2">
      <c r="B12" s="562">
        <v>5</v>
      </c>
      <c r="C12" s="545" t="s">
        <v>174</v>
      </c>
      <c r="D12" s="42" t="s">
        <v>0</v>
      </c>
      <c r="E12" s="42"/>
      <c r="F12" s="42"/>
      <c r="G12" s="42"/>
      <c r="H12" s="43">
        <v>16</v>
      </c>
      <c r="I12" s="43">
        <v>17</v>
      </c>
      <c r="J12" s="43">
        <v>19</v>
      </c>
      <c r="K12" s="43">
        <f t="shared" si="0"/>
        <v>52</v>
      </c>
      <c r="L12" s="563">
        <f>+K13/K12</f>
        <v>34.384615384615387</v>
      </c>
      <c r="N12" s="61">
        <f>+L12*O2</f>
        <v>825.23076923076928</v>
      </c>
      <c r="O12" s="61">
        <f>+N12*12</f>
        <v>9902.7692307692305</v>
      </c>
    </row>
    <row r="13" spans="2:15" ht="16.25" customHeight="1" x14ac:dyDescent="0.2">
      <c r="B13" s="562"/>
      <c r="C13" s="545"/>
      <c r="D13" s="42" t="s">
        <v>13</v>
      </c>
      <c r="E13" s="42"/>
      <c r="F13" s="42"/>
      <c r="G13" s="42"/>
      <c r="H13" s="43">
        <v>527</v>
      </c>
      <c r="I13" s="43">
        <v>429</v>
      </c>
      <c r="J13" s="43">
        <f>770+62</f>
        <v>832</v>
      </c>
      <c r="K13" s="43">
        <f t="shared" si="0"/>
        <v>1788</v>
      </c>
      <c r="L13" s="564"/>
      <c r="N13" s="53" t="s">
        <v>175</v>
      </c>
      <c r="O13" s="53" t="s">
        <v>176</v>
      </c>
    </row>
    <row r="14" spans="2:15" ht="16.25" customHeight="1" x14ac:dyDescent="0.2">
      <c r="B14" s="46">
        <v>6</v>
      </c>
      <c r="C14" s="47" t="s">
        <v>27</v>
      </c>
      <c r="D14" s="42" t="s">
        <v>13</v>
      </c>
      <c r="E14" s="42"/>
      <c r="F14" s="42"/>
      <c r="G14" s="42"/>
      <c r="H14" s="43">
        <v>864</v>
      </c>
      <c r="I14" s="43">
        <v>493</v>
      </c>
      <c r="J14" s="43">
        <v>551</v>
      </c>
      <c r="K14" s="43">
        <f t="shared" si="0"/>
        <v>1908</v>
      </c>
      <c r="L14" s="49">
        <f>+K14/3</f>
        <v>636</v>
      </c>
    </row>
    <row r="15" spans="2:15" ht="16.25" customHeight="1" x14ac:dyDescent="0.2">
      <c r="B15" s="46">
        <v>7</v>
      </c>
      <c r="C15" s="47" t="s">
        <v>177</v>
      </c>
      <c r="D15" s="42" t="s">
        <v>13</v>
      </c>
      <c r="E15" s="42"/>
      <c r="F15" s="42"/>
      <c r="G15" s="42"/>
      <c r="H15" s="43">
        <v>1004</v>
      </c>
      <c r="I15" s="43">
        <v>616</v>
      </c>
      <c r="J15" s="43">
        <v>476</v>
      </c>
      <c r="K15" s="43">
        <f t="shared" si="0"/>
        <v>2096</v>
      </c>
      <c r="L15" s="49">
        <f>+K15/3</f>
        <v>698.66666666666663</v>
      </c>
    </row>
    <row r="16" spans="2:15" ht="16.25" customHeight="1" x14ac:dyDescent="0.2">
      <c r="B16" s="46">
        <v>8</v>
      </c>
      <c r="C16" s="47" t="s">
        <v>37</v>
      </c>
      <c r="D16" s="42" t="s">
        <v>38</v>
      </c>
      <c r="E16" s="42"/>
      <c r="F16" s="42"/>
      <c r="G16" s="42"/>
      <c r="H16" s="44">
        <f>+IFERROR(H13/H11,0)</f>
        <v>1.0213178294573644</v>
      </c>
      <c r="I16" s="44">
        <f t="shared" ref="I16:J16" si="1">+IFERROR(I13/I11,0)</f>
        <v>0.65797546012269936</v>
      </c>
      <c r="J16" s="44">
        <f t="shared" si="1"/>
        <v>1.0653008962868118</v>
      </c>
      <c r="K16" s="45">
        <f>+AVERAGE(H16:J16)</f>
        <v>0.91486472862229196</v>
      </c>
      <c r="L16" s="50" t="s">
        <v>39</v>
      </c>
    </row>
    <row r="17" spans="2:12" ht="16.25" customHeight="1" x14ac:dyDescent="0.2">
      <c r="B17" s="46">
        <v>9</v>
      </c>
      <c r="C17" s="47" t="s">
        <v>40</v>
      </c>
      <c r="D17" s="42" t="s">
        <v>38</v>
      </c>
      <c r="E17" s="42"/>
      <c r="F17" s="42"/>
      <c r="G17" s="42"/>
      <c r="H17" s="45">
        <v>0.73</v>
      </c>
      <c r="I17" s="45">
        <v>0.67</v>
      </c>
      <c r="J17" s="45">
        <v>0.76</v>
      </c>
      <c r="K17" s="45">
        <f>+AVERAGE(H17:J17)</f>
        <v>0.72000000000000008</v>
      </c>
      <c r="L17" s="50" t="s">
        <v>39</v>
      </c>
    </row>
    <row r="20" spans="2:12" x14ac:dyDescent="0.2">
      <c r="D20" s="53"/>
      <c r="E20" s="53"/>
      <c r="F20" s="53"/>
      <c r="G20" s="53"/>
    </row>
    <row r="21" spans="2:12" x14ac:dyDescent="0.2">
      <c r="D21" s="53"/>
      <c r="E21" s="53"/>
      <c r="F21" s="53"/>
      <c r="G21" s="53"/>
    </row>
  </sheetData>
  <mergeCells count="15">
    <mergeCell ref="L3:L4"/>
    <mergeCell ref="L5:L6"/>
    <mergeCell ref="L10:L11"/>
    <mergeCell ref="L12:L13"/>
    <mergeCell ref="L7:L9"/>
    <mergeCell ref="C3:C4"/>
    <mergeCell ref="C5:C6"/>
    <mergeCell ref="C7:C9"/>
    <mergeCell ref="C10:C11"/>
    <mergeCell ref="C12:C13"/>
    <mergeCell ref="B3:B4"/>
    <mergeCell ref="B5:B6"/>
    <mergeCell ref="B7:B9"/>
    <mergeCell ref="B10:B11"/>
    <mergeCell ref="B12:B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A829-0E62-4C8A-BC78-7619E4137AEF}">
  <sheetPr codeName="Hoja4"/>
  <dimension ref="B1:CC38"/>
  <sheetViews>
    <sheetView showGridLines="0" zoomScale="80" zoomScaleNormal="80" workbookViewId="0">
      <selection activeCell="A26" sqref="A26"/>
    </sheetView>
  </sheetViews>
  <sheetFormatPr baseColWidth="10" defaultColWidth="11.5" defaultRowHeight="14" outlineLevelCol="1" x14ac:dyDescent="0.2"/>
  <cols>
    <col min="1" max="1" width="11.5" style="48"/>
    <col min="2" max="2" width="6.83203125" style="48" bestFit="1" customWidth="1"/>
    <col min="3" max="3" width="5" style="48" customWidth="1"/>
    <col min="4" max="4" width="26.5" style="48" bestFit="1" customWidth="1"/>
    <col min="5" max="5" width="11.1640625" style="48" bestFit="1" customWidth="1"/>
    <col min="6" max="6" width="5.5" style="48" hidden="1" customWidth="1" outlineLevel="1"/>
    <col min="7" max="7" width="6.5" style="48" hidden="1" customWidth="1" outlineLevel="1"/>
    <col min="8" max="8" width="7.1640625" style="48" hidden="1" customWidth="1" outlineLevel="1"/>
    <col min="9" max="9" width="6.1640625" style="48" hidden="1" customWidth="1" outlineLevel="1"/>
    <col min="10" max="10" width="6.5" style="48" hidden="1" customWidth="1" outlineLevel="1"/>
    <col min="11" max="11" width="6" style="48" hidden="1" customWidth="1" outlineLevel="1"/>
    <col min="12" max="12" width="5.83203125" style="48" hidden="1" customWidth="1" outlineLevel="1"/>
    <col min="13" max="13" width="12.5" style="48" bestFit="1" customWidth="1" collapsed="1"/>
    <col min="14" max="17" width="8.83203125" style="48" hidden="1" customWidth="1" outlineLevel="1"/>
    <col min="18" max="18" width="10.83203125" style="48" customWidth="1" collapsed="1"/>
    <col min="19" max="19" width="10.83203125" style="48" hidden="1" customWidth="1" outlineLevel="1"/>
    <col min="20" max="22" width="9.1640625" style="48" hidden="1" customWidth="1" outlineLevel="1"/>
    <col min="23" max="23" width="10.83203125" style="48" customWidth="1" collapsed="1"/>
    <col min="24" max="24" width="10.83203125" style="48" hidden="1" customWidth="1" outlineLevel="1"/>
    <col min="25" max="27" width="9" style="48" hidden="1" customWidth="1" outlineLevel="1"/>
    <col min="28" max="28" width="10.83203125" style="48" customWidth="1" collapsed="1"/>
    <col min="29" max="29" width="10.83203125" style="48" hidden="1" customWidth="1" outlineLevel="1"/>
    <col min="30" max="33" width="11.1640625" style="48" hidden="1" customWidth="1" outlineLevel="1"/>
    <col min="34" max="34" width="10.83203125" style="48" customWidth="1" collapsed="1"/>
    <col min="35" max="38" width="10.83203125" style="48" hidden="1" customWidth="1" outlineLevel="1"/>
    <col min="39" max="39" width="10.83203125" style="48" customWidth="1" collapsed="1"/>
    <col min="40" max="43" width="10.83203125" style="48" hidden="1" customWidth="1" outlineLevel="1"/>
    <col min="44" max="44" width="10.83203125" style="48" customWidth="1" collapsed="1"/>
    <col min="45" max="49" width="10.83203125" style="48" hidden="1" customWidth="1" outlineLevel="1"/>
    <col min="50" max="50" width="10.83203125" style="48" customWidth="1" collapsed="1"/>
    <col min="51" max="54" width="10.83203125" style="48" hidden="1" customWidth="1" outlineLevel="1"/>
    <col min="55" max="55" width="10.83203125" style="48" customWidth="1" collapsed="1"/>
    <col min="56" max="59" width="10.83203125" style="48" hidden="1" customWidth="1" outlineLevel="1"/>
    <col min="60" max="60" width="10.83203125" style="48" customWidth="1" collapsed="1"/>
    <col min="61" max="64" width="10.83203125" style="48" hidden="1" customWidth="1" outlineLevel="1"/>
    <col min="65" max="65" width="10.83203125" style="48" customWidth="1" collapsed="1"/>
    <col min="66" max="66" width="8.83203125" style="48" bestFit="1" customWidth="1"/>
    <col min="67" max="67" width="10.1640625" style="48" bestFit="1" customWidth="1"/>
    <col min="68" max="68" width="11" style="48" bestFit="1" customWidth="1"/>
    <col min="69" max="69" width="11.5" style="48"/>
    <col min="70" max="70" width="13.83203125" style="48" bestFit="1" customWidth="1"/>
    <col min="71" max="16384" width="11.5" style="48"/>
  </cols>
  <sheetData>
    <row r="1" spans="2:74" ht="15" thickBot="1" x14ac:dyDescent="0.25"/>
    <row r="2" spans="2:74" ht="15" thickBot="1" x14ac:dyDescent="0.25">
      <c r="B2" s="155" t="s">
        <v>178</v>
      </c>
      <c r="C2" s="116" t="s">
        <v>0</v>
      </c>
      <c r="D2" s="117" t="s">
        <v>1</v>
      </c>
      <c r="E2" s="117" t="s">
        <v>2</v>
      </c>
      <c r="F2" s="118">
        <v>45474</v>
      </c>
      <c r="G2" s="118">
        <v>45505</v>
      </c>
      <c r="H2" s="118">
        <v>45536</v>
      </c>
      <c r="I2" s="118">
        <v>45566</v>
      </c>
      <c r="J2" s="118">
        <v>45597</v>
      </c>
      <c r="K2" s="118">
        <v>45627</v>
      </c>
      <c r="L2" s="117" t="s">
        <v>3</v>
      </c>
      <c r="M2" s="117" t="s">
        <v>4</v>
      </c>
      <c r="N2" s="118" t="s">
        <v>5</v>
      </c>
      <c r="O2" s="118" t="s">
        <v>6</v>
      </c>
      <c r="P2" s="118" t="s">
        <v>7</v>
      </c>
      <c r="Q2" s="118" t="s">
        <v>8</v>
      </c>
      <c r="R2" s="118">
        <v>45658</v>
      </c>
      <c r="S2" s="155" t="s">
        <v>9</v>
      </c>
      <c r="T2" s="155" t="s">
        <v>179</v>
      </c>
      <c r="U2" s="155" t="s">
        <v>180</v>
      </c>
      <c r="V2" s="155" t="s">
        <v>181</v>
      </c>
      <c r="W2" s="118">
        <v>45689</v>
      </c>
      <c r="X2" s="155" t="s">
        <v>182</v>
      </c>
      <c r="Y2" s="155" t="s">
        <v>183</v>
      </c>
      <c r="Z2" s="155" t="s">
        <v>184</v>
      </c>
      <c r="AA2" s="155" t="s">
        <v>185</v>
      </c>
      <c r="AB2" s="118">
        <v>45717</v>
      </c>
      <c r="AC2" s="155" t="s">
        <v>186</v>
      </c>
      <c r="AD2" s="155" t="s">
        <v>187</v>
      </c>
      <c r="AE2" s="155" t="s">
        <v>188</v>
      </c>
      <c r="AF2" s="155" t="s">
        <v>189</v>
      </c>
      <c r="AG2" s="155" t="s">
        <v>190</v>
      </c>
      <c r="AH2" s="118">
        <v>45748</v>
      </c>
      <c r="AI2" s="155" t="s">
        <v>191</v>
      </c>
      <c r="AJ2" s="155" t="s">
        <v>192</v>
      </c>
      <c r="AK2" s="155" t="s">
        <v>193</v>
      </c>
      <c r="AL2" s="155" t="s">
        <v>194</v>
      </c>
      <c r="AM2" s="118">
        <v>45778</v>
      </c>
      <c r="AN2" s="155" t="s">
        <v>195</v>
      </c>
      <c r="AO2" s="155" t="s">
        <v>196</v>
      </c>
      <c r="AP2" s="155" t="s">
        <v>197</v>
      </c>
      <c r="AQ2" s="155" t="s">
        <v>198</v>
      </c>
      <c r="AR2" s="118">
        <v>45809</v>
      </c>
      <c r="AS2" s="155" t="s">
        <v>199</v>
      </c>
      <c r="AT2" s="155" t="s">
        <v>200</v>
      </c>
      <c r="AU2" s="155" t="s">
        <v>201</v>
      </c>
      <c r="AV2" s="155" t="s">
        <v>202</v>
      </c>
      <c r="AW2" s="155" t="s">
        <v>203</v>
      </c>
      <c r="AX2" s="118">
        <v>45839</v>
      </c>
      <c r="AY2" s="157" t="s">
        <v>204</v>
      </c>
      <c r="AZ2" s="157" t="s">
        <v>205</v>
      </c>
      <c r="BA2" s="157" t="s">
        <v>206</v>
      </c>
      <c r="BB2" s="157" t="s">
        <v>207</v>
      </c>
      <c r="BC2" s="118">
        <v>45870</v>
      </c>
      <c r="BD2" s="157" t="s">
        <v>208</v>
      </c>
      <c r="BE2" s="157" t="s">
        <v>209</v>
      </c>
      <c r="BF2" s="157" t="s">
        <v>210</v>
      </c>
      <c r="BG2" s="157" t="s">
        <v>211</v>
      </c>
      <c r="BH2" s="118">
        <v>45901</v>
      </c>
      <c r="BI2" s="157" t="s">
        <v>212</v>
      </c>
      <c r="BJ2" s="157" t="s">
        <v>213</v>
      </c>
      <c r="BK2" s="157" t="s">
        <v>214</v>
      </c>
      <c r="BL2" s="157" t="s">
        <v>215</v>
      </c>
      <c r="BM2" s="118">
        <v>45931</v>
      </c>
      <c r="BN2" s="119" t="s">
        <v>216</v>
      </c>
      <c r="BO2" s="191" t="s">
        <v>217</v>
      </c>
      <c r="BP2" s="119" t="s">
        <v>218</v>
      </c>
      <c r="BR2" s="153" t="s">
        <v>11</v>
      </c>
    </row>
    <row r="3" spans="2:74" ht="18" customHeight="1" x14ac:dyDescent="0.2">
      <c r="B3" s="579" t="s">
        <v>219</v>
      </c>
      <c r="C3" s="549">
        <v>1</v>
      </c>
      <c r="D3" s="575" t="s">
        <v>220</v>
      </c>
      <c r="E3" s="105" t="s">
        <v>0</v>
      </c>
      <c r="F3" s="105">
        <f>8+8</f>
        <v>16</v>
      </c>
      <c r="G3" s="105"/>
      <c r="H3" s="105">
        <v>6</v>
      </c>
      <c r="I3" s="107">
        <f>8+I5</f>
        <v>12</v>
      </c>
      <c r="J3" s="107">
        <f>9+J5</f>
        <v>15</v>
      </c>
      <c r="K3" s="107">
        <f>7+K5</f>
        <v>15</v>
      </c>
      <c r="L3" s="106">
        <f>+SUM(I3:K3)</f>
        <v>42</v>
      </c>
      <c r="M3" s="542">
        <f>+L4/L3</f>
        <v>236.3095238095238</v>
      </c>
      <c r="N3" s="106">
        <v>1</v>
      </c>
      <c r="O3" s="106">
        <v>3</v>
      </c>
      <c r="P3" s="106">
        <v>3</v>
      </c>
      <c r="Q3" s="106">
        <v>1</v>
      </c>
      <c r="R3" s="107">
        <f>+N3+O3+P3+Q3</f>
        <v>8</v>
      </c>
      <c r="S3" s="106">
        <v>3</v>
      </c>
      <c r="T3" s="106">
        <v>2</v>
      </c>
      <c r="U3" s="106">
        <v>2</v>
      </c>
      <c r="V3" s="106">
        <v>3</v>
      </c>
      <c r="W3" s="107">
        <f>+S3+T3+U3+V3</f>
        <v>10</v>
      </c>
      <c r="X3" s="106">
        <v>5</v>
      </c>
      <c r="Y3" s="106">
        <v>2</v>
      </c>
      <c r="Z3" s="106">
        <v>3</v>
      </c>
      <c r="AA3" s="106">
        <v>1</v>
      </c>
      <c r="AB3" s="107">
        <f>+X3+Y3+Z3+AA3</f>
        <v>11</v>
      </c>
      <c r="AC3" s="106">
        <v>0</v>
      </c>
      <c r="AD3" s="106">
        <v>9</v>
      </c>
      <c r="AE3" s="181">
        <v>2</v>
      </c>
      <c r="AF3" s="106">
        <v>5</v>
      </c>
      <c r="AG3" s="106">
        <v>2</v>
      </c>
      <c r="AH3" s="107">
        <f>+AC3+AD3+AE3+AF3+AG3</f>
        <v>18</v>
      </c>
      <c r="AI3" s="106">
        <v>2</v>
      </c>
      <c r="AJ3" s="106">
        <v>2</v>
      </c>
      <c r="AK3" s="106">
        <v>3</v>
      </c>
      <c r="AL3" s="106">
        <v>1</v>
      </c>
      <c r="AM3" s="107">
        <f t="shared" ref="AM3:AM17" si="0">+AI3+AJ3+AK3+AL3</f>
        <v>8</v>
      </c>
      <c r="AN3" s="106">
        <v>3</v>
      </c>
      <c r="AO3" s="181">
        <v>9</v>
      </c>
      <c r="AP3" s="106">
        <v>3</v>
      </c>
      <c r="AQ3" s="106">
        <v>6</v>
      </c>
      <c r="AR3" s="107">
        <f>+AN3+AO3+AP3+AQ3</f>
        <v>21</v>
      </c>
      <c r="AS3" s="106">
        <v>4</v>
      </c>
      <c r="AT3" s="106">
        <v>4</v>
      </c>
      <c r="AU3" s="106">
        <v>6</v>
      </c>
      <c r="AV3" s="106">
        <v>3</v>
      </c>
      <c r="AW3" s="106">
        <v>3</v>
      </c>
      <c r="AX3" s="107">
        <f>+AS3+AT3+AU3+AV3+AW3</f>
        <v>20</v>
      </c>
      <c r="AY3" s="106">
        <v>4</v>
      </c>
      <c r="AZ3" s="106">
        <v>2</v>
      </c>
      <c r="BA3" s="106">
        <v>5</v>
      </c>
      <c r="BB3" s="536">
        <v>1</v>
      </c>
      <c r="BC3" s="107">
        <f>+AY3+AZ3+BA3+BB3</f>
        <v>12</v>
      </c>
      <c r="BD3" s="536">
        <v>2</v>
      </c>
      <c r="BE3" s="536">
        <v>5</v>
      </c>
      <c r="BF3" s="536">
        <v>2</v>
      </c>
      <c r="BG3" s="536">
        <v>1</v>
      </c>
      <c r="BH3" s="107">
        <f>+BD3+BE3+BF3+BG3</f>
        <v>10</v>
      </c>
      <c r="BI3" s="536">
        <v>0</v>
      </c>
      <c r="BJ3" s="536">
        <v>4</v>
      </c>
      <c r="BK3" s="536">
        <v>2</v>
      </c>
      <c r="BL3" s="536">
        <v>2</v>
      </c>
      <c r="BM3" s="107">
        <f>+BI3+BJ3+BK3+BL3</f>
        <v>8</v>
      </c>
      <c r="BN3" s="555">
        <f>+IFERROR(BM4/BM3,0)</f>
        <v>416.25</v>
      </c>
      <c r="BO3" s="192">
        <f>+R3+W3+AB3+AH3+AM3+AR3+AX3+BC3+BH3+BM3</f>
        <v>126</v>
      </c>
      <c r="BP3" s="555">
        <f>+BO4/BO3</f>
        <v>280.65873015873018</v>
      </c>
      <c r="BQ3" s="61"/>
      <c r="BR3" s="152">
        <v>9</v>
      </c>
    </row>
    <row r="4" spans="2:74" ht="18" customHeight="1" thickBot="1" x14ac:dyDescent="0.25">
      <c r="B4" s="580"/>
      <c r="C4" s="550"/>
      <c r="D4" s="576"/>
      <c r="E4" s="108" t="s">
        <v>13</v>
      </c>
      <c r="F4" s="108">
        <f>1062+F6</f>
        <v>1735</v>
      </c>
      <c r="G4" s="108"/>
      <c r="H4" s="108">
        <f>453+300</f>
        <v>753</v>
      </c>
      <c r="I4" s="110">
        <f>1600+I6</f>
        <v>1999</v>
      </c>
      <c r="J4" s="110">
        <f>2455+J6</f>
        <v>3967</v>
      </c>
      <c r="K4" s="110">
        <f>2600+K6</f>
        <v>3959</v>
      </c>
      <c r="L4" s="109">
        <f t="shared" ref="L4:L24" si="1">+SUM(I4:K4)</f>
        <v>9925</v>
      </c>
      <c r="M4" s="543"/>
      <c r="N4" s="109">
        <v>200</v>
      </c>
      <c r="O4" s="109">
        <v>1400</v>
      </c>
      <c r="P4" s="109">
        <v>470</v>
      </c>
      <c r="Q4" s="109">
        <v>142</v>
      </c>
      <c r="R4" s="110">
        <f>+N4+O4+P4+Q4</f>
        <v>2212</v>
      </c>
      <c r="S4" s="109">
        <v>971</v>
      </c>
      <c r="T4" s="109">
        <v>100</v>
      </c>
      <c r="U4" s="109">
        <f>950+150</f>
        <v>1100</v>
      </c>
      <c r="V4" s="109">
        <v>400</v>
      </c>
      <c r="W4" s="110">
        <f>+S4+T4+U4+V4</f>
        <v>2571</v>
      </c>
      <c r="X4" s="109">
        <v>570</v>
      </c>
      <c r="Y4" s="109">
        <v>200</v>
      </c>
      <c r="Z4" s="109">
        <v>1500</v>
      </c>
      <c r="AA4" s="109">
        <v>3860</v>
      </c>
      <c r="AB4" s="110">
        <f>+X4+Y4+Z4+AA4</f>
        <v>6130</v>
      </c>
      <c r="AC4" s="109">
        <v>0</v>
      </c>
      <c r="AD4" s="109">
        <v>1288</v>
      </c>
      <c r="AE4" s="182">
        <v>500</v>
      </c>
      <c r="AF4" s="109">
        <v>2225</v>
      </c>
      <c r="AG4" s="109">
        <f>165+200</f>
        <v>365</v>
      </c>
      <c r="AH4" s="110">
        <f>+AC4+AD4+AE4+AF4+AG4</f>
        <v>4378</v>
      </c>
      <c r="AI4" s="109">
        <v>537</v>
      </c>
      <c r="AJ4" s="109">
        <f>180+190</f>
        <v>370</v>
      </c>
      <c r="AK4" s="109">
        <f>1500+150+21</f>
        <v>1671</v>
      </c>
      <c r="AL4" s="109">
        <v>448</v>
      </c>
      <c r="AM4" s="110">
        <f t="shared" si="0"/>
        <v>3026</v>
      </c>
      <c r="AN4" s="109">
        <v>625</v>
      </c>
      <c r="AO4" s="183">
        <v>6230</v>
      </c>
      <c r="AP4" s="109">
        <v>440</v>
      </c>
      <c r="AQ4" s="109">
        <v>770</v>
      </c>
      <c r="AR4" s="110">
        <f>+AN4+AO4+AP4+AQ4</f>
        <v>8065</v>
      </c>
      <c r="AS4" s="109">
        <v>345</v>
      </c>
      <c r="AT4" s="109">
        <v>530</v>
      </c>
      <c r="AU4" s="109">
        <v>800</v>
      </c>
      <c r="AV4" s="109">
        <v>360</v>
      </c>
      <c r="AW4" s="109">
        <v>262</v>
      </c>
      <c r="AX4" s="110">
        <f>+AS4+AT4+AU4+AV4+AW4</f>
        <v>2297</v>
      </c>
      <c r="AY4" s="109">
        <v>638</v>
      </c>
      <c r="AZ4" s="109">
        <v>124</v>
      </c>
      <c r="BA4" s="109">
        <v>975</v>
      </c>
      <c r="BB4" s="537">
        <v>52</v>
      </c>
      <c r="BC4" s="110">
        <f t="shared" ref="BC4:BC18" si="2">+AY4+AZ4+BA4+BB4</f>
        <v>1789</v>
      </c>
      <c r="BD4" s="537">
        <f>380+84</f>
        <v>464</v>
      </c>
      <c r="BE4" s="537">
        <v>637</v>
      </c>
      <c r="BF4" s="537">
        <f>590-226</f>
        <v>364</v>
      </c>
      <c r="BG4" s="537">
        <v>100</v>
      </c>
      <c r="BH4" s="110">
        <f>+BD4+BE4+BF4+BG4</f>
        <v>1565</v>
      </c>
      <c r="BI4" s="537">
        <v>0</v>
      </c>
      <c r="BJ4" s="537">
        <v>665</v>
      </c>
      <c r="BK4" s="537">
        <v>2365</v>
      </c>
      <c r="BL4" s="537">
        <f>125+175</f>
        <v>300</v>
      </c>
      <c r="BM4" s="110">
        <f>+BI4+BJ4+BK4+BL4</f>
        <v>3330</v>
      </c>
      <c r="BN4" s="556"/>
      <c r="BO4" s="193">
        <f>+R4+W4+AB4+AH4+AM4+AR4+AX4+BC4+BH4+BM4</f>
        <v>35363</v>
      </c>
      <c r="BP4" s="556"/>
      <c r="BQ4" s="61">
        <f>+AVERAGE(R4,W4,AB4,AH4,AM4,AR4,AX4,BC4,BH4,BM4)</f>
        <v>3536.3</v>
      </c>
      <c r="BR4" s="152">
        <v>1465</v>
      </c>
      <c r="BS4" s="61">
        <f>+BR4-BH4</f>
        <v>-100</v>
      </c>
    </row>
    <row r="5" spans="2:74" ht="18" customHeight="1" x14ac:dyDescent="0.2">
      <c r="B5" s="581" t="s">
        <v>219</v>
      </c>
      <c r="C5" s="577">
        <v>2</v>
      </c>
      <c r="D5" s="578" t="s">
        <v>221</v>
      </c>
      <c r="E5" s="101" t="s">
        <v>0</v>
      </c>
      <c r="F5" s="101">
        <v>8</v>
      </c>
      <c r="G5" s="101">
        <v>6</v>
      </c>
      <c r="H5" s="101">
        <v>3</v>
      </c>
      <c r="I5" s="104">
        <v>4</v>
      </c>
      <c r="J5" s="104">
        <v>6</v>
      </c>
      <c r="K5" s="104">
        <v>8</v>
      </c>
      <c r="L5" s="102">
        <f>+SUM(I5:K5)</f>
        <v>18</v>
      </c>
      <c r="M5" s="546">
        <f>+L6/L5</f>
        <v>181.66666666666666</v>
      </c>
      <c r="N5" s="103">
        <v>4</v>
      </c>
      <c r="O5" s="103">
        <v>2</v>
      </c>
      <c r="P5" s="103">
        <v>2</v>
      </c>
      <c r="Q5" s="103">
        <v>0</v>
      </c>
      <c r="R5" s="104">
        <f>+N5+O5+P5+Q5</f>
        <v>8</v>
      </c>
      <c r="S5" s="103">
        <v>2</v>
      </c>
      <c r="T5" s="103">
        <v>3</v>
      </c>
      <c r="U5" s="103"/>
      <c r="V5" s="103">
        <v>1</v>
      </c>
      <c r="W5" s="104">
        <f>+S5+T5+U5+V5</f>
        <v>6</v>
      </c>
      <c r="X5" s="178">
        <v>1</v>
      </c>
      <c r="Y5" s="178">
        <v>1</v>
      </c>
      <c r="Z5" s="178">
        <v>4</v>
      </c>
      <c r="AA5" s="178">
        <v>2</v>
      </c>
      <c r="AB5" s="104">
        <f>+X5+Y5+Z5+AA5</f>
        <v>8</v>
      </c>
      <c r="AC5" s="178">
        <v>0</v>
      </c>
      <c r="AD5" s="178">
        <v>2</v>
      </c>
      <c r="AE5" s="179">
        <v>1</v>
      </c>
      <c r="AF5" s="180">
        <v>1</v>
      </c>
      <c r="AG5" s="180">
        <v>3</v>
      </c>
      <c r="AH5" s="104">
        <f>+AC5+AD5+AE5+AF5+AG5</f>
        <v>7</v>
      </c>
      <c r="AI5" s="102">
        <v>1</v>
      </c>
      <c r="AJ5" s="102">
        <v>1</v>
      </c>
      <c r="AK5" s="102">
        <v>1</v>
      </c>
      <c r="AL5" s="102">
        <v>1</v>
      </c>
      <c r="AM5" s="104">
        <f>+AI5+AJ5+AK5+AL5</f>
        <v>4</v>
      </c>
      <c r="AN5" s="102">
        <v>0</v>
      </c>
      <c r="AO5" s="102">
        <v>3</v>
      </c>
      <c r="AP5" s="102">
        <v>1</v>
      </c>
      <c r="AQ5" s="102">
        <v>4</v>
      </c>
      <c r="AR5" s="104">
        <f>+AN5+AO5+AP5+AQ5</f>
        <v>8</v>
      </c>
      <c r="AS5" s="102">
        <v>1</v>
      </c>
      <c r="AT5" s="102">
        <v>1</v>
      </c>
      <c r="AU5" s="102">
        <v>3</v>
      </c>
      <c r="AV5" s="102">
        <v>2</v>
      </c>
      <c r="AW5" s="102">
        <v>2</v>
      </c>
      <c r="AX5" s="104">
        <f t="shared" ref="AX5:AX6" si="3">+AS5+AT5+AU5+AV5+AW5</f>
        <v>9</v>
      </c>
      <c r="AY5" s="102">
        <v>1</v>
      </c>
      <c r="AZ5" s="102">
        <v>2</v>
      </c>
      <c r="BA5" s="102">
        <v>3</v>
      </c>
      <c r="BB5" s="536">
        <v>2</v>
      </c>
      <c r="BC5" s="104">
        <f t="shared" si="2"/>
        <v>8</v>
      </c>
      <c r="BD5" s="536">
        <v>0</v>
      </c>
      <c r="BE5" s="536">
        <v>3</v>
      </c>
      <c r="BF5" s="536">
        <v>0</v>
      </c>
      <c r="BG5" s="536">
        <v>1</v>
      </c>
      <c r="BH5" s="104">
        <f>+BD5+BE5+BF5+BG5</f>
        <v>4</v>
      </c>
      <c r="BI5" s="536">
        <v>0</v>
      </c>
      <c r="BJ5" s="536">
        <v>1</v>
      </c>
      <c r="BK5" s="536">
        <v>0</v>
      </c>
      <c r="BL5" s="536">
        <v>2</v>
      </c>
      <c r="BM5" s="104">
        <f t="shared" ref="BM5:BM18" si="4">+BI5+BJ5+BK5+BL5</f>
        <v>3</v>
      </c>
      <c r="BN5" s="559">
        <f>+IFERROR(BM6/BM5,0)</f>
        <v>115</v>
      </c>
      <c r="BO5" s="194">
        <f>+R5+W5+AB5+AH5+AM5+AR5+AX5+BC5+BH5+BM5</f>
        <v>65</v>
      </c>
      <c r="BP5" s="559">
        <f>+BO6/BO5</f>
        <v>126.95384615384616</v>
      </c>
      <c r="BR5" s="154">
        <v>4</v>
      </c>
    </row>
    <row r="6" spans="2:74" ht="18" customHeight="1" thickBot="1" x14ac:dyDescent="0.25">
      <c r="B6" s="582"/>
      <c r="C6" s="539"/>
      <c r="D6" s="541"/>
      <c r="E6" s="108" t="s">
        <v>13</v>
      </c>
      <c r="F6" s="108">
        <v>673</v>
      </c>
      <c r="G6" s="108">
        <v>524</v>
      </c>
      <c r="H6" s="108">
        <v>300</v>
      </c>
      <c r="I6" s="110">
        <v>399</v>
      </c>
      <c r="J6" s="110">
        <f>+Respaldo!I25</f>
        <v>1512</v>
      </c>
      <c r="K6" s="110">
        <f>+Respaldo!I31</f>
        <v>1359</v>
      </c>
      <c r="L6" s="109">
        <f t="shared" si="1"/>
        <v>3270</v>
      </c>
      <c r="M6" s="543"/>
      <c r="N6" s="115">
        <v>690</v>
      </c>
      <c r="O6" s="115">
        <v>240</v>
      </c>
      <c r="P6" s="115">
        <v>126</v>
      </c>
      <c r="Q6" s="115">
        <v>0</v>
      </c>
      <c r="R6" s="110">
        <f>+N6+O6+P6+Q6</f>
        <v>1056</v>
      </c>
      <c r="S6" s="115">
        <f>1035+120</f>
        <v>1155</v>
      </c>
      <c r="T6" s="115">
        <v>91</v>
      </c>
      <c r="U6" s="115"/>
      <c r="V6" s="124">
        <v>0</v>
      </c>
      <c r="W6" s="100">
        <f>+S6+T6+U6+V6</f>
        <v>1246</v>
      </c>
      <c r="X6" s="162">
        <v>20</v>
      </c>
      <c r="Y6" s="162">
        <v>65</v>
      </c>
      <c r="Z6" s="162">
        <v>563</v>
      </c>
      <c r="AA6" s="162">
        <v>88</v>
      </c>
      <c r="AB6" s="100">
        <f>+X6+Y6+Z6+AA6</f>
        <v>736</v>
      </c>
      <c r="AC6" s="162">
        <v>0</v>
      </c>
      <c r="AD6" s="162">
        <v>94</v>
      </c>
      <c r="AE6" s="163">
        <v>60</v>
      </c>
      <c r="AF6" s="164">
        <f>1114-650-60-94</f>
        <v>310</v>
      </c>
      <c r="AG6" s="165">
        <f>300+200+50</f>
        <v>550</v>
      </c>
      <c r="AH6" s="100">
        <f>+AC6+AD6+AE6+AF6+AG6</f>
        <v>1014</v>
      </c>
      <c r="AI6" s="123">
        <v>490</v>
      </c>
      <c r="AJ6" s="123">
        <v>262</v>
      </c>
      <c r="AK6" s="123">
        <v>21</v>
      </c>
      <c r="AL6" s="123">
        <v>195</v>
      </c>
      <c r="AM6" s="100">
        <f t="shared" si="0"/>
        <v>968</v>
      </c>
      <c r="AN6" s="123">
        <v>0</v>
      </c>
      <c r="AO6" s="123">
        <v>348</v>
      </c>
      <c r="AP6" s="123">
        <v>25</v>
      </c>
      <c r="AQ6" s="123">
        <f>286+37</f>
        <v>323</v>
      </c>
      <c r="AR6" s="100">
        <f>+AN6+AO6+AP6+AQ6</f>
        <v>696</v>
      </c>
      <c r="AS6" s="123">
        <v>80</v>
      </c>
      <c r="AT6" s="123">
        <v>23</v>
      </c>
      <c r="AU6" s="123">
        <v>119</v>
      </c>
      <c r="AV6" s="123">
        <v>113</v>
      </c>
      <c r="AW6" s="123">
        <v>324</v>
      </c>
      <c r="AX6" s="100">
        <f t="shared" si="3"/>
        <v>659</v>
      </c>
      <c r="AY6" s="123">
        <v>135</v>
      </c>
      <c r="AZ6" s="123">
        <f>140+16</f>
        <v>156</v>
      </c>
      <c r="BA6" s="123">
        <v>485</v>
      </c>
      <c r="BB6" s="537">
        <v>120</v>
      </c>
      <c r="BC6" s="100">
        <f t="shared" si="2"/>
        <v>896</v>
      </c>
      <c r="BD6" s="537">
        <v>0</v>
      </c>
      <c r="BE6" s="537">
        <v>446</v>
      </c>
      <c r="BF6" s="537">
        <v>0</v>
      </c>
      <c r="BG6" s="537">
        <v>190</v>
      </c>
      <c r="BH6" s="100">
        <f>+BD6+BE6+BF6+BG6</f>
        <v>636</v>
      </c>
      <c r="BI6" s="537">
        <v>0</v>
      </c>
      <c r="BJ6" s="537">
        <v>140</v>
      </c>
      <c r="BK6" s="537">
        <v>0</v>
      </c>
      <c r="BL6" s="537">
        <v>205</v>
      </c>
      <c r="BM6" s="100">
        <f t="shared" si="4"/>
        <v>345</v>
      </c>
      <c r="BN6" s="556"/>
      <c r="BO6" s="193">
        <f>+R6+W6+AB6+AH6+AM6+AR6+AX6+BC6+BH6+BM6</f>
        <v>8252</v>
      </c>
      <c r="BP6" s="556"/>
      <c r="BQ6" s="61">
        <f>+AVERAGE(R6,W6,AB6,AH6,AM6,AR6,AX6,BC6,BH6,BM6)</f>
        <v>825.2</v>
      </c>
      <c r="BR6" s="156">
        <v>636</v>
      </c>
      <c r="BS6" s="61">
        <f>+BR6-BH6</f>
        <v>0</v>
      </c>
    </row>
    <row r="7" spans="2:74" ht="18" hidden="1" customHeight="1" x14ac:dyDescent="0.2">
      <c r="B7" s="187"/>
      <c r="C7" s="177"/>
      <c r="D7" s="112" t="s">
        <v>15</v>
      </c>
      <c r="E7" s="113" t="s">
        <v>16</v>
      </c>
      <c r="F7" s="101"/>
      <c r="G7" s="101"/>
      <c r="H7" s="101"/>
      <c r="I7" s="104"/>
      <c r="J7" s="104"/>
      <c r="K7" s="104"/>
      <c r="L7" s="102"/>
      <c r="M7" s="54"/>
      <c r="N7" s="103"/>
      <c r="O7" s="103"/>
      <c r="P7" s="103"/>
      <c r="Q7" s="103"/>
      <c r="R7" s="104">
        <f t="shared" ref="R7:R12" si="5">+N7</f>
        <v>0</v>
      </c>
      <c r="S7" s="103"/>
      <c r="T7" s="103"/>
      <c r="U7" s="103"/>
      <c r="V7" s="103"/>
      <c r="W7" s="104">
        <f t="shared" ref="W7:W12" si="6">+S7+T7</f>
        <v>0</v>
      </c>
      <c r="X7" s="103"/>
      <c r="Y7" s="103"/>
      <c r="Z7" s="103"/>
      <c r="AA7" s="103"/>
      <c r="AB7" s="104"/>
      <c r="AC7" s="103"/>
      <c r="AD7" s="103"/>
      <c r="AE7" s="103"/>
      <c r="AF7" s="103"/>
      <c r="AG7" s="103"/>
      <c r="AH7" s="104"/>
      <c r="AI7" s="103"/>
      <c r="AJ7" s="103"/>
      <c r="AK7" s="103"/>
      <c r="AL7" s="103"/>
      <c r="AM7" s="104">
        <f t="shared" si="0"/>
        <v>0</v>
      </c>
      <c r="AN7" s="103"/>
      <c r="AO7" s="103"/>
      <c r="AP7" s="103"/>
      <c r="AQ7" s="103"/>
      <c r="AR7" s="104">
        <f t="shared" ref="AR7:AR12" si="7">+AN7+AO7</f>
        <v>0</v>
      </c>
      <c r="AS7" s="103"/>
      <c r="AT7" s="103"/>
      <c r="AU7" s="103"/>
      <c r="AV7" s="103"/>
      <c r="AW7" s="103"/>
      <c r="AX7" s="104"/>
      <c r="AY7" s="103"/>
      <c r="AZ7" s="103"/>
      <c r="BA7" s="103"/>
      <c r="BB7" s="103"/>
      <c r="BC7" s="104">
        <f t="shared" si="2"/>
        <v>0</v>
      </c>
      <c r="BD7" s="103"/>
      <c r="BE7" s="103"/>
      <c r="BF7" s="103"/>
      <c r="BG7" s="103"/>
      <c r="BH7" s="104">
        <f t="shared" ref="BH7:BH12" si="8">+BD7+BE7</f>
        <v>0</v>
      </c>
      <c r="BI7" s="103"/>
      <c r="BJ7" s="103"/>
      <c r="BK7" s="103"/>
      <c r="BL7" s="103"/>
      <c r="BM7" s="104">
        <f t="shared" si="4"/>
        <v>0</v>
      </c>
      <c r="BN7" s="198"/>
      <c r="BO7" s="194"/>
      <c r="BP7" s="198"/>
    </row>
    <row r="8" spans="2:74" ht="18" hidden="1" customHeight="1" thickBot="1" x14ac:dyDescent="0.25">
      <c r="B8" s="188"/>
      <c r="C8" s="173"/>
      <c r="D8" s="62" t="s">
        <v>17</v>
      </c>
      <c r="E8" s="98" t="s">
        <v>18</v>
      </c>
      <c r="F8" s="42"/>
      <c r="G8" s="42"/>
      <c r="H8" s="42"/>
      <c r="I8" s="100"/>
      <c r="J8" s="100"/>
      <c r="K8" s="100"/>
      <c r="L8" s="43"/>
      <c r="M8" s="49"/>
      <c r="N8" s="60"/>
      <c r="O8" s="60"/>
      <c r="P8" s="60"/>
      <c r="Q8" s="60"/>
      <c r="R8" s="100">
        <f t="shared" si="5"/>
        <v>0</v>
      </c>
      <c r="S8" s="60"/>
      <c r="T8" s="60"/>
      <c r="U8" s="60"/>
      <c r="V8" s="60"/>
      <c r="W8" s="100">
        <f t="shared" si="6"/>
        <v>0</v>
      </c>
      <c r="X8" s="60"/>
      <c r="Y8" s="60"/>
      <c r="Z8" s="60"/>
      <c r="AA8" s="60"/>
      <c r="AB8" s="100"/>
      <c r="AC8" s="60"/>
      <c r="AD8" s="60"/>
      <c r="AE8" s="60"/>
      <c r="AF8" s="60"/>
      <c r="AG8" s="60"/>
      <c r="AH8" s="100"/>
      <c r="AI8" s="60"/>
      <c r="AJ8" s="60"/>
      <c r="AK8" s="60"/>
      <c r="AL8" s="60"/>
      <c r="AM8" s="100">
        <f t="shared" si="0"/>
        <v>0</v>
      </c>
      <c r="AN8" s="60"/>
      <c r="AO8" s="60"/>
      <c r="AP8" s="60"/>
      <c r="AQ8" s="60"/>
      <c r="AR8" s="100">
        <f t="shared" si="7"/>
        <v>0</v>
      </c>
      <c r="AS8" s="60"/>
      <c r="AT8" s="60"/>
      <c r="AU8" s="60"/>
      <c r="AV8" s="60"/>
      <c r="AW8" s="60"/>
      <c r="AX8" s="100"/>
      <c r="AY8" s="60"/>
      <c r="AZ8" s="60"/>
      <c r="BA8" s="60"/>
      <c r="BB8" s="60"/>
      <c r="BC8" s="100">
        <f t="shared" si="2"/>
        <v>0</v>
      </c>
      <c r="BD8" s="60"/>
      <c r="BE8" s="60"/>
      <c r="BF8" s="60"/>
      <c r="BG8" s="60"/>
      <c r="BH8" s="100">
        <f t="shared" si="8"/>
        <v>0</v>
      </c>
      <c r="BI8" s="60"/>
      <c r="BJ8" s="60"/>
      <c r="BK8" s="60"/>
      <c r="BL8" s="60"/>
      <c r="BM8" s="100">
        <f t="shared" si="4"/>
        <v>0</v>
      </c>
      <c r="BN8" s="199"/>
      <c r="BO8" s="195"/>
      <c r="BP8" s="199"/>
    </row>
    <row r="9" spans="2:74" ht="30.5" hidden="1" customHeight="1" thickBot="1" x14ac:dyDescent="0.25">
      <c r="B9" s="189"/>
      <c r="C9" s="200"/>
      <c r="D9" s="120" t="s">
        <v>19</v>
      </c>
      <c r="E9" s="121" t="s">
        <v>13</v>
      </c>
      <c r="F9" s="122"/>
      <c r="G9" s="122"/>
      <c r="H9" s="122"/>
      <c r="I9" s="125"/>
      <c r="J9" s="125"/>
      <c r="K9" s="125"/>
      <c r="L9" s="123"/>
      <c r="M9" s="55"/>
      <c r="N9" s="124"/>
      <c r="O9" s="124"/>
      <c r="P9" s="124"/>
      <c r="Q9" s="124"/>
      <c r="R9" s="125">
        <f t="shared" si="5"/>
        <v>0</v>
      </c>
      <c r="S9" s="124"/>
      <c r="T9" s="124"/>
      <c r="U9" s="124"/>
      <c r="V9" s="124"/>
      <c r="W9" s="125">
        <f t="shared" si="6"/>
        <v>0</v>
      </c>
      <c r="X9" s="124"/>
      <c r="Y9" s="124"/>
      <c r="Z9" s="124"/>
      <c r="AA9" s="124"/>
      <c r="AB9" s="125"/>
      <c r="AC9" s="124"/>
      <c r="AD9" s="124"/>
      <c r="AE9" s="124"/>
      <c r="AF9" s="124"/>
      <c r="AG9" s="124"/>
      <c r="AH9" s="125"/>
      <c r="AI9" s="124"/>
      <c r="AJ9" s="124"/>
      <c r="AK9" s="124"/>
      <c r="AL9" s="124"/>
      <c r="AM9" s="125">
        <f t="shared" si="0"/>
        <v>0</v>
      </c>
      <c r="AN9" s="124"/>
      <c r="AO9" s="144"/>
      <c r="AP9" s="144"/>
      <c r="AQ9" s="144"/>
      <c r="AR9" s="125">
        <f t="shared" si="7"/>
        <v>0</v>
      </c>
      <c r="AS9" s="124"/>
      <c r="AT9" s="124"/>
      <c r="AU9" s="124"/>
      <c r="AV9" s="124"/>
      <c r="AW9" s="124"/>
      <c r="AX9" s="125"/>
      <c r="AY9" s="124"/>
      <c r="AZ9" s="124"/>
      <c r="BA9" s="124"/>
      <c r="BB9" s="124"/>
      <c r="BC9" s="125">
        <f t="shared" si="2"/>
        <v>0</v>
      </c>
      <c r="BD9" s="124"/>
      <c r="BE9" s="124"/>
      <c r="BF9" s="124"/>
      <c r="BG9" s="124"/>
      <c r="BH9" s="125">
        <f t="shared" si="8"/>
        <v>0</v>
      </c>
      <c r="BI9" s="124"/>
      <c r="BJ9" s="124"/>
      <c r="BK9" s="124"/>
      <c r="BL9" s="124"/>
      <c r="BM9" s="125">
        <f t="shared" si="4"/>
        <v>0</v>
      </c>
      <c r="BN9" s="174"/>
      <c r="BO9" s="196"/>
      <c r="BP9" s="174"/>
    </row>
    <row r="10" spans="2:74" ht="18" hidden="1" customHeight="1" x14ac:dyDescent="0.2">
      <c r="B10" s="581" t="s">
        <v>222</v>
      </c>
      <c r="C10" s="538"/>
      <c r="D10" s="540" t="s">
        <v>20</v>
      </c>
      <c r="E10" s="105" t="s">
        <v>0</v>
      </c>
      <c r="F10" s="105"/>
      <c r="G10" s="105"/>
      <c r="H10" s="105"/>
      <c r="I10" s="107">
        <v>4</v>
      </c>
      <c r="J10" s="107">
        <v>6</v>
      </c>
      <c r="K10" s="107">
        <v>5</v>
      </c>
      <c r="L10" s="106">
        <f>+SUM(I10:K10)</f>
        <v>15</v>
      </c>
      <c r="M10" s="542">
        <f>+L11/L10</f>
        <v>193</v>
      </c>
      <c r="N10" s="106">
        <v>0</v>
      </c>
      <c r="O10" s="106">
        <v>1</v>
      </c>
      <c r="P10" s="106"/>
      <c r="Q10" s="106"/>
      <c r="R10" s="107">
        <f>+O10+N10+P10+Q10</f>
        <v>1</v>
      </c>
      <c r="S10" s="106">
        <v>0</v>
      </c>
      <c r="T10" s="106">
        <v>0</v>
      </c>
      <c r="U10" s="106">
        <v>0</v>
      </c>
      <c r="V10" s="106">
        <v>5</v>
      </c>
      <c r="W10" s="107">
        <f>+S10+T10+U10+V10</f>
        <v>5</v>
      </c>
      <c r="X10" s="106">
        <v>1</v>
      </c>
      <c r="Y10" s="106">
        <v>0</v>
      </c>
      <c r="Z10" s="106">
        <f>1+1</f>
        <v>2</v>
      </c>
      <c r="AA10" s="106">
        <v>0</v>
      </c>
      <c r="AB10" s="107">
        <f>+X10+Y10+Z10+AA10</f>
        <v>3</v>
      </c>
      <c r="AC10" s="106">
        <v>0</v>
      </c>
      <c r="AD10" s="106">
        <v>0</v>
      </c>
      <c r="AE10" s="106">
        <v>1</v>
      </c>
      <c r="AF10" s="106">
        <v>1</v>
      </c>
      <c r="AG10" s="106">
        <v>0</v>
      </c>
      <c r="AH10" s="107">
        <f>+AC10+AD10+AE10+AF10+AG10</f>
        <v>2</v>
      </c>
      <c r="AI10" s="106">
        <v>1</v>
      </c>
      <c r="AJ10" s="106">
        <v>0</v>
      </c>
      <c r="AK10" s="106"/>
      <c r="AL10" s="106"/>
      <c r="AM10" s="107">
        <f t="shared" si="0"/>
        <v>1</v>
      </c>
      <c r="AN10" s="106"/>
      <c r="AO10" s="169"/>
      <c r="AP10" s="169"/>
      <c r="AQ10" s="169"/>
      <c r="AR10" s="107">
        <f t="shared" si="7"/>
        <v>0</v>
      </c>
      <c r="AS10" s="106"/>
      <c r="AT10" s="106"/>
      <c r="AU10" s="106"/>
      <c r="AV10" s="106"/>
      <c r="AW10" s="106"/>
      <c r="AX10" s="107"/>
      <c r="AY10" s="106"/>
      <c r="AZ10" s="106"/>
      <c r="BA10" s="106"/>
      <c r="BB10" s="106"/>
      <c r="BC10" s="107">
        <f t="shared" si="2"/>
        <v>0</v>
      </c>
      <c r="BD10" s="106"/>
      <c r="BE10" s="106"/>
      <c r="BF10" s="106"/>
      <c r="BG10" s="106"/>
      <c r="BH10" s="107">
        <f t="shared" si="8"/>
        <v>0</v>
      </c>
      <c r="BI10" s="106"/>
      <c r="BJ10" s="106"/>
      <c r="BK10" s="106"/>
      <c r="BL10" s="106"/>
      <c r="BM10" s="107">
        <f t="shared" si="4"/>
        <v>0</v>
      </c>
      <c r="BN10" s="555">
        <f>+IFERROR(AM11/AM10,0)</f>
        <v>490</v>
      </c>
      <c r="BO10" s="192">
        <f>+R10+W10+AB10+AH10+AM10</f>
        <v>12</v>
      </c>
      <c r="BP10" s="555">
        <f>+BO11/BO10</f>
        <v>210.58333333333334</v>
      </c>
      <c r="BR10" s="152"/>
      <c r="BS10" s="61"/>
    </row>
    <row r="11" spans="2:74" ht="18" hidden="1" customHeight="1" thickBot="1" x14ac:dyDescent="0.25">
      <c r="B11" s="583"/>
      <c r="C11" s="544"/>
      <c r="D11" s="545"/>
      <c r="E11" s="42" t="s">
        <v>13</v>
      </c>
      <c r="F11" s="42"/>
      <c r="G11" s="42"/>
      <c r="H11" s="42"/>
      <c r="I11" s="100">
        <v>399</v>
      </c>
      <c r="J11" s="100">
        <v>1012</v>
      </c>
      <c r="K11" s="100">
        <v>1484</v>
      </c>
      <c r="L11" s="43">
        <f t="shared" si="1"/>
        <v>2895</v>
      </c>
      <c r="M11" s="546"/>
      <c r="N11" s="43">
        <v>0</v>
      </c>
      <c r="O11" s="43">
        <v>345</v>
      </c>
      <c r="P11" s="43"/>
      <c r="Q11" s="43"/>
      <c r="R11" s="100">
        <f>+O11+N11+P11+Q11</f>
        <v>345</v>
      </c>
      <c r="S11" s="43">
        <v>0</v>
      </c>
      <c r="T11" s="43">
        <v>0</v>
      </c>
      <c r="U11" s="43">
        <v>0</v>
      </c>
      <c r="V11" s="43">
        <v>960</v>
      </c>
      <c r="W11" s="100">
        <f>+S11+T11+U11+V11</f>
        <v>960</v>
      </c>
      <c r="X11" s="43">
        <v>132</v>
      </c>
      <c r="Y11" s="43">
        <v>0</v>
      </c>
      <c r="Z11" s="43">
        <f>198+141</f>
        <v>339</v>
      </c>
      <c r="AA11" s="43">
        <v>0</v>
      </c>
      <c r="AB11" s="100">
        <f>+X11+Y11+Z11+AA11</f>
        <v>471</v>
      </c>
      <c r="AC11" s="43">
        <v>0</v>
      </c>
      <c r="AD11" s="43">
        <v>0</v>
      </c>
      <c r="AE11" s="43">
        <v>108</v>
      </c>
      <c r="AF11" s="43">
        <v>153</v>
      </c>
      <c r="AG11" s="43">
        <v>0</v>
      </c>
      <c r="AH11" s="100">
        <f>+AC11+AD11+AE11+AF11+AG11</f>
        <v>261</v>
      </c>
      <c r="AI11" s="43">
        <v>490</v>
      </c>
      <c r="AJ11" s="43">
        <v>0</v>
      </c>
      <c r="AK11" s="43"/>
      <c r="AL11" s="43"/>
      <c r="AM11" s="100">
        <f t="shared" si="0"/>
        <v>490</v>
      </c>
      <c r="AN11" s="43"/>
      <c r="AO11" s="170"/>
      <c r="AP11" s="170"/>
      <c r="AQ11" s="170"/>
      <c r="AR11" s="100">
        <f t="shared" si="7"/>
        <v>0</v>
      </c>
      <c r="AS11" s="43"/>
      <c r="AT11" s="43"/>
      <c r="AU11" s="43"/>
      <c r="AV11" s="43"/>
      <c r="AW11" s="43"/>
      <c r="AX11" s="100"/>
      <c r="AY11" s="43"/>
      <c r="AZ11" s="43"/>
      <c r="BA11" s="43"/>
      <c r="BB11" s="43"/>
      <c r="BC11" s="100">
        <f t="shared" si="2"/>
        <v>0</v>
      </c>
      <c r="BD11" s="43"/>
      <c r="BE11" s="43"/>
      <c r="BF11" s="43"/>
      <c r="BG11" s="43"/>
      <c r="BH11" s="100">
        <f t="shared" si="8"/>
        <v>0</v>
      </c>
      <c r="BI11" s="43"/>
      <c r="BJ11" s="43"/>
      <c r="BK11" s="43"/>
      <c r="BL11" s="43"/>
      <c r="BM11" s="100">
        <f t="shared" si="4"/>
        <v>0</v>
      </c>
      <c r="BN11" s="559"/>
      <c r="BO11" s="195">
        <f>+R11+W11+AB11+AH11+AM11</f>
        <v>2527</v>
      </c>
      <c r="BP11" s="559"/>
      <c r="BR11" s="152"/>
    </row>
    <row r="12" spans="2:74" ht="14.25" hidden="1" customHeight="1" thickBot="1" x14ac:dyDescent="0.25">
      <c r="B12" s="582"/>
      <c r="C12" s="539"/>
      <c r="D12" s="541"/>
      <c r="E12" s="126" t="s">
        <v>21</v>
      </c>
      <c r="F12" s="126"/>
      <c r="G12" s="126"/>
      <c r="H12" s="126"/>
      <c r="I12" s="110">
        <v>1</v>
      </c>
      <c r="J12" s="110">
        <v>3</v>
      </c>
      <c r="K12" s="110">
        <v>4</v>
      </c>
      <c r="L12" s="127">
        <f>+SUM(I12:K12)</f>
        <v>8</v>
      </c>
      <c r="M12" s="543"/>
      <c r="N12" s="127"/>
      <c r="O12" s="127"/>
      <c r="P12" s="127"/>
      <c r="Q12" s="127"/>
      <c r="R12" s="110">
        <f t="shared" si="5"/>
        <v>0</v>
      </c>
      <c r="S12" s="127"/>
      <c r="T12" s="127"/>
      <c r="U12" s="127"/>
      <c r="V12" s="127"/>
      <c r="W12" s="110">
        <f t="shared" si="6"/>
        <v>0</v>
      </c>
      <c r="X12" s="127"/>
      <c r="Y12" s="127"/>
      <c r="Z12" s="127"/>
      <c r="AA12" s="127"/>
      <c r="AB12" s="110"/>
      <c r="AC12" s="127"/>
      <c r="AD12" s="127"/>
      <c r="AE12" s="127"/>
      <c r="AF12" s="127"/>
      <c r="AG12" s="127"/>
      <c r="AH12" s="110"/>
      <c r="AI12" s="127"/>
      <c r="AJ12" s="127"/>
      <c r="AK12" s="127"/>
      <c r="AL12" s="127"/>
      <c r="AM12" s="110">
        <f t="shared" si="0"/>
        <v>0</v>
      </c>
      <c r="AN12" s="127"/>
      <c r="AO12" s="171"/>
      <c r="AP12" s="171"/>
      <c r="AQ12" s="171"/>
      <c r="AR12" s="110">
        <f t="shared" si="7"/>
        <v>0</v>
      </c>
      <c r="AS12" s="127"/>
      <c r="AT12" s="127"/>
      <c r="AU12" s="127"/>
      <c r="AV12" s="127"/>
      <c r="AW12" s="127"/>
      <c r="AX12" s="110"/>
      <c r="AY12" s="127"/>
      <c r="AZ12" s="127"/>
      <c r="BA12" s="127"/>
      <c r="BB12" s="127"/>
      <c r="BC12" s="110">
        <f t="shared" si="2"/>
        <v>0</v>
      </c>
      <c r="BD12" s="127"/>
      <c r="BE12" s="127"/>
      <c r="BF12" s="127"/>
      <c r="BG12" s="127"/>
      <c r="BH12" s="110">
        <f t="shared" si="8"/>
        <v>0</v>
      </c>
      <c r="BI12" s="127"/>
      <c r="BJ12" s="127"/>
      <c r="BK12" s="127"/>
      <c r="BL12" s="127"/>
      <c r="BM12" s="110">
        <f t="shared" si="4"/>
        <v>0</v>
      </c>
      <c r="BN12" s="556"/>
      <c r="BO12" s="193"/>
      <c r="BP12" s="556"/>
    </row>
    <row r="13" spans="2:74" ht="18" customHeight="1" x14ac:dyDescent="0.2">
      <c r="B13" s="581" t="s">
        <v>222</v>
      </c>
      <c r="C13" s="538">
        <v>3</v>
      </c>
      <c r="D13" s="540" t="s">
        <v>22</v>
      </c>
      <c r="E13" s="105" t="s">
        <v>0</v>
      </c>
      <c r="F13" s="105"/>
      <c r="G13" s="105"/>
      <c r="H13" s="105"/>
      <c r="I13" s="107">
        <v>14</v>
      </c>
      <c r="J13" s="107">
        <v>24</v>
      </c>
      <c r="K13" s="107">
        <v>23</v>
      </c>
      <c r="L13" s="106">
        <f t="shared" si="1"/>
        <v>61</v>
      </c>
      <c r="M13" s="542">
        <f>+L14/L13</f>
        <v>31.950819672131146</v>
      </c>
      <c r="N13" s="106">
        <v>22</v>
      </c>
      <c r="O13" s="106">
        <v>22</v>
      </c>
      <c r="P13" s="106">
        <v>22</v>
      </c>
      <c r="Q13" s="106">
        <v>21</v>
      </c>
      <c r="R13" s="107">
        <f>+Q13</f>
        <v>21</v>
      </c>
      <c r="S13" s="106">
        <v>16</v>
      </c>
      <c r="T13" s="106">
        <v>5</v>
      </c>
      <c r="U13" s="106">
        <v>0</v>
      </c>
      <c r="V13" s="106">
        <v>0</v>
      </c>
      <c r="W13" s="107">
        <f t="shared" ref="W13:W16" si="9">+S13+T13+U13+V13</f>
        <v>21</v>
      </c>
      <c r="X13" s="106">
        <v>19</v>
      </c>
      <c r="Y13" s="106">
        <v>3</v>
      </c>
      <c r="Z13" s="106">
        <v>0</v>
      </c>
      <c r="AA13" s="106">
        <v>0</v>
      </c>
      <c r="AB13" s="107">
        <f t="shared" ref="AB13:AB17" si="10">+X13+Y13+Z13+AA13</f>
        <v>22</v>
      </c>
      <c r="AC13" s="106">
        <v>9</v>
      </c>
      <c r="AD13" s="106">
        <v>4</v>
      </c>
      <c r="AE13" s="106">
        <v>0</v>
      </c>
      <c r="AF13" s="106">
        <v>0</v>
      </c>
      <c r="AG13" s="106">
        <v>0</v>
      </c>
      <c r="AH13" s="107">
        <f>AC13+AD13+AE13+AF13+AG13</f>
        <v>13</v>
      </c>
      <c r="AI13" s="106">
        <v>14</v>
      </c>
      <c r="AJ13" s="106">
        <v>3</v>
      </c>
      <c r="AK13" s="106">
        <v>0</v>
      </c>
      <c r="AL13" s="106">
        <v>0</v>
      </c>
      <c r="AM13" s="107">
        <f t="shared" si="0"/>
        <v>17</v>
      </c>
      <c r="AN13" s="106">
        <v>12</v>
      </c>
      <c r="AO13" s="106">
        <v>2</v>
      </c>
      <c r="AP13" s="106">
        <v>0</v>
      </c>
      <c r="AQ13" s="106">
        <v>0</v>
      </c>
      <c r="AR13" s="107">
        <f t="shared" ref="AR13:AR18" si="11">+AN13+AO13+AP13+AQ13</f>
        <v>14</v>
      </c>
      <c r="AS13" s="106">
        <v>18</v>
      </c>
      <c r="AT13" s="106">
        <v>0</v>
      </c>
      <c r="AU13" s="106">
        <v>0</v>
      </c>
      <c r="AV13" s="106">
        <v>0</v>
      </c>
      <c r="AW13" s="106">
        <v>0</v>
      </c>
      <c r="AX13" s="107">
        <f t="shared" ref="AX13:AX18" si="12">+AS13+AT13+AU13+AV13+AW13</f>
        <v>18</v>
      </c>
      <c r="AY13" s="106">
        <v>22</v>
      </c>
      <c r="AZ13" s="106">
        <v>0</v>
      </c>
      <c r="BA13" s="106">
        <v>0</v>
      </c>
      <c r="BB13" s="106">
        <v>0</v>
      </c>
      <c r="BC13" s="107">
        <f t="shared" si="2"/>
        <v>22</v>
      </c>
      <c r="BD13" s="106">
        <v>25</v>
      </c>
      <c r="BE13" s="106">
        <v>1</v>
      </c>
      <c r="BF13" s="106">
        <v>0</v>
      </c>
      <c r="BG13" s="210">
        <v>-2</v>
      </c>
      <c r="BH13" s="107">
        <f t="shared" ref="BH13:BH18" si="13">+BD13+BE13+BF13+BG13</f>
        <v>24</v>
      </c>
      <c r="BI13" s="106">
        <v>23</v>
      </c>
      <c r="BJ13" s="106">
        <v>-4</v>
      </c>
      <c r="BK13" s="106">
        <v>4</v>
      </c>
      <c r="BL13" s="106">
        <v>-2</v>
      </c>
      <c r="BM13" s="107">
        <f t="shared" si="4"/>
        <v>21</v>
      </c>
      <c r="BN13" s="555">
        <f>+IFERROR(BM14/BM13,0)</f>
        <v>33.571428571428569</v>
      </c>
      <c r="BO13" s="192">
        <f t="shared" ref="BO13:BO18" si="14">+R13+W13+AB13+AH13+AM13+AR13+AX13+BC13+BH13+BM13</f>
        <v>193</v>
      </c>
      <c r="BP13" s="555">
        <f>+BO14/BO13</f>
        <v>41.274611398963728</v>
      </c>
      <c r="BQ13" s="61"/>
      <c r="BR13" s="156">
        <v>23</v>
      </c>
      <c r="BS13" s="61">
        <f t="shared" ref="BS13:BS18" si="15">+BR13-BM13</f>
        <v>2</v>
      </c>
    </row>
    <row r="14" spans="2:74" ht="18" customHeight="1" thickBot="1" x14ac:dyDescent="0.25">
      <c r="B14" s="582"/>
      <c r="C14" s="539"/>
      <c r="D14" s="541"/>
      <c r="E14" s="108" t="s">
        <v>13</v>
      </c>
      <c r="F14" s="108"/>
      <c r="G14" s="108"/>
      <c r="H14" s="108"/>
      <c r="I14" s="110">
        <v>516</v>
      </c>
      <c r="J14" s="110">
        <v>652</v>
      </c>
      <c r="K14" s="110">
        <v>781</v>
      </c>
      <c r="L14" s="109">
        <f t="shared" si="1"/>
        <v>1949</v>
      </c>
      <c r="M14" s="543"/>
      <c r="N14" s="109">
        <v>762</v>
      </c>
      <c r="O14" s="109">
        <v>754</v>
      </c>
      <c r="P14" s="109">
        <v>718</v>
      </c>
      <c r="Q14" s="109">
        <v>718</v>
      </c>
      <c r="R14" s="110">
        <f>+Q14</f>
        <v>718</v>
      </c>
      <c r="S14" s="109">
        <v>563</v>
      </c>
      <c r="T14" s="109">
        <v>310</v>
      </c>
      <c r="U14" s="109">
        <v>0</v>
      </c>
      <c r="V14" s="109">
        <v>0</v>
      </c>
      <c r="W14" s="110">
        <f t="shared" si="9"/>
        <v>873</v>
      </c>
      <c r="X14" s="109">
        <v>678</v>
      </c>
      <c r="Y14" s="109">
        <v>133</v>
      </c>
      <c r="Z14" s="109">
        <v>0</v>
      </c>
      <c r="AA14" s="109">
        <v>0</v>
      </c>
      <c r="AB14" s="110">
        <f t="shared" si="10"/>
        <v>811</v>
      </c>
      <c r="AC14" s="109">
        <v>466</v>
      </c>
      <c r="AD14" s="109">
        <v>145</v>
      </c>
      <c r="AE14" s="109">
        <v>0</v>
      </c>
      <c r="AF14" s="109">
        <v>0</v>
      </c>
      <c r="AG14" s="109">
        <v>0</v>
      </c>
      <c r="AH14" s="110">
        <f>AC14+AD14+AE14+AF14+AG14</f>
        <v>611</v>
      </c>
      <c r="AI14" s="109">
        <v>734</v>
      </c>
      <c r="AJ14" s="109">
        <v>100</v>
      </c>
      <c r="AK14" s="109">
        <v>0</v>
      </c>
      <c r="AL14" s="109">
        <v>0</v>
      </c>
      <c r="AM14" s="110">
        <f t="shared" si="0"/>
        <v>834</v>
      </c>
      <c r="AN14" s="109">
        <v>780</v>
      </c>
      <c r="AO14" s="109">
        <v>130</v>
      </c>
      <c r="AP14" s="109">
        <v>0</v>
      </c>
      <c r="AQ14" s="109">
        <v>0</v>
      </c>
      <c r="AR14" s="110">
        <f t="shared" si="11"/>
        <v>910</v>
      </c>
      <c r="AS14" s="109">
        <v>787</v>
      </c>
      <c r="AT14" s="109">
        <v>0</v>
      </c>
      <c r="AU14" s="109">
        <v>0</v>
      </c>
      <c r="AV14" s="109">
        <v>0</v>
      </c>
      <c r="AW14" s="109">
        <v>0</v>
      </c>
      <c r="AX14" s="110">
        <f t="shared" si="12"/>
        <v>787</v>
      </c>
      <c r="AY14" s="109">
        <v>922</v>
      </c>
      <c r="AZ14" s="109">
        <v>0</v>
      </c>
      <c r="BA14" s="109">
        <v>0</v>
      </c>
      <c r="BB14" s="109">
        <v>0</v>
      </c>
      <c r="BC14" s="110">
        <f t="shared" si="2"/>
        <v>922</v>
      </c>
      <c r="BD14" s="109">
        <v>923</v>
      </c>
      <c r="BE14" s="109">
        <v>52</v>
      </c>
      <c r="BF14" s="109">
        <v>0</v>
      </c>
      <c r="BG14" s="211">
        <v>-180</v>
      </c>
      <c r="BH14" s="110">
        <f t="shared" si="13"/>
        <v>795</v>
      </c>
      <c r="BI14" s="109">
        <v>679</v>
      </c>
      <c r="BJ14" s="109">
        <v>-131</v>
      </c>
      <c r="BK14" s="109">
        <v>219</v>
      </c>
      <c r="BL14" s="109">
        <f>-50-12</f>
        <v>-62</v>
      </c>
      <c r="BM14" s="110">
        <f t="shared" si="4"/>
        <v>705</v>
      </c>
      <c r="BN14" s="556"/>
      <c r="BO14" s="193">
        <f t="shared" si="14"/>
        <v>7966</v>
      </c>
      <c r="BP14" s="556"/>
      <c r="BQ14" s="61">
        <f>+AVERAGE(R14,W14,AB14,AH14,AM14,AR14,AX14,BC14,BH14,BM14)</f>
        <v>796.6</v>
      </c>
      <c r="BR14" s="156">
        <v>767</v>
      </c>
      <c r="BS14" s="61">
        <f t="shared" si="15"/>
        <v>62</v>
      </c>
    </row>
    <row r="15" spans="2:74" ht="18" customHeight="1" x14ac:dyDescent="0.2">
      <c r="B15" s="581" t="s">
        <v>222</v>
      </c>
      <c r="C15" s="538">
        <v>4</v>
      </c>
      <c r="D15" s="574" t="s">
        <v>223</v>
      </c>
      <c r="E15" s="105" t="s">
        <v>0</v>
      </c>
      <c r="F15" s="105"/>
      <c r="G15" s="105"/>
      <c r="H15" s="105"/>
      <c r="I15" s="107">
        <v>16</v>
      </c>
      <c r="J15" s="107">
        <v>17</v>
      </c>
      <c r="K15" s="107">
        <v>19</v>
      </c>
      <c r="L15" s="106">
        <f t="shared" si="1"/>
        <v>52</v>
      </c>
      <c r="M15" s="542">
        <f>+L16/L15</f>
        <v>34.384615384615387</v>
      </c>
      <c r="N15" s="106">
        <v>0</v>
      </c>
      <c r="O15" s="106">
        <v>2</v>
      </c>
      <c r="P15" s="106">
        <v>8</v>
      </c>
      <c r="Q15" s="106">
        <v>9</v>
      </c>
      <c r="R15" s="107">
        <f>N15+O15+P15+Q15</f>
        <v>19</v>
      </c>
      <c r="S15" s="106">
        <v>0</v>
      </c>
      <c r="T15" s="106">
        <v>0</v>
      </c>
      <c r="U15" s="106">
        <v>0</v>
      </c>
      <c r="V15" s="106">
        <v>20</v>
      </c>
      <c r="W15" s="107">
        <f t="shared" si="9"/>
        <v>20</v>
      </c>
      <c r="X15" s="106">
        <v>0</v>
      </c>
      <c r="Y15" s="106">
        <v>0</v>
      </c>
      <c r="Z15" s="106">
        <v>3</v>
      </c>
      <c r="AA15" s="106">
        <f>8+1+4+1</f>
        <v>14</v>
      </c>
      <c r="AB15" s="107">
        <f t="shared" si="10"/>
        <v>17</v>
      </c>
      <c r="AC15" s="106">
        <v>0</v>
      </c>
      <c r="AD15" s="106">
        <v>1</v>
      </c>
      <c r="AE15" s="106">
        <v>1</v>
      </c>
      <c r="AF15" s="106">
        <v>3</v>
      </c>
      <c r="AG15" s="106">
        <v>10</v>
      </c>
      <c r="AH15" s="107">
        <f>+AC15+AD15+AE15+AF15+AG15</f>
        <v>15</v>
      </c>
      <c r="AI15" s="106">
        <v>0</v>
      </c>
      <c r="AJ15" s="106">
        <v>1</v>
      </c>
      <c r="AK15" s="106">
        <v>1</v>
      </c>
      <c r="AL15" s="167">
        <v>14</v>
      </c>
      <c r="AM15" s="107">
        <f t="shared" si="0"/>
        <v>16</v>
      </c>
      <c r="AN15" s="106">
        <v>0</v>
      </c>
      <c r="AO15" s="106">
        <v>1</v>
      </c>
      <c r="AP15" s="106">
        <v>3</v>
      </c>
      <c r="AQ15" s="106">
        <f>8+3-1</f>
        <v>10</v>
      </c>
      <c r="AR15" s="107">
        <f t="shared" si="11"/>
        <v>14</v>
      </c>
      <c r="AS15" s="106">
        <v>0</v>
      </c>
      <c r="AT15" s="106">
        <v>0</v>
      </c>
      <c r="AU15" s="106">
        <v>6</v>
      </c>
      <c r="AV15" s="106">
        <v>4</v>
      </c>
      <c r="AW15" s="106">
        <f>2+1+1+1</f>
        <v>5</v>
      </c>
      <c r="AX15" s="107">
        <f t="shared" si="12"/>
        <v>15</v>
      </c>
      <c r="AY15" s="106">
        <v>0</v>
      </c>
      <c r="AZ15" s="106">
        <v>0</v>
      </c>
      <c r="BA15" s="106">
        <v>9</v>
      </c>
      <c r="BB15" s="106">
        <f>7+1</f>
        <v>8</v>
      </c>
      <c r="BC15" s="107">
        <f t="shared" si="2"/>
        <v>17</v>
      </c>
      <c r="BD15" s="106">
        <v>0</v>
      </c>
      <c r="BE15" s="106">
        <v>5</v>
      </c>
      <c r="BF15" s="106">
        <v>2</v>
      </c>
      <c r="BG15" s="210">
        <f>3+6+3</f>
        <v>12</v>
      </c>
      <c r="BH15" s="107">
        <f>+BD15+BE15+BF15+BG15</f>
        <v>19</v>
      </c>
      <c r="BI15" s="106">
        <v>0</v>
      </c>
      <c r="BJ15" s="106">
        <v>1</v>
      </c>
      <c r="BK15" s="106">
        <v>8</v>
      </c>
      <c r="BL15" s="106">
        <v>7</v>
      </c>
      <c r="BM15" s="107">
        <f t="shared" si="4"/>
        <v>16</v>
      </c>
      <c r="BN15" s="555">
        <f>+IFERROR(BM16/BM15,0)</f>
        <v>39.799999999999997</v>
      </c>
      <c r="BO15" s="192">
        <f t="shared" si="14"/>
        <v>168</v>
      </c>
      <c r="BP15" s="555">
        <f>+BO16/BO15</f>
        <v>46.028571428571432</v>
      </c>
      <c r="BQ15" s="61"/>
      <c r="BR15" s="61">
        <v>16</v>
      </c>
      <c r="BS15" s="61">
        <f t="shared" si="15"/>
        <v>0</v>
      </c>
    </row>
    <row r="16" spans="2:74" ht="18" customHeight="1" thickBot="1" x14ac:dyDescent="0.25">
      <c r="B16" s="582"/>
      <c r="C16" s="539"/>
      <c r="D16" s="541"/>
      <c r="E16" s="108" t="s">
        <v>13</v>
      </c>
      <c r="F16" s="108"/>
      <c r="G16" s="108"/>
      <c r="H16" s="108"/>
      <c r="I16" s="110">
        <v>527</v>
      </c>
      <c r="J16" s="110">
        <v>429</v>
      </c>
      <c r="K16" s="110">
        <f>770+62</f>
        <v>832</v>
      </c>
      <c r="L16" s="109">
        <f t="shared" si="1"/>
        <v>1788</v>
      </c>
      <c r="M16" s="543"/>
      <c r="N16" s="109">
        <v>0</v>
      </c>
      <c r="O16" s="109">
        <v>86</v>
      </c>
      <c r="P16" s="109">
        <v>261</v>
      </c>
      <c r="Q16" s="109">
        <f>354-34+2</f>
        <v>322</v>
      </c>
      <c r="R16" s="110">
        <f>N16+O16+P16+Q16</f>
        <v>669</v>
      </c>
      <c r="S16" s="109">
        <v>0</v>
      </c>
      <c r="T16" s="109">
        <v>0</v>
      </c>
      <c r="U16" s="109">
        <v>0</v>
      </c>
      <c r="V16" s="109">
        <v>892</v>
      </c>
      <c r="W16" s="110">
        <f t="shared" si="9"/>
        <v>892</v>
      </c>
      <c r="X16" s="109">
        <v>0</v>
      </c>
      <c r="Y16" s="109">
        <v>0</v>
      </c>
      <c r="Z16" s="109">
        <v>56</v>
      </c>
      <c r="AA16" s="109">
        <f>424+59+81+74</f>
        <v>638</v>
      </c>
      <c r="AB16" s="110">
        <f t="shared" si="10"/>
        <v>694</v>
      </c>
      <c r="AC16" s="109">
        <v>0</v>
      </c>
      <c r="AD16" s="109">
        <v>65</v>
      </c>
      <c r="AE16" s="109">
        <v>39</v>
      </c>
      <c r="AF16" s="109">
        <v>128</v>
      </c>
      <c r="AG16" s="109">
        <f>548+5-70+7-18</f>
        <v>472</v>
      </c>
      <c r="AH16" s="110">
        <f>+AC16+AD16+AE16+AF16+AG16</f>
        <v>704</v>
      </c>
      <c r="AI16" s="109">
        <v>0</v>
      </c>
      <c r="AJ16" s="109">
        <v>39</v>
      </c>
      <c r="AK16" s="109">
        <v>67</v>
      </c>
      <c r="AL16" s="168">
        <f>511+690-96-39-416-26</f>
        <v>624</v>
      </c>
      <c r="AM16" s="110">
        <f t="shared" si="0"/>
        <v>730</v>
      </c>
      <c r="AN16" s="109">
        <v>0</v>
      </c>
      <c r="AO16" s="109">
        <v>81</v>
      </c>
      <c r="AP16" s="109">
        <v>171</v>
      </c>
      <c r="AQ16" s="109">
        <f>540+340+73-27</f>
        <v>926</v>
      </c>
      <c r="AR16" s="110">
        <f t="shared" si="11"/>
        <v>1178</v>
      </c>
      <c r="AS16" s="109">
        <v>0</v>
      </c>
      <c r="AT16" s="109">
        <v>0</v>
      </c>
      <c r="AU16" s="109">
        <v>157</v>
      </c>
      <c r="AV16" s="109">
        <f>165+100+36</f>
        <v>301</v>
      </c>
      <c r="AW16" s="109">
        <f>39+70+126+35+35-20</f>
        <v>285</v>
      </c>
      <c r="AX16" s="110">
        <f t="shared" si="12"/>
        <v>743</v>
      </c>
      <c r="AY16" s="109">
        <v>0</v>
      </c>
      <c r="AZ16" s="109">
        <v>0</v>
      </c>
      <c r="BA16" s="109">
        <v>306</v>
      </c>
      <c r="BB16" s="109">
        <f>375+150-46</f>
        <v>479</v>
      </c>
      <c r="BC16" s="110">
        <f t="shared" si="2"/>
        <v>785</v>
      </c>
      <c r="BD16" s="109">
        <v>0</v>
      </c>
      <c r="BE16" s="109">
        <v>183</v>
      </c>
      <c r="BF16" s="109">
        <v>50</v>
      </c>
      <c r="BG16" s="211">
        <f>71+312+85</f>
        <v>468</v>
      </c>
      <c r="BH16" s="110">
        <f>+BD16+BE16+BF16+BG16</f>
        <v>701</v>
      </c>
      <c r="BI16" s="109">
        <v>0</v>
      </c>
      <c r="BJ16" s="109">
        <v>3.8</v>
      </c>
      <c r="BK16" s="109">
        <v>257</v>
      </c>
      <c r="BL16" s="109">
        <v>376</v>
      </c>
      <c r="BM16" s="110">
        <f t="shared" si="4"/>
        <v>636.79999999999995</v>
      </c>
      <c r="BN16" s="556"/>
      <c r="BO16" s="193">
        <f t="shared" si="14"/>
        <v>7732.8</v>
      </c>
      <c r="BP16" s="556"/>
      <c r="BQ16" s="61">
        <f>+AVERAGE(R16,W16,AB16,AH16,AM16,AR16,AX16,BC16,BH16,BM16)</f>
        <v>773.28</v>
      </c>
      <c r="BR16" s="61">
        <v>637</v>
      </c>
      <c r="BS16" s="61">
        <f t="shared" si="15"/>
        <v>0.20000000000004547</v>
      </c>
      <c r="BV16" s="48">
        <v>1000</v>
      </c>
    </row>
    <row r="17" spans="2:81" ht="18" customHeight="1" x14ac:dyDescent="0.2">
      <c r="B17" s="584" t="s">
        <v>224</v>
      </c>
      <c r="C17" s="549">
        <v>5</v>
      </c>
      <c r="D17" s="547" t="s">
        <v>225</v>
      </c>
      <c r="E17" s="128" t="s">
        <v>0</v>
      </c>
      <c r="F17" s="128"/>
      <c r="G17" s="128"/>
      <c r="H17" s="128"/>
      <c r="I17" s="107">
        <v>23</v>
      </c>
      <c r="J17" s="107">
        <v>17</v>
      </c>
      <c r="K17" s="107">
        <v>18</v>
      </c>
      <c r="L17" s="106">
        <f t="shared" si="1"/>
        <v>58</v>
      </c>
      <c r="M17" s="542">
        <f>+L18/L17</f>
        <v>32.379310344827587</v>
      </c>
      <c r="N17" s="114">
        <v>12</v>
      </c>
      <c r="O17" s="114">
        <v>1</v>
      </c>
      <c r="P17" s="114">
        <v>1</v>
      </c>
      <c r="Q17" s="114">
        <f>4+4</f>
        <v>8</v>
      </c>
      <c r="R17" s="107">
        <v>22</v>
      </c>
      <c r="S17" s="114">
        <v>0</v>
      </c>
      <c r="T17" s="114">
        <v>0</v>
      </c>
      <c r="U17" s="114">
        <v>1</v>
      </c>
      <c r="V17" s="114">
        <v>8</v>
      </c>
      <c r="W17" s="107">
        <v>9</v>
      </c>
      <c r="X17" s="114">
        <v>2</v>
      </c>
      <c r="Y17" s="114">
        <f>1+2+3</f>
        <v>6</v>
      </c>
      <c r="Z17" s="114">
        <v>6</v>
      </c>
      <c r="AA17" s="114">
        <f>1+1+1</f>
        <v>3</v>
      </c>
      <c r="AB17" s="107">
        <f t="shared" si="10"/>
        <v>17</v>
      </c>
      <c r="AC17" s="114">
        <v>4</v>
      </c>
      <c r="AD17" s="114">
        <v>2</v>
      </c>
      <c r="AE17" s="114">
        <v>2</v>
      </c>
      <c r="AF17" s="114">
        <v>5</v>
      </c>
      <c r="AG17" s="114">
        <v>4</v>
      </c>
      <c r="AH17" s="107">
        <v>16</v>
      </c>
      <c r="AI17" s="114">
        <v>8</v>
      </c>
      <c r="AJ17" s="114">
        <v>3</v>
      </c>
      <c r="AK17" s="114">
        <v>2</v>
      </c>
      <c r="AL17" s="114">
        <v>8</v>
      </c>
      <c r="AM17" s="107">
        <f t="shared" si="0"/>
        <v>21</v>
      </c>
      <c r="AN17" s="114">
        <v>6</v>
      </c>
      <c r="AO17" s="114">
        <v>4</v>
      </c>
      <c r="AP17" s="114">
        <v>1</v>
      </c>
      <c r="AQ17" s="114">
        <v>6</v>
      </c>
      <c r="AR17" s="107">
        <f t="shared" si="11"/>
        <v>17</v>
      </c>
      <c r="AS17" s="114">
        <v>4</v>
      </c>
      <c r="AT17" s="114">
        <v>5</v>
      </c>
      <c r="AU17" s="114">
        <v>3</v>
      </c>
      <c r="AV17" s="114">
        <v>3</v>
      </c>
      <c r="AW17" s="114">
        <f>2+1</f>
        <v>3</v>
      </c>
      <c r="AX17" s="107">
        <f t="shared" si="12"/>
        <v>18</v>
      </c>
      <c r="AY17" s="114">
        <v>7</v>
      </c>
      <c r="AZ17" s="114">
        <v>2</v>
      </c>
      <c r="BA17" s="114">
        <v>8</v>
      </c>
      <c r="BB17" s="114">
        <f>3+3</f>
        <v>6</v>
      </c>
      <c r="BC17" s="107">
        <f t="shared" si="2"/>
        <v>23</v>
      </c>
      <c r="BD17" s="114">
        <v>3</v>
      </c>
      <c r="BE17" s="114">
        <v>2</v>
      </c>
      <c r="BF17" s="114">
        <v>2</v>
      </c>
      <c r="BG17" s="114">
        <v>8</v>
      </c>
      <c r="BH17" s="107">
        <f t="shared" si="13"/>
        <v>15</v>
      </c>
      <c r="BI17" s="114">
        <v>1</v>
      </c>
      <c r="BJ17" s="114">
        <v>4</v>
      </c>
      <c r="BK17" s="114">
        <v>5</v>
      </c>
      <c r="BL17" s="114">
        <v>5</v>
      </c>
      <c r="BM17" s="107">
        <f t="shared" si="4"/>
        <v>15</v>
      </c>
      <c r="BN17" s="555">
        <f>+IFERROR(BM18/BM17,0)</f>
        <v>50.733333333333334</v>
      </c>
      <c r="BO17" s="192">
        <f t="shared" si="14"/>
        <v>173</v>
      </c>
      <c r="BP17" s="555">
        <f>+BO18/BO17</f>
        <v>46.404624277456648</v>
      </c>
      <c r="BQ17" s="61"/>
      <c r="BR17" s="61">
        <v>15</v>
      </c>
      <c r="BS17" s="61">
        <f t="shared" si="15"/>
        <v>0</v>
      </c>
      <c r="BV17" s="185">
        <v>45658</v>
      </c>
      <c r="BW17" s="185">
        <v>45689</v>
      </c>
      <c r="BX17" s="185">
        <v>45717</v>
      </c>
      <c r="BY17" s="185">
        <v>45748</v>
      </c>
      <c r="BZ17" s="185">
        <v>45778</v>
      </c>
      <c r="CA17" s="185">
        <v>45809</v>
      </c>
      <c r="CB17" s="185">
        <v>45839</v>
      </c>
    </row>
    <row r="18" spans="2:81" ht="18" customHeight="1" thickBot="1" x14ac:dyDescent="0.25">
      <c r="B18" s="585"/>
      <c r="C18" s="550"/>
      <c r="D18" s="548"/>
      <c r="E18" s="129" t="s">
        <v>13</v>
      </c>
      <c r="F18" s="129"/>
      <c r="G18" s="129"/>
      <c r="H18" s="129"/>
      <c r="I18" s="110">
        <v>864</v>
      </c>
      <c r="J18" s="110">
        <v>493</v>
      </c>
      <c r="K18" s="110">
        <v>521</v>
      </c>
      <c r="L18" s="109">
        <f t="shared" si="1"/>
        <v>1878</v>
      </c>
      <c r="M18" s="543"/>
      <c r="N18" s="115">
        <v>427</v>
      </c>
      <c r="O18" s="115">
        <v>82</v>
      </c>
      <c r="P18" s="115">
        <v>35</v>
      </c>
      <c r="Q18" s="115">
        <f>142+173</f>
        <v>315</v>
      </c>
      <c r="R18" s="110">
        <v>823</v>
      </c>
      <c r="S18" s="115">
        <v>0</v>
      </c>
      <c r="T18" s="115">
        <v>0</v>
      </c>
      <c r="U18" s="115">
        <v>96</v>
      </c>
      <c r="V18" s="115">
        <v>298</v>
      </c>
      <c r="W18" s="110">
        <v>313</v>
      </c>
      <c r="X18" s="115">
        <f>0+0+0+47</f>
        <v>47</v>
      </c>
      <c r="Y18" s="115">
        <f>84.795+106+248</f>
        <v>438.79500000000002</v>
      </c>
      <c r="Z18" s="115">
        <v>239.20499999999998</v>
      </c>
      <c r="AA18" s="115">
        <f>25+11</f>
        <v>36</v>
      </c>
      <c r="AB18" s="110">
        <v>798</v>
      </c>
      <c r="AC18" s="115">
        <v>182</v>
      </c>
      <c r="AD18" s="115">
        <v>39</v>
      </c>
      <c r="AE18" s="115">
        <v>38</v>
      </c>
      <c r="AF18" s="115">
        <v>122</v>
      </c>
      <c r="AG18" s="115">
        <v>344</v>
      </c>
      <c r="AH18" s="110">
        <v>702</v>
      </c>
      <c r="AI18" s="115">
        <v>201</v>
      </c>
      <c r="AJ18" s="115">
        <v>134</v>
      </c>
      <c r="AK18" s="115">
        <v>35</v>
      </c>
      <c r="AL18" s="115">
        <f>563+38</f>
        <v>601</v>
      </c>
      <c r="AM18" s="110">
        <v>916</v>
      </c>
      <c r="AN18" s="115">
        <v>111</v>
      </c>
      <c r="AO18" s="115">
        <v>176</v>
      </c>
      <c r="AP18" s="115">
        <v>15</v>
      </c>
      <c r="AQ18" s="115">
        <f>470+47-16-21</f>
        <v>480</v>
      </c>
      <c r="AR18" s="110">
        <f t="shared" si="11"/>
        <v>782</v>
      </c>
      <c r="AS18" s="115">
        <v>144</v>
      </c>
      <c r="AT18" s="115">
        <v>345</v>
      </c>
      <c r="AU18" s="115">
        <v>70</v>
      </c>
      <c r="AV18" s="115">
        <v>201</v>
      </c>
      <c r="AW18" s="115">
        <f>35+99</f>
        <v>134</v>
      </c>
      <c r="AX18" s="110">
        <f t="shared" si="12"/>
        <v>894</v>
      </c>
      <c r="AY18" s="115">
        <v>752</v>
      </c>
      <c r="AZ18" s="115">
        <v>145</v>
      </c>
      <c r="BA18" s="115">
        <v>217</v>
      </c>
      <c r="BB18" s="115">
        <f>155+65</f>
        <v>220</v>
      </c>
      <c r="BC18" s="110">
        <f t="shared" si="2"/>
        <v>1334</v>
      </c>
      <c r="BD18" s="115">
        <v>55</v>
      </c>
      <c r="BE18" s="115">
        <v>171</v>
      </c>
      <c r="BF18" s="115">
        <v>102</v>
      </c>
      <c r="BG18" s="115">
        <v>377</v>
      </c>
      <c r="BH18" s="110">
        <f t="shared" si="13"/>
        <v>705</v>
      </c>
      <c r="BI18" s="115">
        <v>34</v>
      </c>
      <c r="BJ18" s="115">
        <v>116</v>
      </c>
      <c r="BK18" s="115">
        <v>251</v>
      </c>
      <c r="BL18" s="115">
        <v>360</v>
      </c>
      <c r="BM18" s="110">
        <f t="shared" si="4"/>
        <v>761</v>
      </c>
      <c r="BN18" s="556"/>
      <c r="BO18" s="193">
        <f t="shared" si="14"/>
        <v>8028</v>
      </c>
      <c r="BP18" s="556"/>
      <c r="BQ18" s="61">
        <f>+AVERAGE(R18,W18,AB18,AH18,AM18,AR18,AX18,BC18,BH18,BM18)</f>
        <v>802.8</v>
      </c>
      <c r="BR18" s="61">
        <v>761</v>
      </c>
      <c r="BS18" s="61">
        <f t="shared" si="15"/>
        <v>0</v>
      </c>
      <c r="BU18" s="48" t="s">
        <v>226</v>
      </c>
      <c r="BV18" s="48">
        <v>669.09500000000003</v>
      </c>
      <c r="BW18" s="48">
        <v>891.9686999999999</v>
      </c>
      <c r="BX18" s="48">
        <v>693.81329000000005</v>
      </c>
      <c r="BY18" s="48">
        <v>722.43473000000006</v>
      </c>
      <c r="BZ18" s="48">
        <v>755.65700000000004</v>
      </c>
      <c r="CA18" s="48">
        <v>1204.9965900000002</v>
      </c>
      <c r="CB18" s="48">
        <v>762.70685000000003</v>
      </c>
      <c r="CC18" s="48">
        <v>5700.6721600000001</v>
      </c>
    </row>
    <row r="19" spans="2:81" ht="18" customHeight="1" x14ac:dyDescent="0.2">
      <c r="B19" s="584" t="s">
        <v>222</v>
      </c>
      <c r="C19" s="549">
        <v>6</v>
      </c>
      <c r="D19" s="547"/>
      <c r="E19" s="143" t="s">
        <v>0</v>
      </c>
      <c r="F19" s="143"/>
      <c r="G19" s="143"/>
      <c r="H19" s="143"/>
      <c r="I19" s="146"/>
      <c r="J19" s="146"/>
      <c r="K19" s="146"/>
      <c r="L19" s="145"/>
      <c r="M19" s="55"/>
      <c r="N19" s="144"/>
      <c r="O19" s="144"/>
      <c r="P19" s="144"/>
      <c r="Q19" s="144"/>
      <c r="R19" s="213"/>
      <c r="S19" s="215"/>
      <c r="T19" s="215"/>
      <c r="U19" s="215"/>
      <c r="V19" s="215"/>
      <c r="W19" s="213"/>
      <c r="X19" s="215"/>
      <c r="Y19" s="215"/>
      <c r="Z19" s="215"/>
      <c r="AA19" s="215"/>
      <c r="AB19" s="213"/>
      <c r="AC19" s="215"/>
      <c r="AD19" s="215"/>
      <c r="AE19" s="215"/>
      <c r="AF19" s="215"/>
      <c r="AG19" s="215"/>
      <c r="AH19" s="213"/>
      <c r="AI19" s="215"/>
      <c r="AJ19" s="215"/>
      <c r="AK19" s="215"/>
      <c r="AL19" s="215"/>
      <c r="AM19" s="213"/>
      <c r="AN19" s="215"/>
      <c r="AO19" s="215"/>
      <c r="AP19" s="215"/>
      <c r="AQ19" s="215"/>
      <c r="AR19" s="213"/>
      <c r="AS19" s="215"/>
      <c r="AT19" s="215"/>
      <c r="AU19" s="215"/>
      <c r="AV19" s="215"/>
      <c r="AW19" s="215"/>
      <c r="AX19" s="213"/>
      <c r="AY19" s="215"/>
      <c r="AZ19" s="215"/>
      <c r="BA19" s="215"/>
      <c r="BB19" s="215"/>
      <c r="BC19" s="213"/>
      <c r="BD19" s="215"/>
      <c r="BE19" s="215"/>
      <c r="BF19" s="215"/>
      <c r="BG19" s="216"/>
      <c r="BH19" s="213"/>
      <c r="BI19" s="215"/>
      <c r="BJ19" s="215"/>
      <c r="BK19" s="215"/>
      <c r="BL19" s="215"/>
      <c r="BM19" s="213"/>
      <c r="BN19" s="571"/>
      <c r="BO19" s="217"/>
      <c r="BP19" s="571"/>
      <c r="BQ19" s="61"/>
      <c r="BR19" s="61"/>
      <c r="BS19" s="61"/>
    </row>
    <row r="20" spans="2:81" ht="18" customHeight="1" thickBot="1" x14ac:dyDescent="0.25">
      <c r="B20" s="585"/>
      <c r="C20" s="550"/>
      <c r="D20" s="548"/>
      <c r="E20" s="143" t="s">
        <v>13</v>
      </c>
      <c r="F20" s="143"/>
      <c r="G20" s="143"/>
      <c r="H20" s="143"/>
      <c r="I20" s="146"/>
      <c r="J20" s="146"/>
      <c r="K20" s="146"/>
      <c r="L20" s="145"/>
      <c r="M20" s="55"/>
      <c r="N20" s="144"/>
      <c r="O20" s="144"/>
      <c r="P20" s="144"/>
      <c r="Q20" s="144"/>
      <c r="R20" s="219"/>
      <c r="S20" s="221"/>
      <c r="T20" s="221"/>
      <c r="U20" s="221"/>
      <c r="V20" s="221"/>
      <c r="W20" s="219"/>
      <c r="X20" s="221"/>
      <c r="Y20" s="221"/>
      <c r="Z20" s="221"/>
      <c r="AA20" s="221"/>
      <c r="AB20" s="219"/>
      <c r="AC20" s="221"/>
      <c r="AD20" s="221"/>
      <c r="AE20" s="221"/>
      <c r="AF20" s="221"/>
      <c r="AG20" s="221"/>
      <c r="AH20" s="219"/>
      <c r="AI20" s="221"/>
      <c r="AJ20" s="221"/>
      <c r="AK20" s="221"/>
      <c r="AL20" s="221"/>
      <c r="AM20" s="219"/>
      <c r="AN20" s="221"/>
      <c r="AO20" s="221"/>
      <c r="AP20" s="221"/>
      <c r="AQ20" s="221"/>
      <c r="AR20" s="219"/>
      <c r="AS20" s="221"/>
      <c r="AT20" s="221"/>
      <c r="AU20" s="221"/>
      <c r="AV20" s="221"/>
      <c r="AW20" s="221"/>
      <c r="AX20" s="219"/>
      <c r="AY20" s="221"/>
      <c r="AZ20" s="221"/>
      <c r="BA20" s="221"/>
      <c r="BB20" s="221"/>
      <c r="BC20" s="219"/>
      <c r="BD20" s="221"/>
      <c r="BE20" s="221"/>
      <c r="BF20" s="221"/>
      <c r="BG20" s="222"/>
      <c r="BH20" s="219"/>
      <c r="BI20" s="221"/>
      <c r="BJ20" s="221"/>
      <c r="BK20" s="221"/>
      <c r="BL20" s="221"/>
      <c r="BM20" s="219"/>
      <c r="BN20" s="572"/>
      <c r="BO20" s="223"/>
      <c r="BP20" s="572"/>
      <c r="BQ20" s="61"/>
      <c r="BR20" s="61"/>
      <c r="BS20" s="61"/>
    </row>
    <row r="21" spans="2:81" ht="18" customHeight="1" x14ac:dyDescent="0.2">
      <c r="B21" s="586" t="s">
        <v>222</v>
      </c>
      <c r="C21" s="565" t="s">
        <v>227</v>
      </c>
      <c r="D21" s="567" t="s">
        <v>228</v>
      </c>
      <c r="E21" s="212" t="s">
        <v>0</v>
      </c>
      <c r="F21" s="212"/>
      <c r="G21" s="212"/>
      <c r="H21" s="212"/>
      <c r="I21" s="213"/>
      <c r="J21" s="213"/>
      <c r="K21" s="213"/>
      <c r="L21" s="214"/>
      <c r="M21" s="569">
        <v>0</v>
      </c>
      <c r="N21" s="215">
        <v>4</v>
      </c>
      <c r="O21" s="215">
        <v>2</v>
      </c>
      <c r="P21" s="215">
        <v>2</v>
      </c>
      <c r="Q21" s="215">
        <v>0</v>
      </c>
      <c r="R21" s="213">
        <f>+Q21</f>
        <v>0</v>
      </c>
      <c r="S21" s="215">
        <v>10</v>
      </c>
      <c r="T21" s="215">
        <v>7</v>
      </c>
      <c r="U21" s="215">
        <v>7</v>
      </c>
      <c r="V21" s="215">
        <v>17</v>
      </c>
      <c r="W21" s="213">
        <f>+V21</f>
        <v>17</v>
      </c>
      <c r="X21" s="215">
        <v>14</v>
      </c>
      <c r="Y21" s="215">
        <v>12</v>
      </c>
      <c r="Z21" s="215">
        <v>6</v>
      </c>
      <c r="AA21" s="215">
        <v>6</v>
      </c>
      <c r="AB21" s="213">
        <f>+AA21</f>
        <v>6</v>
      </c>
      <c r="AC21" s="215">
        <v>11</v>
      </c>
      <c r="AD21" s="215">
        <v>8</v>
      </c>
      <c r="AE21" s="215">
        <v>9</v>
      </c>
      <c r="AF21" s="215">
        <v>5</v>
      </c>
      <c r="AG21" s="215">
        <v>2</v>
      </c>
      <c r="AH21" s="213">
        <f>+AG21</f>
        <v>2</v>
      </c>
      <c r="AI21" s="215">
        <v>6</v>
      </c>
      <c r="AJ21" s="215">
        <v>5</v>
      </c>
      <c r="AK21" s="215">
        <v>5</v>
      </c>
      <c r="AL21" s="215">
        <v>4</v>
      </c>
      <c r="AM21" s="213">
        <f>+AL21</f>
        <v>4</v>
      </c>
      <c r="AN21" s="215">
        <v>10</v>
      </c>
      <c r="AO21" s="215">
        <v>8</v>
      </c>
      <c r="AP21" s="215">
        <v>6</v>
      </c>
      <c r="AQ21" s="215">
        <v>3</v>
      </c>
      <c r="AR21" s="213">
        <f>+AQ21</f>
        <v>3</v>
      </c>
      <c r="AS21" s="215">
        <v>10</v>
      </c>
      <c r="AT21" s="215">
        <v>6</v>
      </c>
      <c r="AU21" s="215">
        <v>4</v>
      </c>
      <c r="AV21" s="215">
        <v>2</v>
      </c>
      <c r="AW21" s="215">
        <v>2</v>
      </c>
      <c r="AX21" s="213">
        <f>+AW21</f>
        <v>2</v>
      </c>
      <c r="AY21" s="215">
        <v>5</v>
      </c>
      <c r="AZ21" s="215">
        <v>3</v>
      </c>
      <c r="BA21" s="215">
        <v>3</v>
      </c>
      <c r="BB21" s="215">
        <v>2</v>
      </c>
      <c r="BC21" s="213">
        <f>+BB21</f>
        <v>2</v>
      </c>
      <c r="BD21" s="215">
        <v>7</v>
      </c>
      <c r="BE21" s="215">
        <v>7</v>
      </c>
      <c r="BF21" s="215">
        <v>5</v>
      </c>
      <c r="BG21" s="216">
        <v>3</v>
      </c>
      <c r="BH21" s="213">
        <f>+BG21</f>
        <v>3</v>
      </c>
      <c r="BI21" s="215">
        <v>7</v>
      </c>
      <c r="BJ21" s="215">
        <v>10</v>
      </c>
      <c r="BK21" s="215">
        <v>8</v>
      </c>
      <c r="BL21" s="215">
        <v>6</v>
      </c>
      <c r="BM21" s="213">
        <f>+BL21</f>
        <v>6</v>
      </c>
      <c r="BN21" s="571">
        <f>+IFERROR(BM22/BM21,0)</f>
        <v>21.333333333333332</v>
      </c>
      <c r="BO21" s="217">
        <f>+BM21</f>
        <v>6</v>
      </c>
      <c r="BP21" s="571">
        <f>+BO22/BO21</f>
        <v>21.333333333333332</v>
      </c>
      <c r="BQ21" s="61"/>
    </row>
    <row r="22" spans="2:81" ht="18" customHeight="1" thickBot="1" x14ac:dyDescent="0.25">
      <c r="B22" s="587"/>
      <c r="C22" s="566"/>
      <c r="D22" s="568"/>
      <c r="E22" s="218" t="s">
        <v>13</v>
      </c>
      <c r="F22" s="218"/>
      <c r="G22" s="218"/>
      <c r="H22" s="218"/>
      <c r="I22" s="219"/>
      <c r="J22" s="219"/>
      <c r="K22" s="219"/>
      <c r="L22" s="220"/>
      <c r="M22" s="570"/>
      <c r="N22" s="221">
        <v>192</v>
      </c>
      <c r="O22" s="221">
        <v>43</v>
      </c>
      <c r="P22" s="221">
        <v>43</v>
      </c>
      <c r="Q22" s="221">
        <v>0</v>
      </c>
      <c r="R22" s="219">
        <f>+Q22</f>
        <v>0</v>
      </c>
      <c r="S22" s="221">
        <v>175</v>
      </c>
      <c r="T22" s="221">
        <v>158</v>
      </c>
      <c r="U22" s="221">
        <v>158</v>
      </c>
      <c r="V22" s="221">
        <v>831</v>
      </c>
      <c r="W22" s="219">
        <f>+V22</f>
        <v>831</v>
      </c>
      <c r="X22" s="221">
        <v>653</v>
      </c>
      <c r="Y22" s="221">
        <v>568</v>
      </c>
      <c r="Z22" s="221">
        <v>250</v>
      </c>
      <c r="AA22" s="221">
        <v>250</v>
      </c>
      <c r="AB22" s="219">
        <f>+AA22</f>
        <v>250</v>
      </c>
      <c r="AC22" s="221">
        <v>478</v>
      </c>
      <c r="AD22" s="221">
        <v>430</v>
      </c>
      <c r="AE22" s="221">
        <v>440</v>
      </c>
      <c r="AF22" s="221">
        <v>285</v>
      </c>
      <c r="AG22" s="221">
        <v>73</v>
      </c>
      <c r="AH22" s="219">
        <f>+AG22</f>
        <v>73</v>
      </c>
      <c r="AI22" s="221">
        <v>330</v>
      </c>
      <c r="AJ22" s="221">
        <v>259</v>
      </c>
      <c r="AK22" s="221">
        <v>259</v>
      </c>
      <c r="AL22" s="221">
        <v>183</v>
      </c>
      <c r="AM22" s="219">
        <f>+AL22</f>
        <v>183</v>
      </c>
      <c r="AN22" s="221">
        <v>1037</v>
      </c>
      <c r="AO22" s="221">
        <v>953</v>
      </c>
      <c r="AP22" s="221">
        <v>834</v>
      </c>
      <c r="AQ22" s="221">
        <v>681</v>
      </c>
      <c r="AR22" s="219">
        <f>+AQ22</f>
        <v>681</v>
      </c>
      <c r="AS22" s="221">
        <v>801</v>
      </c>
      <c r="AT22" s="221">
        <v>692</v>
      </c>
      <c r="AU22" s="221">
        <v>633</v>
      </c>
      <c r="AV22" s="221">
        <v>568</v>
      </c>
      <c r="AW22" s="221">
        <v>568</v>
      </c>
      <c r="AX22" s="219">
        <f>+AW22</f>
        <v>568</v>
      </c>
      <c r="AY22" s="221">
        <v>254</v>
      </c>
      <c r="AZ22" s="221">
        <v>84</v>
      </c>
      <c r="BA22" s="221">
        <v>84</v>
      </c>
      <c r="BB22" s="221">
        <v>50</v>
      </c>
      <c r="BC22" s="219">
        <f>+BB22</f>
        <v>50</v>
      </c>
      <c r="BD22" s="221">
        <v>351</v>
      </c>
      <c r="BE22" s="221">
        <v>478</v>
      </c>
      <c r="BF22" s="221">
        <v>258</v>
      </c>
      <c r="BG22" s="222">
        <v>53</v>
      </c>
      <c r="BH22" s="219">
        <f>+BG22</f>
        <v>53</v>
      </c>
      <c r="BI22" s="221">
        <v>334</v>
      </c>
      <c r="BJ22" s="221">
        <v>419</v>
      </c>
      <c r="BK22" s="221">
        <v>360</v>
      </c>
      <c r="BL22" s="221">
        <v>128</v>
      </c>
      <c r="BM22" s="219">
        <f>+BL22</f>
        <v>128</v>
      </c>
      <c r="BN22" s="572"/>
      <c r="BO22" s="223">
        <f>+BM22</f>
        <v>128</v>
      </c>
      <c r="BP22" s="572"/>
      <c r="BQ22" s="61"/>
      <c r="BU22" s="48" t="s">
        <v>229</v>
      </c>
      <c r="BV22" s="48">
        <v>822.53499999999997</v>
      </c>
      <c r="BW22" s="48">
        <v>313.029</v>
      </c>
      <c r="BX22" s="48">
        <v>798.15915999999993</v>
      </c>
      <c r="BY22" s="48">
        <v>702.12785999999994</v>
      </c>
      <c r="BZ22" s="48">
        <v>916.26199999999994</v>
      </c>
      <c r="CA22" s="186">
        <v>802.65300000000002</v>
      </c>
      <c r="CB22" s="48">
        <v>795.33726000000001</v>
      </c>
      <c r="CC22" s="48">
        <v>751.5725900000001</v>
      </c>
    </row>
    <row r="23" spans="2:81" ht="18" customHeight="1" x14ac:dyDescent="0.2">
      <c r="B23" s="586" t="s">
        <v>222</v>
      </c>
      <c r="C23" s="565" t="s">
        <v>230</v>
      </c>
      <c r="D23" s="567" t="s">
        <v>231</v>
      </c>
      <c r="E23" s="224" t="s">
        <v>0</v>
      </c>
      <c r="F23" s="224"/>
      <c r="G23" s="224"/>
      <c r="H23" s="224"/>
      <c r="I23" s="213"/>
      <c r="J23" s="213">
        <v>1</v>
      </c>
      <c r="K23" s="213">
        <v>3</v>
      </c>
      <c r="L23" s="214">
        <f t="shared" si="1"/>
        <v>4</v>
      </c>
      <c r="M23" s="569">
        <f>+L24/L23</f>
        <v>23.5</v>
      </c>
      <c r="N23" s="214">
        <v>2</v>
      </c>
      <c r="O23" s="214">
        <v>2</v>
      </c>
      <c r="P23" s="214">
        <v>1</v>
      </c>
      <c r="Q23" s="214">
        <v>1</v>
      </c>
      <c r="R23" s="213">
        <f>+Q23</f>
        <v>1</v>
      </c>
      <c r="S23" s="214">
        <v>1</v>
      </c>
      <c r="T23" s="214">
        <v>2</v>
      </c>
      <c r="U23" s="214">
        <v>1</v>
      </c>
      <c r="V23" s="214">
        <f>1+6</f>
        <v>7</v>
      </c>
      <c r="W23" s="213">
        <f>+V23</f>
        <v>7</v>
      </c>
      <c r="X23" s="214">
        <f>1+5</f>
        <v>6</v>
      </c>
      <c r="Y23" s="214">
        <v>5</v>
      </c>
      <c r="Z23" s="214">
        <v>5</v>
      </c>
      <c r="AA23" s="214">
        <v>5</v>
      </c>
      <c r="AB23" s="213">
        <f>+AA23</f>
        <v>5</v>
      </c>
      <c r="AC23" s="214">
        <v>10</v>
      </c>
      <c r="AD23" s="214">
        <v>9</v>
      </c>
      <c r="AE23" s="214">
        <v>5</v>
      </c>
      <c r="AF23" s="214">
        <v>5</v>
      </c>
      <c r="AG23" s="214">
        <v>4</v>
      </c>
      <c r="AH23" s="213">
        <f>+AG23</f>
        <v>4</v>
      </c>
      <c r="AI23" s="214">
        <v>3</v>
      </c>
      <c r="AJ23" s="214">
        <v>2</v>
      </c>
      <c r="AK23" s="214">
        <v>2</v>
      </c>
      <c r="AL23" s="214">
        <v>2</v>
      </c>
      <c r="AM23" s="213">
        <f>+AL23</f>
        <v>2</v>
      </c>
      <c r="AN23" s="214">
        <v>6</v>
      </c>
      <c r="AO23" s="214">
        <v>4</v>
      </c>
      <c r="AP23" s="214">
        <v>4</v>
      </c>
      <c r="AQ23" s="214">
        <v>4</v>
      </c>
      <c r="AR23" s="213">
        <f>+AQ23</f>
        <v>4</v>
      </c>
      <c r="AS23" s="214">
        <v>5</v>
      </c>
      <c r="AT23" s="214">
        <v>4</v>
      </c>
      <c r="AU23" s="214">
        <v>4</v>
      </c>
      <c r="AV23" s="214">
        <v>3</v>
      </c>
      <c r="AW23" s="214">
        <v>3</v>
      </c>
      <c r="AX23" s="213">
        <f>+AW23</f>
        <v>3</v>
      </c>
      <c r="AY23" s="214">
        <v>4</v>
      </c>
      <c r="AZ23" s="214">
        <v>1</v>
      </c>
      <c r="BA23" s="214">
        <v>1</v>
      </c>
      <c r="BB23" s="214">
        <v>1</v>
      </c>
      <c r="BC23" s="213">
        <f>+BB23</f>
        <v>1</v>
      </c>
      <c r="BD23" s="214">
        <v>3</v>
      </c>
      <c r="BE23" s="214">
        <v>3</v>
      </c>
      <c r="BF23" s="214">
        <v>3</v>
      </c>
      <c r="BG23" s="216">
        <v>3</v>
      </c>
      <c r="BH23" s="213">
        <f>+BG23</f>
        <v>3</v>
      </c>
      <c r="BI23" s="214">
        <v>6</v>
      </c>
      <c r="BJ23" s="214">
        <v>4</v>
      </c>
      <c r="BK23" s="214">
        <v>4</v>
      </c>
      <c r="BL23" s="214">
        <v>4</v>
      </c>
      <c r="BM23" s="213">
        <f>+BL23</f>
        <v>4</v>
      </c>
      <c r="BN23" s="571">
        <f>+IFERROR(BM24/BM23,0)</f>
        <v>15.5</v>
      </c>
      <c r="BO23" s="217">
        <f>+BM23</f>
        <v>4</v>
      </c>
      <c r="BP23" s="571">
        <f>+BO24/BO23</f>
        <v>15.5</v>
      </c>
      <c r="BQ23" s="61"/>
    </row>
    <row r="24" spans="2:81" ht="18" customHeight="1" thickBot="1" x14ac:dyDescent="0.25">
      <c r="B24" s="588"/>
      <c r="C24" s="566"/>
      <c r="D24" s="573"/>
      <c r="E24" s="225" t="s">
        <v>13</v>
      </c>
      <c r="F24" s="225"/>
      <c r="G24" s="225"/>
      <c r="H24" s="225"/>
      <c r="I24" s="226"/>
      <c r="J24" s="226">
        <v>35</v>
      </c>
      <c r="K24" s="226">
        <v>59</v>
      </c>
      <c r="L24" s="227">
        <f t="shared" si="1"/>
        <v>94</v>
      </c>
      <c r="M24" s="570"/>
      <c r="N24" s="227">
        <v>70</v>
      </c>
      <c r="O24" s="227">
        <v>70</v>
      </c>
      <c r="P24" s="227">
        <v>35</v>
      </c>
      <c r="Q24" s="227">
        <v>35</v>
      </c>
      <c r="R24" s="226">
        <f>+Q24</f>
        <v>35</v>
      </c>
      <c r="S24" s="227">
        <v>35</v>
      </c>
      <c r="T24" s="227">
        <f>35+71</f>
        <v>106</v>
      </c>
      <c r="U24" s="227">
        <v>35</v>
      </c>
      <c r="V24" s="227">
        <f>35+124</f>
        <v>159</v>
      </c>
      <c r="W24" s="226">
        <f>+V24</f>
        <v>159</v>
      </c>
      <c r="X24" s="227">
        <f>35+100</f>
        <v>135</v>
      </c>
      <c r="Y24" s="227">
        <v>101</v>
      </c>
      <c r="Z24" s="227">
        <v>101</v>
      </c>
      <c r="AA24" s="227">
        <v>101</v>
      </c>
      <c r="AB24" s="226">
        <f>+AA24</f>
        <v>101</v>
      </c>
      <c r="AC24" s="227">
        <v>326</v>
      </c>
      <c r="AD24" s="227">
        <v>276</v>
      </c>
      <c r="AE24" s="227">
        <v>201</v>
      </c>
      <c r="AF24" s="227">
        <v>201</v>
      </c>
      <c r="AG24" s="227">
        <v>88</v>
      </c>
      <c r="AH24" s="226">
        <f>+AG24</f>
        <v>88</v>
      </c>
      <c r="AI24" s="227">
        <v>67</v>
      </c>
      <c r="AJ24" s="227">
        <f>29+15</f>
        <v>44</v>
      </c>
      <c r="AK24" s="227">
        <v>44</v>
      </c>
      <c r="AL24" s="227">
        <v>44</v>
      </c>
      <c r="AM24" s="226">
        <f>+AL24</f>
        <v>44</v>
      </c>
      <c r="AN24" s="227">
        <v>227</v>
      </c>
      <c r="AO24" s="227">
        <f>29+113</f>
        <v>142</v>
      </c>
      <c r="AP24" s="227">
        <v>142</v>
      </c>
      <c r="AQ24" s="227">
        <f>113+29</f>
        <v>142</v>
      </c>
      <c r="AR24" s="226">
        <f>+AQ24</f>
        <v>142</v>
      </c>
      <c r="AS24" s="227">
        <v>548</v>
      </c>
      <c r="AT24" s="227">
        <v>493</v>
      </c>
      <c r="AU24" s="227">
        <v>493</v>
      </c>
      <c r="AV24" s="227">
        <v>76.3</v>
      </c>
      <c r="AW24" s="227">
        <v>76</v>
      </c>
      <c r="AX24" s="226">
        <f>+AW24</f>
        <v>76</v>
      </c>
      <c r="AY24" s="227">
        <v>190</v>
      </c>
      <c r="AZ24" s="227">
        <v>29</v>
      </c>
      <c r="BA24" s="227">
        <v>29</v>
      </c>
      <c r="BB24" s="227">
        <v>29</v>
      </c>
      <c r="BC24" s="226">
        <f>+BB24</f>
        <v>29</v>
      </c>
      <c r="BD24" s="227">
        <v>79</v>
      </c>
      <c r="BE24" s="227">
        <v>79</v>
      </c>
      <c r="BF24" s="227">
        <v>79</v>
      </c>
      <c r="BG24" s="228">
        <v>79</v>
      </c>
      <c r="BH24" s="226">
        <f>+BG24</f>
        <v>79</v>
      </c>
      <c r="BI24" s="227">
        <v>132</v>
      </c>
      <c r="BJ24" s="227">
        <v>62</v>
      </c>
      <c r="BK24" s="227">
        <v>62</v>
      </c>
      <c r="BL24" s="227">
        <v>62</v>
      </c>
      <c r="BM24" s="226">
        <f>+BL24</f>
        <v>62</v>
      </c>
      <c r="BN24" s="572"/>
      <c r="BO24" s="229">
        <f>+BM24</f>
        <v>62</v>
      </c>
      <c r="BP24" s="572"/>
      <c r="BQ24" s="61"/>
      <c r="BS24" s="175"/>
      <c r="BU24" s="48" t="s">
        <v>232</v>
      </c>
      <c r="BV24" s="48">
        <v>724.71914960999993</v>
      </c>
      <c r="BW24" s="48">
        <v>932.41046701300002</v>
      </c>
      <c r="BX24" s="48">
        <v>785.48233071105005</v>
      </c>
      <c r="BY24" s="48">
        <v>611.32256999999993</v>
      </c>
      <c r="BZ24" s="48">
        <v>666.94830000000002</v>
      </c>
      <c r="CA24" s="48">
        <v>796.9543000000001</v>
      </c>
      <c r="CB24" s="48">
        <v>894.28983830188668</v>
      </c>
    </row>
    <row r="25" spans="2:81" s="148" customFormat="1" ht="22.5" customHeight="1" thickBot="1" x14ac:dyDescent="0.25">
      <c r="B25" s="209" t="s">
        <v>224</v>
      </c>
      <c r="C25" s="202">
        <v>7</v>
      </c>
      <c r="D25" s="201" t="s">
        <v>233</v>
      </c>
      <c r="E25" s="203" t="s">
        <v>13</v>
      </c>
      <c r="F25" s="203"/>
      <c r="G25" s="203"/>
      <c r="H25" s="203"/>
      <c r="I25" s="204"/>
      <c r="J25" s="204"/>
      <c r="K25" s="204"/>
      <c r="L25" s="124"/>
      <c r="M25" s="205"/>
      <c r="N25" s="124"/>
      <c r="O25" s="124"/>
      <c r="P25" s="124"/>
      <c r="Q25" s="124"/>
      <c r="R25" s="204">
        <v>522</v>
      </c>
      <c r="S25" s="124"/>
      <c r="T25" s="124"/>
      <c r="U25" s="124"/>
      <c r="V25" s="124"/>
      <c r="W25" s="204">
        <v>534</v>
      </c>
      <c r="X25" s="124"/>
      <c r="Y25" s="124"/>
      <c r="Z25" s="124"/>
      <c r="AA25" s="124"/>
      <c r="AB25" s="204">
        <v>618</v>
      </c>
      <c r="AC25" s="124"/>
      <c r="AD25" s="124"/>
      <c r="AE25" s="124"/>
      <c r="AF25" s="124"/>
      <c r="AG25" s="124"/>
      <c r="AH25" s="204">
        <v>555</v>
      </c>
      <c r="AI25" s="124"/>
      <c r="AJ25" s="124"/>
      <c r="AK25" s="124"/>
      <c r="AL25" s="124"/>
      <c r="AM25" s="204">
        <v>566</v>
      </c>
      <c r="AN25" s="124"/>
      <c r="AO25" s="124"/>
      <c r="AP25" s="124"/>
      <c r="AQ25" s="124"/>
      <c r="AR25" s="204">
        <v>640</v>
      </c>
      <c r="AS25" s="124"/>
      <c r="AT25" s="124"/>
      <c r="AU25" s="124"/>
      <c r="AV25" s="124"/>
      <c r="AW25" s="124"/>
      <c r="AX25" s="204">
        <v>630</v>
      </c>
      <c r="AY25" s="124"/>
      <c r="AZ25" s="124"/>
      <c r="BA25" s="124"/>
      <c r="BB25" s="124"/>
      <c r="BC25" s="204">
        <v>665</v>
      </c>
      <c r="BD25" s="124">
        <v>0</v>
      </c>
      <c r="BE25" s="124">
        <v>0</v>
      </c>
      <c r="BF25" s="124">
        <v>0</v>
      </c>
      <c r="BG25" s="124">
        <v>0</v>
      </c>
      <c r="BH25" s="204">
        <v>648</v>
      </c>
      <c r="BI25" s="124"/>
      <c r="BJ25" s="124"/>
      <c r="BK25" s="124"/>
      <c r="BL25" s="124"/>
      <c r="BM25" s="204">
        <v>581</v>
      </c>
      <c r="BN25" s="206">
        <f>+BM25</f>
        <v>581</v>
      </c>
      <c r="BO25" s="207">
        <f>+R25+W25+AB25+AH25+AM25+AR25+AX25+BC25+BH25+BM25</f>
        <v>5959</v>
      </c>
      <c r="BP25" s="206">
        <f>+BO25/10</f>
        <v>595.9</v>
      </c>
      <c r="BQ25" s="61">
        <f>+AVERAGE(R25,W25,AB25,AH25,AM25,AR25,AX25,BC25,BH25,BM25)</f>
        <v>595.9</v>
      </c>
      <c r="BS25" s="176"/>
      <c r="BT25" s="176"/>
    </row>
    <row r="26" spans="2:81" ht="18" customHeight="1" x14ac:dyDescent="0.2">
      <c r="B26" s="584" t="s">
        <v>224</v>
      </c>
      <c r="C26" s="549">
        <v>8</v>
      </c>
      <c r="D26" s="547" t="s">
        <v>29</v>
      </c>
      <c r="E26" s="105" t="s">
        <v>0</v>
      </c>
      <c r="F26" s="105"/>
      <c r="G26" s="105"/>
      <c r="H26" s="105"/>
      <c r="I26" s="107">
        <v>25</v>
      </c>
      <c r="J26" s="107">
        <v>15</v>
      </c>
      <c r="K26" s="107">
        <v>15</v>
      </c>
      <c r="L26" s="106">
        <f>+SUM(I26:K26)</f>
        <v>55</v>
      </c>
      <c r="M26" s="542">
        <f>+L27/L26</f>
        <v>38.109090909090909</v>
      </c>
      <c r="N26" s="106">
        <v>4</v>
      </c>
      <c r="O26" s="106">
        <v>4</v>
      </c>
      <c r="P26" s="106">
        <v>8</v>
      </c>
      <c r="Q26" s="106">
        <v>4</v>
      </c>
      <c r="R26" s="107">
        <v>22</v>
      </c>
      <c r="S26" s="106">
        <v>2</v>
      </c>
      <c r="T26" s="106">
        <v>6</v>
      </c>
      <c r="U26" s="106">
        <f>5+2</f>
        <v>7</v>
      </c>
      <c r="V26" s="106">
        <f>3+3+1</f>
        <v>7</v>
      </c>
      <c r="W26" s="107">
        <v>20</v>
      </c>
      <c r="X26" s="106">
        <v>3</v>
      </c>
      <c r="Y26" s="106">
        <v>5</v>
      </c>
      <c r="Z26" s="106">
        <v>4</v>
      </c>
      <c r="AA26" s="106">
        <f>3+2+1</f>
        <v>6</v>
      </c>
      <c r="AB26" s="107">
        <v>16</v>
      </c>
      <c r="AC26" s="106">
        <v>2</v>
      </c>
      <c r="AD26" s="106">
        <f>5-1</f>
        <v>4</v>
      </c>
      <c r="AE26" s="106">
        <v>1</v>
      </c>
      <c r="AF26" s="106">
        <v>4</v>
      </c>
      <c r="AG26" s="106">
        <v>1</v>
      </c>
      <c r="AH26" s="107">
        <f>+AC26+AD26+AE26+AF26+AG26</f>
        <v>12</v>
      </c>
      <c r="AI26" s="106">
        <v>2</v>
      </c>
      <c r="AJ26" s="106">
        <v>3</v>
      </c>
      <c r="AK26" s="106">
        <v>7</v>
      </c>
      <c r="AL26" s="106">
        <v>8</v>
      </c>
      <c r="AM26" s="107">
        <f>+AI26+AJ26+AK26+AL26</f>
        <v>20</v>
      </c>
      <c r="AN26" s="106">
        <v>4</v>
      </c>
      <c r="AO26" s="106">
        <v>4</v>
      </c>
      <c r="AP26" s="106">
        <v>5</v>
      </c>
      <c r="AQ26" s="106">
        <v>5</v>
      </c>
      <c r="AR26" s="107">
        <f>+AN26+AO26+AP26+AQ26</f>
        <v>18</v>
      </c>
      <c r="AS26" s="106">
        <v>5</v>
      </c>
      <c r="AT26" s="106">
        <v>5</v>
      </c>
      <c r="AU26" s="106">
        <v>3</v>
      </c>
      <c r="AV26" s="106">
        <v>2</v>
      </c>
      <c r="AW26" s="106">
        <f>2+1</f>
        <v>3</v>
      </c>
      <c r="AX26" s="107">
        <f t="shared" ref="AX26" si="16">+AS26+AT26+AU26+AV26+AW26</f>
        <v>18</v>
      </c>
      <c r="AY26" s="106">
        <v>5</v>
      </c>
      <c r="AZ26" s="106">
        <v>2</v>
      </c>
      <c r="BA26" s="106">
        <v>4</v>
      </c>
      <c r="BB26" s="106">
        <v>7</v>
      </c>
      <c r="BC26" s="107">
        <f>+AY26+AZ26+BA26+BB26</f>
        <v>18</v>
      </c>
      <c r="BD26" s="106">
        <v>1</v>
      </c>
      <c r="BE26" s="106">
        <v>3</v>
      </c>
      <c r="BF26" s="106">
        <v>5</v>
      </c>
      <c r="BG26" s="106">
        <f>6</f>
        <v>6</v>
      </c>
      <c r="BH26" s="107">
        <f>+BD26+BE26+BF26+BG26</f>
        <v>15</v>
      </c>
      <c r="BI26" s="106">
        <v>0</v>
      </c>
      <c r="BJ26" s="106">
        <v>0</v>
      </c>
      <c r="BK26" s="106">
        <v>7</v>
      </c>
      <c r="BL26" s="106">
        <v>9</v>
      </c>
      <c r="BM26" s="107">
        <f t="shared" ref="BM26:BM27" si="17">+BI26+BJ26+BK26+BL26</f>
        <v>16</v>
      </c>
      <c r="BN26" s="555">
        <f>+IFERROR(BM27/BM26,0)</f>
        <v>45.5625</v>
      </c>
      <c r="BO26" s="192">
        <f>+R26+W26+AB26+AH26+AM26+AR26+AX26+BC26+BH26+BM26</f>
        <v>175</v>
      </c>
      <c r="BP26" s="555">
        <f>+BO27/BO26</f>
        <v>43.32</v>
      </c>
      <c r="BQ26" s="61"/>
      <c r="BR26" s="61">
        <v>16</v>
      </c>
      <c r="BS26" s="61">
        <f>+BR26-BM26</f>
        <v>0</v>
      </c>
    </row>
    <row r="27" spans="2:81" ht="18" customHeight="1" thickBot="1" x14ac:dyDescent="0.25">
      <c r="B27" s="585"/>
      <c r="C27" s="550"/>
      <c r="D27" s="548"/>
      <c r="E27" s="108" t="s">
        <v>13</v>
      </c>
      <c r="F27" s="108"/>
      <c r="G27" s="108"/>
      <c r="H27" s="108"/>
      <c r="I27" s="110">
        <v>1004</v>
      </c>
      <c r="J27" s="110">
        <v>616</v>
      </c>
      <c r="K27" s="110">
        <v>476</v>
      </c>
      <c r="L27" s="109">
        <f>+SUM(I27:K27)</f>
        <v>2096</v>
      </c>
      <c r="M27" s="543"/>
      <c r="N27" s="109">
        <v>197</v>
      </c>
      <c r="O27" s="109">
        <v>83</v>
      </c>
      <c r="P27" s="109">
        <v>269</v>
      </c>
      <c r="Q27" s="109">
        <v>157</v>
      </c>
      <c r="R27" s="110">
        <v>724</v>
      </c>
      <c r="S27" s="109">
        <v>46</v>
      </c>
      <c r="T27" s="109">
        <v>261</v>
      </c>
      <c r="U27" s="109">
        <f>181+160</f>
        <v>341</v>
      </c>
      <c r="V27" s="109">
        <f>152+87+22</f>
        <v>261</v>
      </c>
      <c r="W27" s="110">
        <v>932</v>
      </c>
      <c r="X27" s="109">
        <f>96270/1000</f>
        <v>96.27</v>
      </c>
      <c r="Y27" s="109">
        <v>132</v>
      </c>
      <c r="Z27" s="109">
        <v>253.73000000000002</v>
      </c>
      <c r="AA27" s="109">
        <f>197+51+29</f>
        <v>277</v>
      </c>
      <c r="AB27" s="110">
        <f>785-5</f>
        <v>780</v>
      </c>
      <c r="AC27" s="109">
        <v>35</v>
      </c>
      <c r="AD27" s="109">
        <v>346</v>
      </c>
      <c r="AE27" s="109">
        <v>42</v>
      </c>
      <c r="AF27" s="109">
        <v>105</v>
      </c>
      <c r="AG27" s="109">
        <v>83</v>
      </c>
      <c r="AH27" s="110">
        <f>+AC27+AD27+AE27+AF27+AG27-10</f>
        <v>601</v>
      </c>
      <c r="AI27" s="109">
        <v>123</v>
      </c>
      <c r="AJ27" s="109">
        <v>121</v>
      </c>
      <c r="AK27" s="109">
        <v>171</v>
      </c>
      <c r="AL27" s="109">
        <v>233</v>
      </c>
      <c r="AM27" s="110">
        <f>667-39</f>
        <v>628</v>
      </c>
      <c r="AN27" s="109">
        <v>345</v>
      </c>
      <c r="AO27" s="109">
        <v>121</v>
      </c>
      <c r="AP27" s="109">
        <v>195</v>
      </c>
      <c r="AQ27" s="109">
        <v>125</v>
      </c>
      <c r="AR27" s="110">
        <v>797</v>
      </c>
      <c r="AS27" s="109">
        <v>219</v>
      </c>
      <c r="AT27" s="109">
        <v>123</v>
      </c>
      <c r="AU27" s="109">
        <v>241</v>
      </c>
      <c r="AV27" s="109">
        <v>47</v>
      </c>
      <c r="AW27" s="109">
        <f>127+137</f>
        <v>264</v>
      </c>
      <c r="AX27" s="110">
        <f>+AS27+AT27+AU27+AV27+AW27-67</f>
        <v>827</v>
      </c>
      <c r="AY27" s="109">
        <v>163</v>
      </c>
      <c r="AZ27" s="109">
        <v>59</v>
      </c>
      <c r="BA27" s="109">
        <v>550</v>
      </c>
      <c r="BB27" s="109">
        <v>213</v>
      </c>
      <c r="BC27" s="110">
        <f>+AY27+AZ27+BA27+BB27-36</f>
        <v>949</v>
      </c>
      <c r="BD27" s="109">
        <v>112</v>
      </c>
      <c r="BE27" s="109">
        <v>103</v>
      </c>
      <c r="BF27" s="109">
        <v>308</v>
      </c>
      <c r="BG27" s="109">
        <f>33+61-3</f>
        <v>91</v>
      </c>
      <c r="BH27" s="110">
        <f>+BD27+BE27+BF27+BG27</f>
        <v>614</v>
      </c>
      <c r="BI27" s="109">
        <v>0</v>
      </c>
      <c r="BJ27" s="109">
        <v>0</v>
      </c>
      <c r="BK27" s="109">
        <v>307</v>
      </c>
      <c r="BL27" s="109">
        <v>422</v>
      </c>
      <c r="BM27" s="110">
        <f t="shared" si="17"/>
        <v>729</v>
      </c>
      <c r="BN27" s="556"/>
      <c r="BO27" s="193">
        <f>+R27+W27+AB27+AH27+AM27+AR27+AX27+BC27+BH27+BM27</f>
        <v>7581</v>
      </c>
      <c r="BP27" s="556"/>
      <c r="BQ27" s="61">
        <f>+AVERAGE(R27,W27,AB27,AH27,AM27,AR27,AX27,BC27,BH27,BM27)</f>
        <v>758.1</v>
      </c>
      <c r="BR27" s="61">
        <v>729</v>
      </c>
      <c r="BS27" s="61">
        <f>+BR27-BM27</f>
        <v>0</v>
      </c>
    </row>
    <row r="28" spans="2:81" ht="18" customHeight="1" x14ac:dyDescent="0.2">
      <c r="B28" s="584" t="s">
        <v>224</v>
      </c>
      <c r="C28" s="549">
        <v>9</v>
      </c>
      <c r="D28" s="547" t="s">
        <v>32</v>
      </c>
      <c r="E28" s="128" t="s">
        <v>0</v>
      </c>
      <c r="F28" s="105"/>
      <c r="G28" s="105"/>
      <c r="H28" s="105"/>
      <c r="I28" s="107"/>
      <c r="J28" s="107"/>
      <c r="K28" s="107">
        <v>8</v>
      </c>
      <c r="L28" s="106">
        <f t="shared" ref="L28:L29" si="18">+SUM(I28:K28)</f>
        <v>8</v>
      </c>
      <c r="M28" s="542">
        <f>+L29/L28</f>
        <v>35.75</v>
      </c>
      <c r="N28" s="106">
        <v>5</v>
      </c>
      <c r="O28" s="106">
        <v>3</v>
      </c>
      <c r="P28" s="106">
        <v>2</v>
      </c>
      <c r="Q28" s="106">
        <v>5</v>
      </c>
      <c r="R28" s="107">
        <f>+Q28</f>
        <v>5</v>
      </c>
      <c r="S28" s="106">
        <v>5</v>
      </c>
      <c r="T28" s="106">
        <v>6</v>
      </c>
      <c r="U28" s="106">
        <v>3</v>
      </c>
      <c r="V28" s="106">
        <v>3</v>
      </c>
      <c r="W28" s="107">
        <f>+V28</f>
        <v>3</v>
      </c>
      <c r="X28" s="106">
        <v>3</v>
      </c>
      <c r="Y28" s="106">
        <v>1</v>
      </c>
      <c r="Z28" s="106">
        <v>2</v>
      </c>
      <c r="AA28" s="106">
        <v>2</v>
      </c>
      <c r="AB28" s="107">
        <f>+AA28</f>
        <v>2</v>
      </c>
      <c r="AC28" s="106">
        <v>2</v>
      </c>
      <c r="AD28" s="106">
        <v>2</v>
      </c>
      <c r="AE28" s="106">
        <v>2</v>
      </c>
      <c r="AF28" s="106">
        <v>2</v>
      </c>
      <c r="AG28" s="106">
        <v>2</v>
      </c>
      <c r="AH28" s="107">
        <f>+AG28</f>
        <v>2</v>
      </c>
      <c r="AI28" s="106">
        <v>2</v>
      </c>
      <c r="AJ28" s="106">
        <v>6</v>
      </c>
      <c r="AK28" s="106">
        <v>4</v>
      </c>
      <c r="AL28" s="106">
        <v>3</v>
      </c>
      <c r="AM28" s="107">
        <f>+AL28</f>
        <v>3</v>
      </c>
      <c r="AN28" s="106">
        <v>3</v>
      </c>
      <c r="AO28" s="106">
        <v>6</v>
      </c>
      <c r="AP28" s="106">
        <v>5</v>
      </c>
      <c r="AQ28" s="106">
        <v>3</v>
      </c>
      <c r="AR28" s="107">
        <f>+AQ28</f>
        <v>3</v>
      </c>
      <c r="AS28" s="106">
        <v>2</v>
      </c>
      <c r="AT28" s="106">
        <v>1</v>
      </c>
      <c r="AU28" s="106">
        <v>1</v>
      </c>
      <c r="AV28" s="106">
        <v>1</v>
      </c>
      <c r="AW28" s="106">
        <v>4</v>
      </c>
      <c r="AX28" s="107">
        <f>+AW28</f>
        <v>4</v>
      </c>
      <c r="AY28" s="106">
        <v>2</v>
      </c>
      <c r="AZ28" s="106">
        <v>5</v>
      </c>
      <c r="BA28" s="106">
        <v>4</v>
      </c>
      <c r="BB28" s="106">
        <v>4</v>
      </c>
      <c r="BC28" s="107">
        <f>+BB28</f>
        <v>4</v>
      </c>
      <c r="BD28" s="106">
        <v>4</v>
      </c>
      <c r="BE28" s="106">
        <v>6</v>
      </c>
      <c r="BF28" s="106">
        <v>6</v>
      </c>
      <c r="BG28" s="106">
        <v>5</v>
      </c>
      <c r="BH28" s="107">
        <f>+BG28</f>
        <v>5</v>
      </c>
      <c r="BI28" s="106">
        <v>5</v>
      </c>
      <c r="BJ28" s="106">
        <v>5</v>
      </c>
      <c r="BK28" s="106">
        <v>6</v>
      </c>
      <c r="BL28" s="106">
        <v>5</v>
      </c>
      <c r="BM28" s="107">
        <f>+BL28</f>
        <v>5</v>
      </c>
      <c r="BN28" s="555">
        <f>+IFERROR(BM29/BM28,0)</f>
        <v>65.400000000000006</v>
      </c>
      <c r="BO28" s="192">
        <f>+BM28</f>
        <v>5</v>
      </c>
      <c r="BP28" s="555">
        <f>+IFERROR(BO29/BO28,0)</f>
        <v>65.400000000000006</v>
      </c>
      <c r="BQ28" s="61"/>
      <c r="BR28" s="61"/>
    </row>
    <row r="29" spans="2:81" ht="18" customHeight="1" thickBot="1" x14ac:dyDescent="0.25">
      <c r="B29" s="585"/>
      <c r="C29" s="550"/>
      <c r="D29" s="548"/>
      <c r="E29" s="129" t="s">
        <v>35</v>
      </c>
      <c r="F29" s="108"/>
      <c r="G29" s="108"/>
      <c r="H29" s="108"/>
      <c r="I29" s="110"/>
      <c r="J29" s="110"/>
      <c r="K29" s="110">
        <v>286</v>
      </c>
      <c r="L29" s="109">
        <f t="shared" si="18"/>
        <v>286</v>
      </c>
      <c r="M29" s="543"/>
      <c r="N29" s="109">
        <v>110</v>
      </c>
      <c r="O29" s="109">
        <v>60</v>
      </c>
      <c r="P29" s="109">
        <v>26.8</v>
      </c>
      <c r="Q29" s="109">
        <f>227+27</f>
        <v>254</v>
      </c>
      <c r="R29" s="110">
        <f>+Q29</f>
        <v>254</v>
      </c>
      <c r="S29" s="109">
        <v>254</v>
      </c>
      <c r="T29" s="109">
        <v>213</v>
      </c>
      <c r="U29" s="109">
        <v>109</v>
      </c>
      <c r="V29" s="109">
        <v>109</v>
      </c>
      <c r="W29" s="110">
        <f>+V29</f>
        <v>109</v>
      </c>
      <c r="X29" s="109">
        <v>109</v>
      </c>
      <c r="Y29" s="109">
        <v>5.2</v>
      </c>
      <c r="Z29" s="109">
        <v>29</v>
      </c>
      <c r="AA29" s="109">
        <v>29</v>
      </c>
      <c r="AB29" s="110">
        <f>+AA29</f>
        <v>29</v>
      </c>
      <c r="AC29" s="109">
        <v>29</v>
      </c>
      <c r="AD29" s="109">
        <v>29</v>
      </c>
      <c r="AE29" s="109">
        <v>29</v>
      </c>
      <c r="AF29" s="109">
        <v>29</v>
      </c>
      <c r="AG29" s="109">
        <v>29</v>
      </c>
      <c r="AH29" s="110">
        <f>+AG29</f>
        <v>29</v>
      </c>
      <c r="AI29" s="109">
        <v>29</v>
      </c>
      <c r="AJ29" s="109">
        <v>198</v>
      </c>
      <c r="AK29" s="109">
        <v>162</v>
      </c>
      <c r="AL29" s="109">
        <v>61</v>
      </c>
      <c r="AM29" s="110">
        <f>+AL29</f>
        <v>61</v>
      </c>
      <c r="AN29" s="109">
        <v>61</v>
      </c>
      <c r="AO29" s="109">
        <v>225</v>
      </c>
      <c r="AP29" s="109">
        <v>99</v>
      </c>
      <c r="AQ29" s="109">
        <v>83</v>
      </c>
      <c r="AR29" s="110">
        <f>+AQ29</f>
        <v>83</v>
      </c>
      <c r="AS29" s="109">
        <v>10</v>
      </c>
      <c r="AT29" s="109">
        <v>5</v>
      </c>
      <c r="AU29" s="109">
        <v>5</v>
      </c>
      <c r="AV29" s="109">
        <v>5</v>
      </c>
      <c r="AW29" s="109">
        <v>78</v>
      </c>
      <c r="AX29" s="110">
        <f>+AW29</f>
        <v>78</v>
      </c>
      <c r="AY29" s="109">
        <v>15</v>
      </c>
      <c r="AZ29" s="109">
        <v>261</v>
      </c>
      <c r="BA29" s="109">
        <v>239</v>
      </c>
      <c r="BB29" s="109">
        <v>239</v>
      </c>
      <c r="BC29" s="110">
        <f>+BB29</f>
        <v>239</v>
      </c>
      <c r="BD29" s="109">
        <v>218</v>
      </c>
      <c r="BE29" s="109">
        <v>406</v>
      </c>
      <c r="BF29" s="109">
        <v>406</v>
      </c>
      <c r="BG29" s="109">
        <v>367</v>
      </c>
      <c r="BH29" s="110">
        <f>+BG29</f>
        <v>367</v>
      </c>
      <c r="BI29" s="109">
        <v>367</v>
      </c>
      <c r="BJ29" s="109">
        <v>367</v>
      </c>
      <c r="BK29" s="109">
        <v>387</v>
      </c>
      <c r="BL29" s="109">
        <v>327</v>
      </c>
      <c r="BM29" s="110">
        <f>+BL29</f>
        <v>327</v>
      </c>
      <c r="BN29" s="556"/>
      <c r="BO29" s="193">
        <f>+BM29</f>
        <v>327</v>
      </c>
      <c r="BP29" s="556"/>
      <c r="BQ29" s="61"/>
      <c r="BR29" s="208"/>
    </row>
    <row r="30" spans="2:81" ht="18" customHeight="1" thickBot="1" x14ac:dyDescent="0.25">
      <c r="B30" s="190" t="s">
        <v>222</v>
      </c>
      <c r="C30" s="135">
        <v>10</v>
      </c>
      <c r="D30" s="136" t="s">
        <v>37</v>
      </c>
      <c r="E30" s="137" t="s">
        <v>38</v>
      </c>
      <c r="F30" s="137"/>
      <c r="G30" s="137"/>
      <c r="H30" s="137"/>
      <c r="I30" s="141">
        <f>+IFERROR(I16/I14,0)</f>
        <v>1.0213178294573644</v>
      </c>
      <c r="J30" s="141">
        <f t="shared" ref="J30:K30" si="19">+IFERROR(J16/J14,0)</f>
        <v>0.65797546012269936</v>
      </c>
      <c r="K30" s="141">
        <f t="shared" si="19"/>
        <v>1.0653008962868118</v>
      </c>
      <c r="L30" s="139">
        <f>+AVERAGE(I30:K30)</f>
        <v>0.91486472862229196</v>
      </c>
      <c r="M30" s="140">
        <f>+L30</f>
        <v>0.91486472862229196</v>
      </c>
      <c r="N30" s="138" t="s">
        <v>39</v>
      </c>
      <c r="O30" s="138">
        <f t="shared" ref="O30:R30" si="20">+IFERROR(O16/O14,0)</f>
        <v>0.11405835543766578</v>
      </c>
      <c r="P30" s="138">
        <f t="shared" si="20"/>
        <v>0.36350974930362118</v>
      </c>
      <c r="Q30" s="138">
        <f t="shared" si="20"/>
        <v>0.44846796657381616</v>
      </c>
      <c r="R30" s="141">
        <f t="shared" si="20"/>
        <v>0.93175487465181062</v>
      </c>
      <c r="S30" s="138">
        <v>0</v>
      </c>
      <c r="T30" s="138">
        <v>0</v>
      </c>
      <c r="U30" s="138">
        <v>0</v>
      </c>
      <c r="V30" s="138">
        <v>0</v>
      </c>
      <c r="W30" s="141">
        <f t="shared" ref="W30" si="21">+IFERROR(W16/W14,0)</f>
        <v>1.0217640320733103</v>
      </c>
      <c r="X30" s="138">
        <v>0</v>
      </c>
      <c r="Y30" s="138">
        <v>0</v>
      </c>
      <c r="Z30" s="138">
        <v>0</v>
      </c>
      <c r="AA30" s="138">
        <v>0</v>
      </c>
      <c r="AB30" s="141">
        <f>+IFERROR(AB16/AB14,0)</f>
        <v>0.8557336621454994</v>
      </c>
      <c r="AC30" s="138">
        <v>0</v>
      </c>
      <c r="AD30" s="138">
        <v>0</v>
      </c>
      <c r="AE30" s="138">
        <v>0</v>
      </c>
      <c r="AF30" s="138">
        <v>0</v>
      </c>
      <c r="AG30" s="138">
        <v>0</v>
      </c>
      <c r="AH30" s="141">
        <f>+IFERROR(AH16/AH14,0)</f>
        <v>1.1522094926350246</v>
      </c>
      <c r="AI30" s="138">
        <v>0</v>
      </c>
      <c r="AJ30" s="138">
        <v>0</v>
      </c>
      <c r="AK30" s="138">
        <v>0</v>
      </c>
      <c r="AL30" s="138">
        <v>0</v>
      </c>
      <c r="AM30" s="141">
        <f>+IFERROR(AM16/AM14,0)</f>
        <v>0.87529976019184652</v>
      </c>
      <c r="AN30" s="138">
        <v>0</v>
      </c>
      <c r="AO30" s="138">
        <v>0</v>
      </c>
      <c r="AP30" s="138">
        <v>0</v>
      </c>
      <c r="AQ30" s="138">
        <v>0</v>
      </c>
      <c r="AR30" s="141">
        <f>+IFERROR(AR16/AR14,0)</f>
        <v>1.2945054945054946</v>
      </c>
      <c r="AS30" s="138">
        <v>0</v>
      </c>
      <c r="AT30" s="138">
        <v>0</v>
      </c>
      <c r="AU30" s="138">
        <v>0</v>
      </c>
      <c r="AV30" s="138">
        <v>0</v>
      </c>
      <c r="AW30" s="138">
        <v>0</v>
      </c>
      <c r="AX30" s="141">
        <f>+IFERROR(AX16/AX14,0)</f>
        <v>0.94409148665819564</v>
      </c>
      <c r="AY30" s="138">
        <v>0</v>
      </c>
      <c r="AZ30" s="138">
        <v>0</v>
      </c>
      <c r="BA30" s="138">
        <v>0</v>
      </c>
      <c r="BB30" s="138">
        <v>0</v>
      </c>
      <c r="BC30" s="141">
        <f>+IFERROR(BC16/BC14,0)</f>
        <v>0.85140997830802601</v>
      </c>
      <c r="BD30" s="138">
        <v>0</v>
      </c>
      <c r="BE30" s="138">
        <v>0</v>
      </c>
      <c r="BF30" s="138">
        <v>0</v>
      </c>
      <c r="BG30" s="138">
        <v>0</v>
      </c>
      <c r="BH30" s="141">
        <f>+IFERROR(BH16/BH14,0)</f>
        <v>0.8817610062893082</v>
      </c>
      <c r="BI30" s="138">
        <v>0</v>
      </c>
      <c r="BJ30" s="138">
        <v>0</v>
      </c>
      <c r="BK30" s="138">
        <v>0</v>
      </c>
      <c r="BL30" s="138">
        <v>0</v>
      </c>
      <c r="BM30" s="141">
        <f>+IFERROR(BM16/BM14,0)</f>
        <v>0.90326241134751761</v>
      </c>
      <c r="BN30" s="142">
        <f>+BM30</f>
        <v>0.90326241134751761</v>
      </c>
      <c r="BO30" s="197">
        <f>+AVERAGE(R30,W30,AB30,AH30,AM30,AR30,AX30,BC30,BH30,BM30)</f>
        <v>0.97117921988060341</v>
      </c>
      <c r="BP30" s="142">
        <f>+BO30</f>
        <v>0.97117921988060341</v>
      </c>
      <c r="BR30" s="184"/>
    </row>
    <row r="31" spans="2:81" ht="18" customHeight="1" thickBot="1" x14ac:dyDescent="0.25">
      <c r="B31" s="190" t="s">
        <v>222</v>
      </c>
      <c r="C31" s="135">
        <v>11</v>
      </c>
      <c r="D31" s="136" t="s">
        <v>40</v>
      </c>
      <c r="E31" s="137" t="s">
        <v>38</v>
      </c>
      <c r="F31" s="137"/>
      <c r="G31" s="137"/>
      <c r="H31" s="137"/>
      <c r="I31" s="141">
        <v>0.73</v>
      </c>
      <c r="J31" s="141">
        <v>0.67</v>
      </c>
      <c r="K31" s="141">
        <v>0.76</v>
      </c>
      <c r="L31" s="139">
        <f>+AVERAGE(I31:K31)</f>
        <v>0.72000000000000008</v>
      </c>
      <c r="M31" s="140">
        <f>+L31</f>
        <v>0.72000000000000008</v>
      </c>
      <c r="N31" s="139" t="s">
        <v>39</v>
      </c>
      <c r="O31" s="139" t="s">
        <v>39</v>
      </c>
      <c r="P31" s="139" t="s">
        <v>39</v>
      </c>
      <c r="Q31" s="139" t="s">
        <v>39</v>
      </c>
      <c r="R31" s="172">
        <v>0.81</v>
      </c>
      <c r="S31" s="139">
        <v>0</v>
      </c>
      <c r="T31" s="139">
        <v>0</v>
      </c>
      <c r="U31" s="139">
        <v>0</v>
      </c>
      <c r="V31" s="139">
        <v>0</v>
      </c>
      <c r="W31" s="172">
        <v>0.83</v>
      </c>
      <c r="X31" s="139">
        <v>0</v>
      </c>
      <c r="Y31" s="139">
        <v>0</v>
      </c>
      <c r="Z31" s="139">
        <v>0</v>
      </c>
      <c r="AA31" s="139">
        <v>0</v>
      </c>
      <c r="AB31" s="172">
        <v>0.7</v>
      </c>
      <c r="AC31" s="139">
        <v>0</v>
      </c>
      <c r="AD31" s="139">
        <v>0</v>
      </c>
      <c r="AE31" s="139">
        <v>0</v>
      </c>
      <c r="AF31" s="139">
        <v>0</v>
      </c>
      <c r="AG31" s="139">
        <v>0</v>
      </c>
      <c r="AH31" s="172">
        <v>0.69</v>
      </c>
      <c r="AI31" s="139">
        <v>0</v>
      </c>
      <c r="AJ31" s="139">
        <v>0</v>
      </c>
      <c r="AK31" s="139">
        <v>0</v>
      </c>
      <c r="AL31" s="139">
        <v>0</v>
      </c>
      <c r="AM31" s="172">
        <v>0.77</v>
      </c>
      <c r="AN31" s="139">
        <v>0</v>
      </c>
      <c r="AO31" s="139">
        <v>0</v>
      </c>
      <c r="AP31" s="139">
        <v>0</v>
      </c>
      <c r="AQ31" s="139">
        <v>0</v>
      </c>
      <c r="AR31" s="172">
        <v>0.92</v>
      </c>
      <c r="AS31" s="139">
        <v>0</v>
      </c>
      <c r="AT31" s="139">
        <v>0</v>
      </c>
      <c r="AU31" s="139">
        <v>0</v>
      </c>
      <c r="AV31" s="139">
        <v>0</v>
      </c>
      <c r="AW31" s="139">
        <v>0</v>
      </c>
      <c r="AX31" s="172">
        <v>0.65</v>
      </c>
      <c r="AY31" s="139">
        <v>0</v>
      </c>
      <c r="AZ31" s="139">
        <v>0</v>
      </c>
      <c r="BA31" s="139">
        <v>0</v>
      </c>
      <c r="BB31" s="139">
        <v>0</v>
      </c>
      <c r="BC31" s="172">
        <v>0.54</v>
      </c>
      <c r="BD31" s="139">
        <v>0</v>
      </c>
      <c r="BE31" s="139">
        <v>0</v>
      </c>
      <c r="BF31" s="139">
        <v>0</v>
      </c>
      <c r="BG31" s="139">
        <v>0</v>
      </c>
      <c r="BH31" s="172">
        <v>0.59</v>
      </c>
      <c r="BI31" s="139">
        <v>0</v>
      </c>
      <c r="BJ31" s="139">
        <v>0</v>
      </c>
      <c r="BK31" s="139">
        <v>0</v>
      </c>
      <c r="BL31" s="139">
        <v>0</v>
      </c>
      <c r="BM31" s="172">
        <v>0.68</v>
      </c>
      <c r="BN31" s="142">
        <f>+BM31</f>
        <v>0.68</v>
      </c>
      <c r="BO31" s="197">
        <f>+AVERAGE(R31,W31,AB31,AH31,AM31,AR31,AX31,BC31,BH31,BM31)</f>
        <v>0.71799999999999997</v>
      </c>
      <c r="BP31" s="142">
        <f>+BO31</f>
        <v>0.71799999999999997</v>
      </c>
    </row>
    <row r="33" spans="5:68" x14ac:dyDescent="0.2">
      <c r="AC33" s="48">
        <v>2</v>
      </c>
      <c r="AD33" s="48">
        <v>6</v>
      </c>
      <c r="AE33" s="48">
        <v>1</v>
      </c>
      <c r="AF33" s="48">
        <v>4</v>
      </c>
    </row>
    <row r="34" spans="5:68" x14ac:dyDescent="0.2">
      <c r="E34" s="53"/>
      <c r="F34" s="53"/>
      <c r="G34" s="53"/>
      <c r="H34" s="53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>
        <v>98</v>
      </c>
      <c r="AD34" s="61">
        <v>346</v>
      </c>
      <c r="AE34" s="61">
        <v>42</v>
      </c>
      <c r="AF34" s="61">
        <v>65</v>
      </c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>
        <f>+BO27-BO25</f>
        <v>1622</v>
      </c>
      <c r="BP34" s="61"/>
    </row>
    <row r="35" spans="5:68" x14ac:dyDescent="0.2">
      <c r="E35" s="53"/>
      <c r="F35" s="53"/>
      <c r="G35" s="53"/>
      <c r="H35" s="53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166"/>
      <c r="BO35" s="184">
        <f>+BO34/BO27</f>
        <v>0.21395594248779845</v>
      </c>
      <c r="BP35" s="61"/>
    </row>
    <row r="38" spans="5:68" x14ac:dyDescent="0.2">
      <c r="AO38" s="48">
        <f>6677-6537</f>
        <v>140</v>
      </c>
    </row>
  </sheetData>
  <mergeCells count="65">
    <mergeCell ref="D19:D20"/>
    <mergeCell ref="C19:C20"/>
    <mergeCell ref="B19:B20"/>
    <mergeCell ref="BN19:BN20"/>
    <mergeCell ref="BP19:BP20"/>
    <mergeCell ref="B28:B29"/>
    <mergeCell ref="B17:B18"/>
    <mergeCell ref="B21:B22"/>
    <mergeCell ref="B23:B24"/>
    <mergeCell ref="B26:B27"/>
    <mergeCell ref="B3:B4"/>
    <mergeCell ref="B5:B6"/>
    <mergeCell ref="B10:B12"/>
    <mergeCell ref="B13:B14"/>
    <mergeCell ref="B15:B16"/>
    <mergeCell ref="BP28:BP29"/>
    <mergeCell ref="BP17:BP18"/>
    <mergeCell ref="BP21:BP22"/>
    <mergeCell ref="BP23:BP24"/>
    <mergeCell ref="BP26:BP27"/>
    <mergeCell ref="BP3:BP4"/>
    <mergeCell ref="BP5:BP6"/>
    <mergeCell ref="BP10:BP12"/>
    <mergeCell ref="BP13:BP14"/>
    <mergeCell ref="BP15:BP16"/>
    <mergeCell ref="C3:C4"/>
    <mergeCell ref="D3:D4"/>
    <mergeCell ref="M3:M4"/>
    <mergeCell ref="BN3:BN4"/>
    <mergeCell ref="C5:C6"/>
    <mergeCell ref="D5:D6"/>
    <mergeCell ref="M5:M6"/>
    <mergeCell ref="BN5:BN6"/>
    <mergeCell ref="C10:C12"/>
    <mergeCell ref="D10:D12"/>
    <mergeCell ref="M10:M12"/>
    <mergeCell ref="BN10:BN12"/>
    <mergeCell ref="C13:C14"/>
    <mergeCell ref="D13:D14"/>
    <mergeCell ref="M13:M14"/>
    <mergeCell ref="BN13:BN14"/>
    <mergeCell ref="C15:C16"/>
    <mergeCell ref="D15:D16"/>
    <mergeCell ref="M15:M16"/>
    <mergeCell ref="BN15:BN16"/>
    <mergeCell ref="C17:C18"/>
    <mergeCell ref="D17:D18"/>
    <mergeCell ref="M17:M18"/>
    <mergeCell ref="BN17:BN18"/>
    <mergeCell ref="C21:C22"/>
    <mergeCell ref="D21:D22"/>
    <mergeCell ref="M21:M22"/>
    <mergeCell ref="BN21:BN22"/>
    <mergeCell ref="C23:C24"/>
    <mergeCell ref="D23:D24"/>
    <mergeCell ref="M23:M24"/>
    <mergeCell ref="BN23:BN24"/>
    <mergeCell ref="C28:C29"/>
    <mergeCell ref="D28:D29"/>
    <mergeCell ref="M28:M29"/>
    <mergeCell ref="BN28:BN29"/>
    <mergeCell ref="C26:C27"/>
    <mergeCell ref="D26:D27"/>
    <mergeCell ref="M26:M27"/>
    <mergeCell ref="BN26:BN27"/>
  </mergeCells>
  <phoneticPr fontId="20" type="noConversion"/>
  <pageMargins left="0.7" right="0.7" top="0.75" bottom="0.75" header="0.3" footer="0.3"/>
  <ignoredErrors>
    <ignoredError sqref="X23:X24" formula="1"/>
  </ignoredErrors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CCE6-AC8C-4240-97A0-4DE2A77B53A2}">
  <sheetPr codeName="Hoja6"/>
  <dimension ref="A1:Q53"/>
  <sheetViews>
    <sheetView topLeftCell="A4" zoomScale="80" zoomScaleNormal="80" workbookViewId="0">
      <selection activeCell="H55" sqref="H55"/>
    </sheetView>
  </sheetViews>
  <sheetFormatPr baseColWidth="10" defaultColWidth="11.5" defaultRowHeight="15" x14ac:dyDescent="0.2"/>
  <cols>
    <col min="13" max="13" width="12" bestFit="1" customWidth="1"/>
  </cols>
  <sheetData>
    <row r="1" spans="1:10" x14ac:dyDescent="0.2">
      <c r="B1" s="160">
        <v>45566</v>
      </c>
      <c r="C1" s="160">
        <v>45597</v>
      </c>
      <c r="D1" s="160">
        <v>45627</v>
      </c>
      <c r="E1" s="160">
        <v>45658</v>
      </c>
      <c r="F1" s="160">
        <v>45689</v>
      </c>
      <c r="G1" s="160">
        <v>45717</v>
      </c>
    </row>
    <row r="2" spans="1:10" x14ac:dyDescent="0.2">
      <c r="A2" t="s">
        <v>234</v>
      </c>
      <c r="B2" s="158">
        <v>527</v>
      </c>
      <c r="C2" s="158">
        <v>429</v>
      </c>
      <c r="D2">
        <v>832</v>
      </c>
      <c r="E2">
        <v>667</v>
      </c>
      <c r="F2">
        <v>928</v>
      </c>
      <c r="G2" s="161">
        <v>718</v>
      </c>
      <c r="H2" s="159">
        <f>+AVERAGE(B2:F2)</f>
        <v>676.6</v>
      </c>
      <c r="J2">
        <f>+H2*12</f>
        <v>8119.2000000000007</v>
      </c>
    </row>
    <row r="3" spans="1:10" x14ac:dyDescent="0.2">
      <c r="A3" t="s">
        <v>235</v>
      </c>
      <c r="B3">
        <v>864</v>
      </c>
      <c r="C3" s="158">
        <v>493</v>
      </c>
      <c r="D3" s="158">
        <v>521</v>
      </c>
      <c r="E3">
        <v>859</v>
      </c>
      <c r="F3">
        <v>394</v>
      </c>
      <c r="G3" s="161">
        <v>788</v>
      </c>
      <c r="H3" s="159">
        <f t="shared" ref="H3:H4" si="0">+AVERAGE(B3:F3)</f>
        <v>626.20000000000005</v>
      </c>
      <c r="J3">
        <f t="shared" ref="J3:J4" si="1">+H3*12</f>
        <v>7514.4000000000005</v>
      </c>
    </row>
    <row r="4" spans="1:10" x14ac:dyDescent="0.2">
      <c r="A4" t="s">
        <v>236</v>
      </c>
      <c r="B4">
        <v>1004</v>
      </c>
      <c r="C4">
        <v>616</v>
      </c>
      <c r="D4" s="158">
        <v>476</v>
      </c>
      <c r="E4" s="158">
        <v>706</v>
      </c>
      <c r="F4">
        <v>887</v>
      </c>
      <c r="G4" s="161">
        <v>403</v>
      </c>
      <c r="H4" s="159">
        <f t="shared" si="0"/>
        <v>737.8</v>
      </c>
      <c r="J4">
        <f t="shared" si="1"/>
        <v>8853.5999999999985</v>
      </c>
    </row>
    <row r="6" spans="1:10" x14ac:dyDescent="0.2">
      <c r="A6" t="s">
        <v>237</v>
      </c>
      <c r="D6">
        <v>2900</v>
      </c>
      <c r="E6">
        <v>2300</v>
      </c>
      <c r="F6">
        <v>3541</v>
      </c>
      <c r="G6">
        <f>+F6-G2</f>
        <v>2823</v>
      </c>
    </row>
    <row r="28" spans="2:12" x14ac:dyDescent="0.2">
      <c r="B28" s="314" t="s">
        <v>238</v>
      </c>
      <c r="C28" s="314" t="s">
        <v>239</v>
      </c>
      <c r="D28" s="314" t="s">
        <v>240</v>
      </c>
      <c r="E28" s="314" t="s">
        <v>241</v>
      </c>
      <c r="F28" s="314" t="s">
        <v>242</v>
      </c>
      <c r="G28" s="314" t="s">
        <v>38</v>
      </c>
      <c r="I28" s="314" t="s">
        <v>243</v>
      </c>
      <c r="J28" s="314" t="s">
        <v>16</v>
      </c>
    </row>
    <row r="29" spans="2:12" x14ac:dyDescent="0.2">
      <c r="B29" s="317" t="s">
        <v>244</v>
      </c>
      <c r="C29" s="339">
        <v>0.3</v>
      </c>
      <c r="D29" s="318">
        <v>6500</v>
      </c>
      <c r="E29" s="318">
        <f>+D29*1.3</f>
        <v>8450</v>
      </c>
      <c r="F29" s="323">
        <f>+C29*E29</f>
        <v>2535</v>
      </c>
      <c r="I29" s="311">
        <f>+ROUNDUP(C29*$F$47,0)</f>
        <v>8</v>
      </c>
      <c r="J29">
        <v>12</v>
      </c>
      <c r="L29">
        <v>7.5</v>
      </c>
    </row>
    <row r="30" spans="2:12" x14ac:dyDescent="0.2">
      <c r="B30" s="317" t="s">
        <v>245</v>
      </c>
      <c r="C30" s="339">
        <v>0.5</v>
      </c>
      <c r="D30" s="318">
        <v>4500</v>
      </c>
      <c r="E30" s="318">
        <f t="shared" ref="E30:E33" si="2">+D30*1.3</f>
        <v>5850</v>
      </c>
      <c r="F30" s="323">
        <f t="shared" ref="F30:F33" si="3">+C30*E30</f>
        <v>2925</v>
      </c>
      <c r="I30" s="311">
        <f t="shared" ref="I30:I33" si="4">+ROUNDUP(C30*$F$47,0)</f>
        <v>13</v>
      </c>
      <c r="L30">
        <v>12.5</v>
      </c>
    </row>
    <row r="31" spans="2:12" x14ac:dyDescent="0.2">
      <c r="B31" s="317" t="s">
        <v>246</v>
      </c>
      <c r="C31" s="339">
        <v>1.76</v>
      </c>
      <c r="D31" s="318">
        <v>2500</v>
      </c>
      <c r="E31" s="318">
        <f t="shared" si="2"/>
        <v>3250</v>
      </c>
      <c r="F31" s="323">
        <f t="shared" si="3"/>
        <v>5720</v>
      </c>
      <c r="I31" s="311">
        <f t="shared" si="4"/>
        <v>44</v>
      </c>
      <c r="L31">
        <v>44</v>
      </c>
    </row>
    <row r="32" spans="2:12" x14ac:dyDescent="0.2">
      <c r="B32" s="317" t="s">
        <v>247</v>
      </c>
      <c r="C32" s="339">
        <v>0.3</v>
      </c>
      <c r="D32" s="318">
        <v>4000</v>
      </c>
      <c r="E32" s="318">
        <f t="shared" si="2"/>
        <v>5200</v>
      </c>
      <c r="F32" s="323">
        <f t="shared" si="3"/>
        <v>1560</v>
      </c>
      <c r="I32" s="311">
        <f t="shared" si="4"/>
        <v>8</v>
      </c>
      <c r="L32">
        <v>7.5</v>
      </c>
    </row>
    <row r="33" spans="2:17" x14ac:dyDescent="0.2">
      <c r="B33" s="317" t="s">
        <v>248</v>
      </c>
      <c r="C33" s="339">
        <v>0.1</v>
      </c>
      <c r="D33" s="318">
        <v>7500</v>
      </c>
      <c r="E33" s="318">
        <f t="shared" si="2"/>
        <v>9750</v>
      </c>
      <c r="F33" s="323">
        <f t="shared" si="3"/>
        <v>975</v>
      </c>
      <c r="I33" s="311">
        <f t="shared" si="4"/>
        <v>3</v>
      </c>
      <c r="L33">
        <v>2.5</v>
      </c>
    </row>
    <row r="34" spans="2:17" x14ac:dyDescent="0.2">
      <c r="B34" s="589" t="s">
        <v>249</v>
      </c>
      <c r="C34" s="589"/>
      <c r="D34" s="589"/>
      <c r="E34" s="589"/>
      <c r="F34" s="313">
        <f>SUM(F29:F33)</f>
        <v>13715</v>
      </c>
      <c r="I34" s="319">
        <f>SUM(I29:I33)</f>
        <v>76</v>
      </c>
    </row>
    <row r="35" spans="2:17" x14ac:dyDescent="0.2">
      <c r="I35" s="322"/>
      <c r="N35" t="s">
        <v>250</v>
      </c>
      <c r="O35">
        <v>380000</v>
      </c>
      <c r="P35" s="310">
        <v>1</v>
      </c>
    </row>
    <row r="36" spans="2:17" x14ac:dyDescent="0.2">
      <c r="E36" s="589" t="s">
        <v>251</v>
      </c>
      <c r="F36" s="589"/>
      <c r="G36" s="589"/>
      <c r="I36" s="322"/>
    </row>
    <row r="37" spans="2:17" x14ac:dyDescent="0.2">
      <c r="E37" s="314" t="s">
        <v>238</v>
      </c>
      <c r="F37" s="314" t="s">
        <v>252</v>
      </c>
      <c r="G37" s="314" t="s">
        <v>38</v>
      </c>
      <c r="N37" t="s">
        <v>253</v>
      </c>
      <c r="O37">
        <v>70000</v>
      </c>
      <c r="P37" s="320">
        <f>+O37/O35</f>
        <v>0.18421052631578946</v>
      </c>
      <c r="Q37" s="312">
        <f>+Q39*P37/P39</f>
        <v>3096.9354838709678</v>
      </c>
    </row>
    <row r="38" spans="2:17" x14ac:dyDescent="0.2">
      <c r="E38" s="317" t="s">
        <v>254</v>
      </c>
      <c r="F38" s="318">
        <f>SUM(F34)</f>
        <v>13715</v>
      </c>
      <c r="G38" s="328">
        <v>0.82</v>
      </c>
      <c r="I38" s="313">
        <f t="shared" ref="I38:I39" si="5">+F38*$F$47</f>
        <v>342875</v>
      </c>
    </row>
    <row r="39" spans="2:17" x14ac:dyDescent="0.2">
      <c r="E39" s="317" t="s">
        <v>253</v>
      </c>
      <c r="F39" s="318">
        <f>+F38*P37/P39</f>
        <v>3096.9354838709678</v>
      </c>
      <c r="G39" s="328">
        <v>0.18</v>
      </c>
      <c r="I39" s="313">
        <f t="shared" si="5"/>
        <v>77423.387096774197</v>
      </c>
      <c r="N39" t="s">
        <v>255</v>
      </c>
      <c r="O39">
        <f>+O35-O37</f>
        <v>310000</v>
      </c>
      <c r="P39" s="310">
        <f>1-P37</f>
        <v>0.81578947368421051</v>
      </c>
      <c r="Q39" s="312">
        <f>+F38</f>
        <v>13715</v>
      </c>
    </row>
    <row r="40" spans="2:17" x14ac:dyDescent="0.2">
      <c r="B40" s="314"/>
      <c r="C40" s="314"/>
      <c r="D40" s="314"/>
      <c r="E40" s="314" t="s">
        <v>256</v>
      </c>
      <c r="F40" s="313">
        <f>SUM(F38:F39)</f>
        <v>16811.93548387097</v>
      </c>
      <c r="G40" s="321">
        <v>0.7</v>
      </c>
      <c r="H40" s="320"/>
      <c r="I40" s="313">
        <f>+F40*$F$47</f>
        <v>420298.38709677424</v>
      </c>
    </row>
    <row r="41" spans="2:17" x14ac:dyDescent="0.2">
      <c r="E41" s="329" t="s">
        <v>257</v>
      </c>
      <c r="F41" s="330">
        <f>+F40*G41/G40</f>
        <v>2401.7050691244244</v>
      </c>
      <c r="G41" s="328">
        <v>0.1</v>
      </c>
      <c r="I41" s="313">
        <f t="shared" ref="I41:I44" si="6">+F41*$F$47</f>
        <v>60042.626728110612</v>
      </c>
    </row>
    <row r="42" spans="2:17" x14ac:dyDescent="0.2">
      <c r="E42" s="329" t="s">
        <v>258</v>
      </c>
      <c r="F42" s="330">
        <f>+F40*G42/G40</f>
        <v>3122.2165898617518</v>
      </c>
      <c r="G42" s="328">
        <v>0.13</v>
      </c>
      <c r="I42" s="313">
        <f t="shared" si="6"/>
        <v>78055.4147465438</v>
      </c>
    </row>
    <row r="43" spans="2:17" x14ac:dyDescent="0.2">
      <c r="E43" s="329" t="s">
        <v>259</v>
      </c>
      <c r="F43" s="330">
        <f>+F40*G43/G40</f>
        <v>1200.8525345622122</v>
      </c>
      <c r="G43" s="328">
        <v>0.05</v>
      </c>
      <c r="I43" s="313">
        <f t="shared" si="6"/>
        <v>30021.313364055306</v>
      </c>
    </row>
    <row r="44" spans="2:17" x14ac:dyDescent="0.2">
      <c r="E44" s="329" t="s">
        <v>260</v>
      </c>
      <c r="F44" s="330">
        <f>+F40*G44/G40</f>
        <v>480.3410138248849</v>
      </c>
      <c r="G44" s="328">
        <v>0.02</v>
      </c>
      <c r="I44" s="313">
        <f t="shared" si="6"/>
        <v>12008.525345622122</v>
      </c>
    </row>
    <row r="45" spans="2:17" x14ac:dyDescent="0.2">
      <c r="E45" s="314" t="s">
        <v>261</v>
      </c>
      <c r="F45" s="313">
        <f>SUM(F40:F44)</f>
        <v>24017.050691244243</v>
      </c>
      <c r="G45" s="321">
        <f>SUM(G40:G44)</f>
        <v>1</v>
      </c>
    </row>
    <row r="47" spans="2:17" x14ac:dyDescent="0.2">
      <c r="E47" s="314" t="s">
        <v>262</v>
      </c>
      <c r="F47" s="327">
        <v>25</v>
      </c>
    </row>
    <row r="49" spans="5:12" x14ac:dyDescent="0.2">
      <c r="E49" s="325" t="s">
        <v>263</v>
      </c>
      <c r="F49" s="326">
        <f>+F45*F47</f>
        <v>600426.26728110609</v>
      </c>
      <c r="G49" s="326">
        <f>+F49*J29</f>
        <v>7205115.2073732726</v>
      </c>
      <c r="I49">
        <f>+SUM(F41:F44)*F47</f>
        <v>180127.88018433182</v>
      </c>
      <c r="L49" s="312">
        <f>+G40*$G$49</f>
        <v>5043580.6451612907</v>
      </c>
    </row>
    <row r="50" spans="5:12" x14ac:dyDescent="0.2">
      <c r="L50" s="312">
        <f t="shared" ref="L50:L53" si="7">+G41*$G$49</f>
        <v>720511.52073732729</v>
      </c>
    </row>
    <row r="51" spans="5:12" x14ac:dyDescent="0.2">
      <c r="E51" s="325" t="s">
        <v>232</v>
      </c>
      <c r="F51" s="326">
        <f>+I51*F47</f>
        <v>800000</v>
      </c>
      <c r="G51" s="326">
        <f>+F51*J29</f>
        <v>9600000</v>
      </c>
      <c r="I51">
        <f>9600000/(J29*F47)</f>
        <v>32000</v>
      </c>
      <c r="L51" s="312">
        <f t="shared" si="7"/>
        <v>936664.97695852548</v>
      </c>
    </row>
    <row r="52" spans="5:12" x14ac:dyDescent="0.2">
      <c r="L52" s="312">
        <f t="shared" si="7"/>
        <v>360255.76036866364</v>
      </c>
    </row>
    <row r="53" spans="5:12" x14ac:dyDescent="0.2">
      <c r="E53" s="315" t="s">
        <v>264</v>
      </c>
      <c r="F53" s="316">
        <f>+F51-F49</f>
        <v>199573.73271889391</v>
      </c>
      <c r="G53" s="324">
        <f>+F53/F51</f>
        <v>0.24946716589861739</v>
      </c>
      <c r="L53" s="312">
        <f t="shared" si="7"/>
        <v>144102.30414746545</v>
      </c>
    </row>
  </sheetData>
  <mergeCells count="2">
    <mergeCell ref="E36:G36"/>
    <mergeCell ref="B34:E3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5925A-2D63-4886-B7E3-27A68E97157E}">
  <dimension ref="A1:E14"/>
  <sheetViews>
    <sheetView zoomScale="80" zoomScaleNormal="80" workbookViewId="0">
      <selection activeCell="B17" sqref="B17"/>
    </sheetView>
  </sheetViews>
  <sheetFormatPr baseColWidth="10" defaultColWidth="10.83203125" defaultRowHeight="15" x14ac:dyDescent="0.2"/>
  <cols>
    <col min="1" max="1" width="3" style="345" customWidth="1"/>
    <col min="2" max="2" width="64.1640625" style="345" bestFit="1" customWidth="1"/>
    <col min="3" max="3" width="12.1640625" style="345" bestFit="1" customWidth="1"/>
    <col min="4" max="4" width="8.5" style="345" customWidth="1"/>
    <col min="5" max="5" width="9.1640625" style="345" bestFit="1" customWidth="1"/>
    <col min="6" max="16384" width="10.83203125" style="345"/>
  </cols>
  <sheetData>
    <row r="1" spans="1:5" s="343" customFormat="1" x14ac:dyDescent="0.2">
      <c r="A1" s="343" t="s">
        <v>0</v>
      </c>
      <c r="B1" s="343" t="s">
        <v>265</v>
      </c>
      <c r="C1" s="343" t="s">
        <v>266</v>
      </c>
      <c r="D1" s="343" t="s">
        <v>267</v>
      </c>
      <c r="E1" s="343" t="s">
        <v>268</v>
      </c>
    </row>
    <row r="2" spans="1:5" ht="16" x14ac:dyDescent="0.2">
      <c r="A2" s="345">
        <v>1</v>
      </c>
      <c r="B2" s="344" t="s">
        <v>269</v>
      </c>
      <c r="C2" s="345" t="s">
        <v>270</v>
      </c>
      <c r="D2" s="346">
        <v>46020</v>
      </c>
      <c r="E2" s="345" t="s">
        <v>271</v>
      </c>
    </row>
    <row r="3" spans="1:5" ht="16" x14ac:dyDescent="0.2">
      <c r="A3" s="345">
        <f>1+A2</f>
        <v>2</v>
      </c>
      <c r="B3" s="344" t="s">
        <v>272</v>
      </c>
      <c r="C3" s="345" t="s">
        <v>270</v>
      </c>
      <c r="D3" s="346">
        <v>46021</v>
      </c>
      <c r="E3" s="345" t="s">
        <v>273</v>
      </c>
    </row>
    <row r="4" spans="1:5" x14ac:dyDescent="0.2">
      <c r="A4" s="345">
        <f t="shared" ref="A4:A7" si="0">1+A3</f>
        <v>3</v>
      </c>
      <c r="B4" s="345" t="s">
        <v>274</v>
      </c>
      <c r="C4" s="345" t="s">
        <v>270</v>
      </c>
      <c r="D4" s="346">
        <v>46013</v>
      </c>
      <c r="E4" s="345" t="s">
        <v>275</v>
      </c>
    </row>
    <row r="5" spans="1:5" x14ac:dyDescent="0.2">
      <c r="A5" s="345">
        <f t="shared" si="0"/>
        <v>4</v>
      </c>
      <c r="B5" s="345" t="s">
        <v>276</v>
      </c>
      <c r="C5" s="345" t="s">
        <v>277</v>
      </c>
      <c r="D5" s="346">
        <v>46020</v>
      </c>
      <c r="E5" s="345" t="s">
        <v>275</v>
      </c>
    </row>
    <row r="6" spans="1:5" x14ac:dyDescent="0.2">
      <c r="A6" s="345">
        <f t="shared" si="0"/>
        <v>5</v>
      </c>
      <c r="B6" s="345" t="s">
        <v>278</v>
      </c>
      <c r="C6" s="345" t="s">
        <v>277</v>
      </c>
      <c r="D6" s="346">
        <v>46020</v>
      </c>
      <c r="E6" s="345" t="s">
        <v>271</v>
      </c>
    </row>
    <row r="7" spans="1:5" x14ac:dyDescent="0.2">
      <c r="A7" s="345">
        <f t="shared" si="0"/>
        <v>6</v>
      </c>
      <c r="B7" s="345" t="s">
        <v>279</v>
      </c>
      <c r="C7" s="345" t="s">
        <v>277</v>
      </c>
      <c r="D7" s="346">
        <v>46020</v>
      </c>
      <c r="E7" s="345" t="s">
        <v>275</v>
      </c>
    </row>
    <row r="8" spans="1:5" x14ac:dyDescent="0.2">
      <c r="D8" s="346"/>
    </row>
    <row r="9" spans="1:5" x14ac:dyDescent="0.2">
      <c r="D9" s="346"/>
    </row>
    <row r="10" spans="1:5" x14ac:dyDescent="0.2">
      <c r="D10" s="346"/>
    </row>
    <row r="11" spans="1:5" x14ac:dyDescent="0.2">
      <c r="B11" s="344"/>
      <c r="D11" s="346"/>
    </row>
    <row r="12" spans="1:5" x14ac:dyDescent="0.2">
      <c r="D12" s="346"/>
    </row>
    <row r="13" spans="1:5" x14ac:dyDescent="0.2">
      <c r="D13" s="346"/>
    </row>
    <row r="14" spans="1:5" x14ac:dyDescent="0.2">
      <c r="D14" s="346"/>
    </row>
  </sheetData>
  <sortState xmlns:xlrd2="http://schemas.microsoft.com/office/spreadsheetml/2017/richdata2" ref="A2:E3">
    <sortCondition ref="E2:E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8EA5-F1A8-45D5-95E8-BF6CEF257FE2}">
  <sheetPr codeName="Hoja5"/>
  <dimension ref="B1:CN36"/>
  <sheetViews>
    <sheetView showGridLines="0" topLeftCell="D1" zoomScale="87" zoomScaleNormal="80" workbookViewId="0">
      <selection activeCell="CB3" sqref="CB3:CB4"/>
    </sheetView>
  </sheetViews>
  <sheetFormatPr baseColWidth="10" defaultColWidth="11.5" defaultRowHeight="12" outlineLevelRow="1" outlineLevelCol="1" x14ac:dyDescent="0.2"/>
  <cols>
    <col min="1" max="1" width="11.5" style="230"/>
    <col min="2" max="2" width="6.83203125" style="230" bestFit="1" customWidth="1"/>
    <col min="3" max="3" width="5.1640625" style="230" customWidth="1"/>
    <col min="4" max="4" width="22.5" style="230" bestFit="1" customWidth="1"/>
    <col min="5" max="5" width="8.1640625" style="230" bestFit="1" customWidth="1"/>
    <col min="6" max="6" width="5.5" style="230" hidden="1" customWidth="1" outlineLevel="1"/>
    <col min="7" max="7" width="6.5" style="230" hidden="1" customWidth="1" outlineLevel="1"/>
    <col min="8" max="8" width="7.1640625" style="230" hidden="1" customWidth="1" outlineLevel="1"/>
    <col min="9" max="9" width="6.1640625" style="230" hidden="1" customWidth="1" outlineLevel="1"/>
    <col min="10" max="10" width="6.5" style="230" hidden="1" customWidth="1" outlineLevel="1"/>
    <col min="11" max="11" width="6" style="230" hidden="1" customWidth="1" outlineLevel="1"/>
    <col min="12" max="12" width="5.83203125" style="230" hidden="1" customWidth="1" outlineLevel="1"/>
    <col min="13" max="13" width="12.5" style="230" hidden="1" customWidth="1" collapsed="1"/>
    <col min="14" max="17" width="8.83203125" style="230" hidden="1" customWidth="1" outlineLevel="1"/>
    <col min="18" max="18" width="10.83203125" style="230" customWidth="1" collapsed="1"/>
    <col min="19" max="19" width="10.83203125" style="230" hidden="1" customWidth="1" outlineLevel="1"/>
    <col min="20" max="22" width="9.1640625" style="230" hidden="1" customWidth="1" outlineLevel="1"/>
    <col min="23" max="23" width="10.83203125" style="230" customWidth="1" collapsed="1"/>
    <col min="24" max="24" width="10.83203125" style="230" hidden="1" customWidth="1" outlineLevel="1"/>
    <col min="25" max="27" width="9" style="230" hidden="1" customWidth="1" outlineLevel="1"/>
    <col min="28" max="28" width="10.83203125" style="230" customWidth="1" collapsed="1"/>
    <col min="29" max="29" width="10.83203125" style="230" hidden="1" customWidth="1" outlineLevel="1"/>
    <col min="30" max="33" width="11.1640625" style="230" hidden="1" customWidth="1" outlineLevel="1"/>
    <col min="34" max="34" width="10.83203125" style="230" customWidth="1" collapsed="1"/>
    <col min="35" max="38" width="10.83203125" style="230" hidden="1" customWidth="1" outlineLevel="1"/>
    <col min="39" max="39" width="10.83203125" style="230" customWidth="1" collapsed="1"/>
    <col min="40" max="43" width="10.83203125" style="230" hidden="1" customWidth="1" outlineLevel="1"/>
    <col min="44" max="44" width="10.83203125" style="230" customWidth="1" collapsed="1"/>
    <col min="45" max="49" width="10.83203125" style="230" hidden="1" customWidth="1" outlineLevel="1"/>
    <col min="50" max="50" width="10.83203125" style="230" customWidth="1" collapsed="1"/>
    <col min="51" max="54" width="10.83203125" style="230" hidden="1" customWidth="1" outlineLevel="1"/>
    <col min="55" max="55" width="10.83203125" style="230" customWidth="1" collapsed="1"/>
    <col min="56" max="59" width="10.83203125" style="230" hidden="1" customWidth="1" outlineLevel="1"/>
    <col min="60" max="60" width="10.83203125" style="230" customWidth="1" collapsed="1"/>
    <col min="61" max="65" width="10.83203125" style="230" hidden="1" customWidth="1" outlineLevel="1"/>
    <col min="66" max="66" width="10.83203125" style="230" customWidth="1" collapsed="1"/>
    <col min="67" max="67" width="10.83203125" style="230" hidden="1" customWidth="1" outlineLevel="1"/>
    <col min="68" max="70" width="11.1640625" style="230" hidden="1" customWidth="1" outlineLevel="1"/>
    <col min="71" max="71" width="10.83203125" style="230" customWidth="1" collapsed="1"/>
    <col min="72" max="76" width="10.83203125" style="230" hidden="1" customWidth="1" outlineLevel="1"/>
    <col min="77" max="77" width="10.83203125" style="230" customWidth="1" collapsed="1"/>
    <col min="78" max="78" width="10.1640625" style="230" customWidth="1"/>
    <col min="79" max="79" width="10.1640625" style="230" bestFit="1" customWidth="1"/>
    <col min="80" max="80" width="10.83203125" style="230" customWidth="1"/>
    <col min="81" max="81" width="12" style="230" bestFit="1" customWidth="1"/>
    <col min="82" max="82" width="13.83203125" style="230" bestFit="1" customWidth="1"/>
    <col min="83" max="84" width="11.5" style="230"/>
    <col min="85" max="85" width="17.83203125" style="230" bestFit="1" customWidth="1"/>
    <col min="86" max="16384" width="11.5" style="230"/>
  </cols>
  <sheetData>
    <row r="1" spans="2:92" ht="13" thickBot="1" x14ac:dyDescent="0.25"/>
    <row r="2" spans="2:92" ht="29.75" customHeight="1" thickBot="1" x14ac:dyDescent="0.25">
      <c r="B2" s="248" t="s">
        <v>178</v>
      </c>
      <c r="C2" s="257" t="s">
        <v>0</v>
      </c>
      <c r="D2" s="258" t="s">
        <v>1</v>
      </c>
      <c r="E2" s="258" t="s">
        <v>2</v>
      </c>
      <c r="F2" s="259">
        <v>45474</v>
      </c>
      <c r="G2" s="259">
        <v>45505</v>
      </c>
      <c r="H2" s="259">
        <v>45536</v>
      </c>
      <c r="I2" s="259">
        <v>45566</v>
      </c>
      <c r="J2" s="259">
        <v>45597</v>
      </c>
      <c r="K2" s="259">
        <v>45627</v>
      </c>
      <c r="L2" s="258" t="s">
        <v>3</v>
      </c>
      <c r="M2" s="258" t="s">
        <v>4</v>
      </c>
      <c r="N2" s="259" t="s">
        <v>5</v>
      </c>
      <c r="O2" s="259" t="s">
        <v>6</v>
      </c>
      <c r="P2" s="259" t="s">
        <v>7</v>
      </c>
      <c r="Q2" s="259" t="s">
        <v>8</v>
      </c>
      <c r="R2" s="259">
        <v>45658</v>
      </c>
      <c r="S2" s="258" t="s">
        <v>9</v>
      </c>
      <c r="T2" s="258" t="s">
        <v>179</v>
      </c>
      <c r="U2" s="258" t="s">
        <v>180</v>
      </c>
      <c r="V2" s="258" t="s">
        <v>181</v>
      </c>
      <c r="W2" s="259">
        <v>45689</v>
      </c>
      <c r="X2" s="258" t="s">
        <v>182</v>
      </c>
      <c r="Y2" s="258" t="s">
        <v>183</v>
      </c>
      <c r="Z2" s="258" t="s">
        <v>184</v>
      </c>
      <c r="AA2" s="258" t="s">
        <v>185</v>
      </c>
      <c r="AB2" s="259">
        <v>45717</v>
      </c>
      <c r="AC2" s="258" t="s">
        <v>186</v>
      </c>
      <c r="AD2" s="258" t="s">
        <v>187</v>
      </c>
      <c r="AE2" s="258" t="s">
        <v>188</v>
      </c>
      <c r="AF2" s="258" t="s">
        <v>189</v>
      </c>
      <c r="AG2" s="258" t="s">
        <v>190</v>
      </c>
      <c r="AH2" s="259">
        <v>45748</v>
      </c>
      <c r="AI2" s="258" t="s">
        <v>191</v>
      </c>
      <c r="AJ2" s="258" t="s">
        <v>192</v>
      </c>
      <c r="AK2" s="258" t="s">
        <v>193</v>
      </c>
      <c r="AL2" s="258" t="s">
        <v>194</v>
      </c>
      <c r="AM2" s="259">
        <v>45778</v>
      </c>
      <c r="AN2" s="258" t="s">
        <v>195</v>
      </c>
      <c r="AO2" s="258" t="s">
        <v>196</v>
      </c>
      <c r="AP2" s="258" t="s">
        <v>197</v>
      </c>
      <c r="AQ2" s="258" t="s">
        <v>198</v>
      </c>
      <c r="AR2" s="259">
        <v>45809</v>
      </c>
      <c r="AS2" s="258" t="s">
        <v>199</v>
      </c>
      <c r="AT2" s="258" t="s">
        <v>200</v>
      </c>
      <c r="AU2" s="258" t="s">
        <v>201</v>
      </c>
      <c r="AV2" s="258" t="s">
        <v>202</v>
      </c>
      <c r="AW2" s="258" t="s">
        <v>203</v>
      </c>
      <c r="AX2" s="259">
        <v>45839</v>
      </c>
      <c r="AY2" s="259" t="s">
        <v>204</v>
      </c>
      <c r="AZ2" s="259" t="s">
        <v>205</v>
      </c>
      <c r="BA2" s="259" t="s">
        <v>206</v>
      </c>
      <c r="BB2" s="259" t="s">
        <v>207</v>
      </c>
      <c r="BC2" s="259">
        <v>45870</v>
      </c>
      <c r="BD2" s="259" t="s">
        <v>208</v>
      </c>
      <c r="BE2" s="259" t="s">
        <v>209</v>
      </c>
      <c r="BF2" s="259" t="s">
        <v>210</v>
      </c>
      <c r="BG2" s="259" t="s">
        <v>211</v>
      </c>
      <c r="BH2" s="259">
        <v>45901</v>
      </c>
      <c r="BI2" s="259" t="s">
        <v>212</v>
      </c>
      <c r="BJ2" s="259" t="s">
        <v>213</v>
      </c>
      <c r="BK2" s="259" t="s">
        <v>214</v>
      </c>
      <c r="BL2" s="259" t="s">
        <v>215</v>
      </c>
      <c r="BM2" s="259" t="s">
        <v>280</v>
      </c>
      <c r="BN2" s="259">
        <v>45931</v>
      </c>
      <c r="BO2" s="259" t="s">
        <v>5</v>
      </c>
      <c r="BP2" s="259" t="s">
        <v>6</v>
      </c>
      <c r="BQ2" s="259" t="s">
        <v>7</v>
      </c>
      <c r="BR2" s="259" t="s">
        <v>8</v>
      </c>
      <c r="BS2" s="259">
        <v>45962</v>
      </c>
      <c r="BT2" s="259" t="s">
        <v>5</v>
      </c>
      <c r="BU2" s="259" t="s">
        <v>6</v>
      </c>
      <c r="BV2" s="259" t="s">
        <v>7</v>
      </c>
      <c r="BW2" s="259" t="s">
        <v>8</v>
      </c>
      <c r="BX2" s="259" t="s">
        <v>281</v>
      </c>
      <c r="BY2" s="259">
        <v>45992</v>
      </c>
      <c r="BZ2" s="258" t="s">
        <v>282</v>
      </c>
      <c r="CA2" s="259" t="s">
        <v>217</v>
      </c>
      <c r="CB2" s="260" t="s">
        <v>218</v>
      </c>
      <c r="CC2" s="230">
        <f>+CA4/CA3</f>
        <v>266.19512195121951</v>
      </c>
      <c r="CD2" s="241"/>
      <c r="CG2" s="241" t="s">
        <v>238</v>
      </c>
      <c r="CH2" s="241" t="s">
        <v>13</v>
      </c>
      <c r="CI2" s="241" t="s">
        <v>283</v>
      </c>
    </row>
    <row r="3" spans="2:92" ht="18.5" customHeight="1" x14ac:dyDescent="0.2">
      <c r="B3" s="592" t="s">
        <v>219</v>
      </c>
      <c r="C3" s="593">
        <v>1</v>
      </c>
      <c r="D3" s="595" t="s">
        <v>220</v>
      </c>
      <c r="E3" s="261" t="s">
        <v>0</v>
      </c>
      <c r="F3" s="261">
        <f>8+8</f>
        <v>16</v>
      </c>
      <c r="G3" s="261"/>
      <c r="H3" s="261">
        <v>6</v>
      </c>
      <c r="I3" s="262">
        <f>8+I5</f>
        <v>12</v>
      </c>
      <c r="J3" s="262">
        <f>9+J5</f>
        <v>15</v>
      </c>
      <c r="K3" s="262">
        <f>7+K5</f>
        <v>15</v>
      </c>
      <c r="L3" s="262">
        <f>+SUM(I3:K3)</f>
        <v>42</v>
      </c>
      <c r="M3" s="597">
        <f>+L4/L3</f>
        <v>236.3095238095238</v>
      </c>
      <c r="N3" s="262">
        <v>1</v>
      </c>
      <c r="O3" s="262">
        <v>3</v>
      </c>
      <c r="P3" s="262">
        <v>3</v>
      </c>
      <c r="Q3" s="262">
        <v>1</v>
      </c>
      <c r="R3" s="332">
        <f>+N3+O3+P3+Q3</f>
        <v>8</v>
      </c>
      <c r="S3" s="262">
        <v>3</v>
      </c>
      <c r="T3" s="262">
        <v>2</v>
      </c>
      <c r="U3" s="262">
        <v>2</v>
      </c>
      <c r="V3" s="262">
        <v>3</v>
      </c>
      <c r="W3" s="332">
        <f>+S3+T3+U3+V3</f>
        <v>10</v>
      </c>
      <c r="X3" s="262">
        <v>5</v>
      </c>
      <c r="Y3" s="262">
        <v>2</v>
      </c>
      <c r="Z3" s="262">
        <v>3</v>
      </c>
      <c r="AA3" s="262">
        <v>1</v>
      </c>
      <c r="AB3" s="332">
        <f>+X3+Y3+Z3+AA3</f>
        <v>11</v>
      </c>
      <c r="AC3" s="262">
        <v>0</v>
      </c>
      <c r="AD3" s="262">
        <v>9</v>
      </c>
      <c r="AE3" s="264">
        <v>2</v>
      </c>
      <c r="AF3" s="262">
        <v>5</v>
      </c>
      <c r="AG3" s="262">
        <v>2</v>
      </c>
      <c r="AH3" s="332">
        <f>+AC3+AD3+AE3+AF3+AG3</f>
        <v>18</v>
      </c>
      <c r="AI3" s="262">
        <v>2</v>
      </c>
      <c r="AJ3" s="262">
        <v>2</v>
      </c>
      <c r="AK3" s="262">
        <v>3</v>
      </c>
      <c r="AL3" s="262">
        <v>1</v>
      </c>
      <c r="AM3" s="332">
        <f t="shared" ref="AM3:AM11" si="0">+AI3+AJ3+AK3+AL3</f>
        <v>8</v>
      </c>
      <c r="AN3" s="262">
        <v>3</v>
      </c>
      <c r="AO3" s="264">
        <v>9</v>
      </c>
      <c r="AP3" s="262">
        <v>3</v>
      </c>
      <c r="AQ3" s="262">
        <v>6</v>
      </c>
      <c r="AR3" s="332">
        <f>+AN3+AO3+AP3+AQ3</f>
        <v>21</v>
      </c>
      <c r="AS3" s="262">
        <v>4</v>
      </c>
      <c r="AT3" s="262">
        <v>4</v>
      </c>
      <c r="AU3" s="262">
        <v>6</v>
      </c>
      <c r="AV3" s="262">
        <v>3</v>
      </c>
      <c r="AW3" s="262">
        <v>3</v>
      </c>
      <c r="AX3" s="332">
        <f>+AS3+AT3+AU3+AV3+AW3</f>
        <v>20</v>
      </c>
      <c r="AY3" s="262">
        <v>4</v>
      </c>
      <c r="AZ3" s="262">
        <v>2</v>
      </c>
      <c r="BA3" s="262">
        <v>5</v>
      </c>
      <c r="BB3" s="264">
        <v>1</v>
      </c>
      <c r="BC3" s="332">
        <f>+AY3+AZ3+BA3+BB3</f>
        <v>12</v>
      </c>
      <c r="BD3" s="264">
        <v>2</v>
      </c>
      <c r="BE3" s="264">
        <v>5</v>
      </c>
      <c r="BF3" s="264">
        <v>2</v>
      </c>
      <c r="BG3" s="264">
        <v>1</v>
      </c>
      <c r="BH3" s="332">
        <f>+BD3+BE3+BF3+BG3</f>
        <v>10</v>
      </c>
      <c r="BI3" s="264">
        <v>0</v>
      </c>
      <c r="BJ3" s="264">
        <v>4</v>
      </c>
      <c r="BK3" s="264">
        <v>2</v>
      </c>
      <c r="BL3" s="264">
        <v>2</v>
      </c>
      <c r="BM3" s="264">
        <v>1</v>
      </c>
      <c r="BN3" s="332">
        <f>+BI3+BJ3+BK3+BL3+BM3</f>
        <v>9</v>
      </c>
      <c r="BO3" s="262">
        <v>3</v>
      </c>
      <c r="BP3" s="262">
        <v>2</v>
      </c>
      <c r="BQ3" s="262">
        <v>6</v>
      </c>
      <c r="BR3" s="262">
        <v>8</v>
      </c>
      <c r="BS3" s="332">
        <f t="shared" ref="BS3:BS14" si="1">+BO3+BP3+BQ3+BR3</f>
        <v>19</v>
      </c>
      <c r="BT3" s="262">
        <v>6</v>
      </c>
      <c r="BU3" s="262">
        <v>6</v>
      </c>
      <c r="BV3" s="262">
        <v>5</v>
      </c>
      <c r="BW3" s="262">
        <v>0</v>
      </c>
      <c r="BX3" s="262">
        <v>1</v>
      </c>
      <c r="BY3" s="301">
        <f>+BT3+BU3+BV3+BW3+BX3</f>
        <v>18</v>
      </c>
      <c r="BZ3" s="597">
        <f>+IFERROR(BY4/BY3,0)</f>
        <v>203.5</v>
      </c>
      <c r="CA3" s="288">
        <f>+R3+W3+AB3+AH3+AM3+AR3+AX3+BC3+BH3+BN3+BS3+BY3</f>
        <v>164</v>
      </c>
      <c r="CB3" s="590">
        <f>+CA4/CA3</f>
        <v>266.19512195121951</v>
      </c>
      <c r="CC3" s="231"/>
      <c r="CD3" s="230">
        <v>9</v>
      </c>
      <c r="CG3" s="230" t="s">
        <v>284</v>
      </c>
      <c r="CH3" s="231">
        <f>+CA14</f>
        <v>9025</v>
      </c>
    </row>
    <row r="4" spans="2:92" ht="18.5" customHeight="1" thickBot="1" x14ac:dyDescent="0.25">
      <c r="B4" s="592"/>
      <c r="C4" s="594"/>
      <c r="D4" s="596"/>
      <c r="E4" s="252" t="s">
        <v>13</v>
      </c>
      <c r="F4" s="252">
        <f>1062+F6</f>
        <v>1735</v>
      </c>
      <c r="G4" s="252"/>
      <c r="H4" s="252">
        <f>453+300</f>
        <v>753</v>
      </c>
      <c r="I4" s="253">
        <f>1600+I6</f>
        <v>1999</v>
      </c>
      <c r="J4" s="253">
        <f>2455+J6</f>
        <v>3967</v>
      </c>
      <c r="K4" s="253">
        <f>2600+K6</f>
        <v>3959</v>
      </c>
      <c r="L4" s="253">
        <f t="shared" ref="L4:L23" si="2">+SUM(I4:K4)</f>
        <v>9925</v>
      </c>
      <c r="M4" s="598"/>
      <c r="N4" s="253">
        <v>200</v>
      </c>
      <c r="O4" s="253">
        <v>1400</v>
      </c>
      <c r="P4" s="253">
        <v>470</v>
      </c>
      <c r="Q4" s="253">
        <v>142</v>
      </c>
      <c r="R4" s="333">
        <f>+N4+O4+P4+Q4</f>
        <v>2212</v>
      </c>
      <c r="S4" s="253">
        <v>971</v>
      </c>
      <c r="T4" s="253">
        <v>100</v>
      </c>
      <c r="U4" s="253">
        <f>950+150</f>
        <v>1100</v>
      </c>
      <c r="V4" s="253">
        <v>400</v>
      </c>
      <c r="W4" s="333">
        <f>+S4+T4+U4+V4</f>
        <v>2571</v>
      </c>
      <c r="X4" s="253">
        <v>570</v>
      </c>
      <c r="Y4" s="253">
        <v>200</v>
      </c>
      <c r="Z4" s="253">
        <v>1500</v>
      </c>
      <c r="AA4" s="253">
        <v>3860</v>
      </c>
      <c r="AB4" s="333">
        <f>+X4+Y4+Z4+AA4</f>
        <v>6130</v>
      </c>
      <c r="AC4" s="253">
        <v>0</v>
      </c>
      <c r="AD4" s="253">
        <v>1288</v>
      </c>
      <c r="AE4" s="265">
        <v>500</v>
      </c>
      <c r="AF4" s="253">
        <v>2225</v>
      </c>
      <c r="AG4" s="253">
        <f>165+200</f>
        <v>365</v>
      </c>
      <c r="AH4" s="333">
        <f>+AC4+AD4+AE4+AF4+AG4</f>
        <v>4378</v>
      </c>
      <c r="AI4" s="253">
        <v>537</v>
      </c>
      <c r="AJ4" s="253">
        <f>180+190</f>
        <v>370</v>
      </c>
      <c r="AK4" s="253">
        <f>1500+150+21</f>
        <v>1671</v>
      </c>
      <c r="AL4" s="253">
        <v>448</v>
      </c>
      <c r="AM4" s="333">
        <f t="shared" si="0"/>
        <v>3026</v>
      </c>
      <c r="AN4" s="253">
        <v>625</v>
      </c>
      <c r="AO4" s="266">
        <v>6230</v>
      </c>
      <c r="AP4" s="253">
        <v>440</v>
      </c>
      <c r="AQ4" s="253">
        <v>770</v>
      </c>
      <c r="AR4" s="333">
        <f>+AN4+AO4+AP4+AQ4</f>
        <v>8065</v>
      </c>
      <c r="AS4" s="253">
        <v>345</v>
      </c>
      <c r="AT4" s="253">
        <v>530</v>
      </c>
      <c r="AU4" s="253">
        <v>800</v>
      </c>
      <c r="AV4" s="253">
        <v>360</v>
      </c>
      <c r="AW4" s="253">
        <v>262</v>
      </c>
      <c r="AX4" s="333">
        <f>+AS4+AT4+AU4+AV4+AW4</f>
        <v>2297</v>
      </c>
      <c r="AY4" s="253">
        <v>638</v>
      </c>
      <c r="AZ4" s="253">
        <v>124</v>
      </c>
      <c r="BA4" s="253">
        <v>975</v>
      </c>
      <c r="BB4" s="265">
        <v>52</v>
      </c>
      <c r="BC4" s="333">
        <f t="shared" ref="BC4:BC12" si="3">+AY4+AZ4+BA4+BB4</f>
        <v>1789</v>
      </c>
      <c r="BD4" s="265">
        <f>380+84</f>
        <v>464</v>
      </c>
      <c r="BE4" s="265">
        <v>637</v>
      </c>
      <c r="BF4" s="265">
        <f>590-226</f>
        <v>364</v>
      </c>
      <c r="BG4" s="265">
        <v>100</v>
      </c>
      <c r="BH4" s="333">
        <f>+BD4+BE4+BF4+BG4</f>
        <v>1565</v>
      </c>
      <c r="BI4" s="265">
        <v>0</v>
      </c>
      <c r="BJ4" s="265">
        <v>665</v>
      </c>
      <c r="BK4" s="265">
        <v>2365</v>
      </c>
      <c r="BL4" s="265">
        <f>125+175</f>
        <v>300</v>
      </c>
      <c r="BM4" s="265">
        <v>185</v>
      </c>
      <c r="BN4" s="333">
        <f t="shared" ref="BN4:BN11" si="4">+BI4+BJ4+BK4+BL4+BM4</f>
        <v>3515</v>
      </c>
      <c r="BO4" s="253">
        <v>1295</v>
      </c>
      <c r="BP4" s="253">
        <f>180+48</f>
        <v>228</v>
      </c>
      <c r="BQ4" s="253">
        <v>1077</v>
      </c>
      <c r="BR4" s="253">
        <v>1845</v>
      </c>
      <c r="BS4" s="333">
        <f t="shared" si="1"/>
        <v>4445</v>
      </c>
      <c r="BT4" s="253">
        <v>1410</v>
      </c>
      <c r="BU4" s="253">
        <v>1065</v>
      </c>
      <c r="BV4" s="253">
        <v>688</v>
      </c>
      <c r="BW4" s="253">
        <v>0</v>
      </c>
      <c r="BX4" s="253">
        <v>500</v>
      </c>
      <c r="BY4" s="302">
        <f t="shared" ref="BY4:BY14" si="5">+BT4+BU4+BV4+BW4+BX4</f>
        <v>3663</v>
      </c>
      <c r="BZ4" s="598"/>
      <c r="CA4" s="289">
        <f t="shared" ref="CA4:CA14" si="6">+R4+W4+AB4+AH4+AM4+AR4+AX4+BC4+BH4+BN4+BS4+BY4</f>
        <v>43656</v>
      </c>
      <c r="CB4" s="591"/>
      <c r="CC4" s="231">
        <f>+AVERAGE(R4,W4,AB4,AH4,AM4,AR4,AX4,BC4,BH4,BN4,BS4)</f>
        <v>3635.7272727272725</v>
      </c>
      <c r="CD4" s="230">
        <v>1465</v>
      </c>
      <c r="CE4" s="231">
        <f>+CD4-BH4</f>
        <v>-100</v>
      </c>
      <c r="CG4" s="230" t="s">
        <v>28</v>
      </c>
      <c r="CH4" s="231">
        <f>+CA25</f>
        <v>1462</v>
      </c>
      <c r="CI4" s="231">
        <f>+BY27</f>
        <v>822</v>
      </c>
    </row>
    <row r="5" spans="2:92" ht="18.5" customHeight="1" x14ac:dyDescent="0.2">
      <c r="B5" s="592" t="s">
        <v>219</v>
      </c>
      <c r="C5" s="593">
        <v>2</v>
      </c>
      <c r="D5" s="595" t="s">
        <v>221</v>
      </c>
      <c r="E5" s="261" t="s">
        <v>0</v>
      </c>
      <c r="F5" s="261">
        <v>8</v>
      </c>
      <c r="G5" s="261">
        <v>6</v>
      </c>
      <c r="H5" s="261">
        <v>3</v>
      </c>
      <c r="I5" s="262">
        <v>4</v>
      </c>
      <c r="J5" s="262">
        <v>6</v>
      </c>
      <c r="K5" s="262">
        <v>8</v>
      </c>
      <c r="L5" s="262">
        <f>+SUM(I5:K5)</f>
        <v>18</v>
      </c>
      <c r="M5" s="597">
        <f>+L6/L5</f>
        <v>181.66666666666666</v>
      </c>
      <c r="N5" s="267">
        <v>4</v>
      </c>
      <c r="O5" s="267">
        <v>2</v>
      </c>
      <c r="P5" s="267">
        <v>2</v>
      </c>
      <c r="Q5" s="267">
        <v>0</v>
      </c>
      <c r="R5" s="332">
        <f>+N5+O5+P5+Q5</f>
        <v>8</v>
      </c>
      <c r="S5" s="267">
        <v>2</v>
      </c>
      <c r="T5" s="267">
        <v>3</v>
      </c>
      <c r="U5" s="267"/>
      <c r="V5" s="267">
        <v>1</v>
      </c>
      <c r="W5" s="332">
        <f>+S5+T5+U5+V5</f>
        <v>6</v>
      </c>
      <c r="X5" s="267">
        <v>1</v>
      </c>
      <c r="Y5" s="267">
        <v>1</v>
      </c>
      <c r="Z5" s="267">
        <v>4</v>
      </c>
      <c r="AA5" s="267">
        <v>2</v>
      </c>
      <c r="AB5" s="332">
        <f>+X5+Y5+Z5+AA5</f>
        <v>8</v>
      </c>
      <c r="AC5" s="267">
        <v>0</v>
      </c>
      <c r="AD5" s="267">
        <v>2</v>
      </c>
      <c r="AE5" s="264">
        <v>1</v>
      </c>
      <c r="AF5" s="262">
        <v>1</v>
      </c>
      <c r="AG5" s="262">
        <v>3</v>
      </c>
      <c r="AH5" s="332">
        <f>+AC5+AD5+AE5+AF5+AG5</f>
        <v>7</v>
      </c>
      <c r="AI5" s="262">
        <v>1</v>
      </c>
      <c r="AJ5" s="262">
        <v>1</v>
      </c>
      <c r="AK5" s="262">
        <v>1</v>
      </c>
      <c r="AL5" s="262">
        <v>1</v>
      </c>
      <c r="AM5" s="332">
        <f>+AI5+AJ5+AK5+AL5</f>
        <v>4</v>
      </c>
      <c r="AN5" s="262">
        <v>0</v>
      </c>
      <c r="AO5" s="262">
        <v>3</v>
      </c>
      <c r="AP5" s="262">
        <v>1</v>
      </c>
      <c r="AQ5" s="262">
        <v>4</v>
      </c>
      <c r="AR5" s="332">
        <f>+AN5+AO5+AP5+AQ5</f>
        <v>8</v>
      </c>
      <c r="AS5" s="262">
        <v>1</v>
      </c>
      <c r="AT5" s="262">
        <v>1</v>
      </c>
      <c r="AU5" s="262">
        <v>3</v>
      </c>
      <c r="AV5" s="262">
        <v>2</v>
      </c>
      <c r="AW5" s="262">
        <v>2</v>
      </c>
      <c r="AX5" s="332">
        <f t="shared" ref="AX5:AX6" si="7">+AS5+AT5+AU5+AV5+AW5</f>
        <v>9</v>
      </c>
      <c r="AY5" s="262">
        <v>1</v>
      </c>
      <c r="AZ5" s="262">
        <v>2</v>
      </c>
      <c r="BA5" s="262">
        <v>3</v>
      </c>
      <c r="BB5" s="264">
        <v>2</v>
      </c>
      <c r="BC5" s="332">
        <f t="shared" si="3"/>
        <v>8</v>
      </c>
      <c r="BD5" s="264">
        <v>0</v>
      </c>
      <c r="BE5" s="264">
        <v>3</v>
      </c>
      <c r="BF5" s="264">
        <v>0</v>
      </c>
      <c r="BG5" s="264">
        <v>1</v>
      </c>
      <c r="BH5" s="332">
        <f>+BD5+BE5+BF5+BG5</f>
        <v>4</v>
      </c>
      <c r="BI5" s="264">
        <v>0</v>
      </c>
      <c r="BJ5" s="264">
        <v>1</v>
      </c>
      <c r="BK5" s="264">
        <v>0</v>
      </c>
      <c r="BL5" s="264">
        <v>2</v>
      </c>
      <c r="BM5" s="264">
        <v>3</v>
      </c>
      <c r="BN5" s="332">
        <f t="shared" si="4"/>
        <v>6</v>
      </c>
      <c r="BO5" s="262">
        <v>0</v>
      </c>
      <c r="BP5" s="262">
        <v>0</v>
      </c>
      <c r="BQ5" s="262">
        <v>2</v>
      </c>
      <c r="BR5" s="262">
        <v>1</v>
      </c>
      <c r="BS5" s="332">
        <f t="shared" si="1"/>
        <v>3</v>
      </c>
      <c r="BT5" s="262">
        <v>1</v>
      </c>
      <c r="BU5" s="262">
        <v>2</v>
      </c>
      <c r="BV5" s="262">
        <v>2</v>
      </c>
      <c r="BW5" s="262">
        <v>1</v>
      </c>
      <c r="BX5" s="262">
        <v>1</v>
      </c>
      <c r="BY5" s="301">
        <f t="shared" si="5"/>
        <v>7</v>
      </c>
      <c r="BZ5" s="597">
        <f>+IFERROR(BY6/BY5,0)</f>
        <v>186.57142857142858</v>
      </c>
      <c r="CA5" s="288">
        <f t="shared" si="6"/>
        <v>78</v>
      </c>
      <c r="CB5" s="590">
        <f>+CA6/CA5</f>
        <v>131.74358974358975</v>
      </c>
      <c r="CD5" s="234">
        <v>4</v>
      </c>
      <c r="CG5" s="230" t="s">
        <v>285</v>
      </c>
      <c r="CH5" s="231">
        <f>+CA19</f>
        <v>245</v>
      </c>
      <c r="CI5" s="231">
        <f>+BY23</f>
        <v>159</v>
      </c>
    </row>
    <row r="6" spans="2:92" ht="18.5" customHeight="1" thickBot="1" x14ac:dyDescent="0.25">
      <c r="B6" s="592"/>
      <c r="C6" s="594"/>
      <c r="D6" s="596"/>
      <c r="E6" s="252" t="s">
        <v>13</v>
      </c>
      <c r="F6" s="252">
        <v>673</v>
      </c>
      <c r="G6" s="252">
        <v>524</v>
      </c>
      <c r="H6" s="252">
        <v>300</v>
      </c>
      <c r="I6" s="253">
        <v>399</v>
      </c>
      <c r="J6" s="253">
        <f>+Respaldo!I25</f>
        <v>1512</v>
      </c>
      <c r="K6" s="253">
        <f>+Respaldo!I31</f>
        <v>1359</v>
      </c>
      <c r="L6" s="253">
        <f t="shared" si="2"/>
        <v>3270</v>
      </c>
      <c r="M6" s="598"/>
      <c r="N6" s="268">
        <v>690</v>
      </c>
      <c r="O6" s="268">
        <v>240</v>
      </c>
      <c r="P6" s="268">
        <v>126</v>
      </c>
      <c r="Q6" s="268">
        <v>0</v>
      </c>
      <c r="R6" s="333">
        <f>+N6+O6+P6+Q6</f>
        <v>1056</v>
      </c>
      <c r="S6" s="268">
        <f>1035+120</f>
        <v>1155</v>
      </c>
      <c r="T6" s="268">
        <v>91</v>
      </c>
      <c r="U6" s="268"/>
      <c r="V6" s="268">
        <v>0</v>
      </c>
      <c r="W6" s="333">
        <f>+S6+T6+U6+V6</f>
        <v>1246</v>
      </c>
      <c r="X6" s="268">
        <v>20</v>
      </c>
      <c r="Y6" s="268">
        <v>65</v>
      </c>
      <c r="Z6" s="268">
        <v>563</v>
      </c>
      <c r="AA6" s="268">
        <v>88</v>
      </c>
      <c r="AB6" s="333">
        <f>+X6+Y6+Z6+AA6</f>
        <v>736</v>
      </c>
      <c r="AC6" s="268">
        <v>0</v>
      </c>
      <c r="AD6" s="268">
        <v>94</v>
      </c>
      <c r="AE6" s="265">
        <v>60</v>
      </c>
      <c r="AF6" s="253">
        <f>1114-650-60-94</f>
        <v>310</v>
      </c>
      <c r="AG6" s="253">
        <f>300+200+50</f>
        <v>550</v>
      </c>
      <c r="AH6" s="333">
        <f>+AC6+AD6+AE6+AF6+AG6</f>
        <v>1014</v>
      </c>
      <c r="AI6" s="253">
        <v>490</v>
      </c>
      <c r="AJ6" s="253">
        <v>262</v>
      </c>
      <c r="AK6" s="253">
        <v>21</v>
      </c>
      <c r="AL6" s="253">
        <v>195</v>
      </c>
      <c r="AM6" s="333">
        <f t="shared" si="0"/>
        <v>968</v>
      </c>
      <c r="AN6" s="253">
        <v>0</v>
      </c>
      <c r="AO6" s="253">
        <v>348</v>
      </c>
      <c r="AP6" s="253">
        <v>25</v>
      </c>
      <c r="AQ6" s="253">
        <f>286+37</f>
        <v>323</v>
      </c>
      <c r="AR6" s="333">
        <f>+AN6+AO6+AP6+AQ6</f>
        <v>696</v>
      </c>
      <c r="AS6" s="253">
        <v>80</v>
      </c>
      <c r="AT6" s="253">
        <v>23</v>
      </c>
      <c r="AU6" s="253">
        <v>119</v>
      </c>
      <c r="AV6" s="253">
        <v>113</v>
      </c>
      <c r="AW6" s="253">
        <v>324</v>
      </c>
      <c r="AX6" s="333">
        <f t="shared" si="7"/>
        <v>659</v>
      </c>
      <c r="AY6" s="253">
        <v>135</v>
      </c>
      <c r="AZ6" s="253">
        <f>140+16</f>
        <v>156</v>
      </c>
      <c r="BA6" s="253">
        <v>485</v>
      </c>
      <c r="BB6" s="265">
        <v>120</v>
      </c>
      <c r="BC6" s="333">
        <f t="shared" si="3"/>
        <v>896</v>
      </c>
      <c r="BD6" s="265">
        <v>0</v>
      </c>
      <c r="BE6" s="265">
        <v>446</v>
      </c>
      <c r="BF6" s="265">
        <v>0</v>
      </c>
      <c r="BG6" s="265">
        <v>190</v>
      </c>
      <c r="BH6" s="333">
        <f>+BD6+BE6+BF6+BG6</f>
        <v>636</v>
      </c>
      <c r="BI6" s="265">
        <v>0</v>
      </c>
      <c r="BJ6" s="265">
        <v>140</v>
      </c>
      <c r="BK6" s="265">
        <v>0</v>
      </c>
      <c r="BL6" s="265">
        <v>205</v>
      </c>
      <c r="BM6" s="265">
        <v>118</v>
      </c>
      <c r="BN6" s="333">
        <f t="shared" si="4"/>
        <v>463</v>
      </c>
      <c r="BO6" s="253">
        <v>0</v>
      </c>
      <c r="BP6" s="253">
        <v>0</v>
      </c>
      <c r="BQ6" s="253">
        <v>249</v>
      </c>
      <c r="BR6" s="253">
        <v>351</v>
      </c>
      <c r="BS6" s="333">
        <f t="shared" si="1"/>
        <v>600</v>
      </c>
      <c r="BT6" s="253">
        <v>445</v>
      </c>
      <c r="BU6" s="253">
        <v>251</v>
      </c>
      <c r="BV6" s="253">
        <v>295</v>
      </c>
      <c r="BW6" s="253">
        <v>285</v>
      </c>
      <c r="BX6" s="253">
        <v>30</v>
      </c>
      <c r="BY6" s="302">
        <f t="shared" si="5"/>
        <v>1306</v>
      </c>
      <c r="BZ6" s="598"/>
      <c r="CA6" s="289">
        <f t="shared" si="6"/>
        <v>10276</v>
      </c>
      <c r="CB6" s="591"/>
      <c r="CC6" s="231">
        <f>+AVERAGE(R6,W6,AB6,AH6,AM6,AR6,AX6,BC6,BH6,BN6,BS6)</f>
        <v>815.4545454545455</v>
      </c>
      <c r="CD6" s="231">
        <v>991</v>
      </c>
      <c r="CE6" s="231">
        <f>+CD6-BY6</f>
        <v>-315</v>
      </c>
      <c r="CG6" s="241" t="s">
        <v>249</v>
      </c>
      <c r="CH6" s="331">
        <f>SUM(CH3:CH5)</f>
        <v>10732</v>
      </c>
      <c r="CI6" s="331">
        <f>SUM(CI3:CI5)</f>
        <v>981</v>
      </c>
    </row>
    <row r="7" spans="2:92" ht="18.5" customHeight="1" x14ac:dyDescent="0.2">
      <c r="B7" s="592" t="s">
        <v>222</v>
      </c>
      <c r="C7" s="593">
        <v>3</v>
      </c>
      <c r="D7" s="595" t="s">
        <v>286</v>
      </c>
      <c r="E7" s="261" t="s">
        <v>0</v>
      </c>
      <c r="F7" s="261"/>
      <c r="G7" s="261"/>
      <c r="H7" s="261"/>
      <c r="I7" s="262">
        <v>14</v>
      </c>
      <c r="J7" s="262">
        <v>24</v>
      </c>
      <c r="K7" s="262">
        <v>23</v>
      </c>
      <c r="L7" s="262">
        <f t="shared" si="2"/>
        <v>61</v>
      </c>
      <c r="M7" s="597">
        <f>+L8/L7</f>
        <v>31.950819672131146</v>
      </c>
      <c r="N7" s="262">
        <v>22</v>
      </c>
      <c r="O7" s="262">
        <v>22</v>
      </c>
      <c r="P7" s="262">
        <v>22</v>
      </c>
      <c r="Q7" s="262">
        <v>21</v>
      </c>
      <c r="R7" s="332">
        <f>+Q7</f>
        <v>21</v>
      </c>
      <c r="S7" s="262">
        <v>16</v>
      </c>
      <c r="T7" s="262">
        <v>5</v>
      </c>
      <c r="U7" s="262">
        <v>0</v>
      </c>
      <c r="V7" s="262">
        <v>0</v>
      </c>
      <c r="W7" s="332">
        <f t="shared" ref="W7:W10" si="8">+S7+T7+U7+V7</f>
        <v>21</v>
      </c>
      <c r="X7" s="262">
        <v>19</v>
      </c>
      <c r="Y7" s="262">
        <v>3</v>
      </c>
      <c r="Z7" s="262">
        <v>0</v>
      </c>
      <c r="AA7" s="262">
        <v>0</v>
      </c>
      <c r="AB7" s="332">
        <f t="shared" ref="AB7:AB11" si="9">+X7+Y7+Z7+AA7</f>
        <v>22</v>
      </c>
      <c r="AC7" s="262">
        <v>9</v>
      </c>
      <c r="AD7" s="262">
        <v>4</v>
      </c>
      <c r="AE7" s="262">
        <v>0</v>
      </c>
      <c r="AF7" s="262">
        <v>0</v>
      </c>
      <c r="AG7" s="262">
        <v>0</v>
      </c>
      <c r="AH7" s="332">
        <f>AC7+AD7+AE7+AF7+AG7</f>
        <v>13</v>
      </c>
      <c r="AI7" s="262">
        <v>14</v>
      </c>
      <c r="AJ7" s="262">
        <v>3</v>
      </c>
      <c r="AK7" s="262">
        <v>0</v>
      </c>
      <c r="AL7" s="262">
        <v>0</v>
      </c>
      <c r="AM7" s="332">
        <f t="shared" si="0"/>
        <v>17</v>
      </c>
      <c r="AN7" s="262">
        <v>12</v>
      </c>
      <c r="AO7" s="262">
        <v>2</v>
      </c>
      <c r="AP7" s="262">
        <v>0</v>
      </c>
      <c r="AQ7" s="262">
        <v>0</v>
      </c>
      <c r="AR7" s="332">
        <f t="shared" ref="AR7:AR12" si="10">+AN7+AO7+AP7+AQ7</f>
        <v>14</v>
      </c>
      <c r="AS7" s="262">
        <v>18</v>
      </c>
      <c r="AT7" s="262">
        <v>0</v>
      </c>
      <c r="AU7" s="262">
        <v>0</v>
      </c>
      <c r="AV7" s="262">
        <v>0</v>
      </c>
      <c r="AW7" s="262">
        <v>0</v>
      </c>
      <c r="AX7" s="332">
        <f t="shared" ref="AX7:AX12" si="11">+AS7+AT7+AU7+AV7+AW7</f>
        <v>18</v>
      </c>
      <c r="AY7" s="262">
        <v>22</v>
      </c>
      <c r="AZ7" s="262">
        <v>0</v>
      </c>
      <c r="BA7" s="262">
        <v>0</v>
      </c>
      <c r="BB7" s="262">
        <v>0</v>
      </c>
      <c r="BC7" s="332">
        <f t="shared" si="3"/>
        <v>22</v>
      </c>
      <c r="BD7" s="262">
        <v>25</v>
      </c>
      <c r="BE7" s="262">
        <v>1</v>
      </c>
      <c r="BF7" s="262">
        <v>0</v>
      </c>
      <c r="BG7" s="269">
        <v>-2</v>
      </c>
      <c r="BH7" s="332">
        <f t="shared" ref="BH7:BH8" si="12">+BD7+BE7+BF7+BG7</f>
        <v>24</v>
      </c>
      <c r="BI7" s="262">
        <v>23</v>
      </c>
      <c r="BJ7" s="262">
        <v>-4</v>
      </c>
      <c r="BK7" s="262">
        <v>4</v>
      </c>
      <c r="BL7" s="262">
        <v>-2</v>
      </c>
      <c r="BM7" s="262">
        <v>0</v>
      </c>
      <c r="BN7" s="332">
        <f t="shared" si="4"/>
        <v>21</v>
      </c>
      <c r="BO7" s="262">
        <v>18</v>
      </c>
      <c r="BP7" s="262">
        <v>0</v>
      </c>
      <c r="BQ7" s="262">
        <v>0</v>
      </c>
      <c r="BR7" s="262">
        <v>0</v>
      </c>
      <c r="BS7" s="332">
        <f t="shared" si="1"/>
        <v>18</v>
      </c>
      <c r="BT7" s="262">
        <v>13</v>
      </c>
      <c r="BU7" s="262">
        <v>0</v>
      </c>
      <c r="BV7" s="262">
        <v>-2</v>
      </c>
      <c r="BW7" s="262">
        <v>0</v>
      </c>
      <c r="BX7" s="262">
        <v>0</v>
      </c>
      <c r="BY7" s="301">
        <f t="shared" si="5"/>
        <v>11</v>
      </c>
      <c r="BZ7" s="597">
        <f>+IFERROR(BY8/BY7,0)</f>
        <v>38.454545454545453</v>
      </c>
      <c r="CA7" s="288">
        <f t="shared" si="6"/>
        <v>222</v>
      </c>
      <c r="CB7" s="590">
        <f>+CA8/CA7</f>
        <v>40.707207207207205</v>
      </c>
      <c r="CC7" s="231"/>
      <c r="CD7" s="231">
        <v>11</v>
      </c>
      <c r="CE7" s="231">
        <f t="shared" ref="CE7:CE14" si="13">+CD7-BY7</f>
        <v>0</v>
      </c>
    </row>
    <row r="8" spans="2:92" ht="18.5" customHeight="1" thickBot="1" x14ac:dyDescent="0.25">
      <c r="B8" s="592"/>
      <c r="C8" s="594"/>
      <c r="D8" s="596"/>
      <c r="E8" s="252" t="s">
        <v>13</v>
      </c>
      <c r="F8" s="252"/>
      <c r="G8" s="252"/>
      <c r="H8" s="252"/>
      <c r="I8" s="253">
        <v>516</v>
      </c>
      <c r="J8" s="253">
        <v>652</v>
      </c>
      <c r="K8" s="253">
        <v>781</v>
      </c>
      <c r="L8" s="253">
        <f t="shared" si="2"/>
        <v>1949</v>
      </c>
      <c r="M8" s="598"/>
      <c r="N8" s="253">
        <v>762</v>
      </c>
      <c r="O8" s="253">
        <v>754</v>
      </c>
      <c r="P8" s="253">
        <v>718</v>
      </c>
      <c r="Q8" s="253">
        <v>718</v>
      </c>
      <c r="R8" s="333">
        <f>+Q8</f>
        <v>718</v>
      </c>
      <c r="S8" s="253">
        <v>563</v>
      </c>
      <c r="T8" s="253">
        <v>310</v>
      </c>
      <c r="U8" s="253">
        <v>0</v>
      </c>
      <c r="V8" s="253">
        <v>0</v>
      </c>
      <c r="W8" s="333">
        <f t="shared" si="8"/>
        <v>873</v>
      </c>
      <c r="X8" s="253">
        <v>678</v>
      </c>
      <c r="Y8" s="253">
        <v>133</v>
      </c>
      <c r="Z8" s="253">
        <v>0</v>
      </c>
      <c r="AA8" s="253">
        <v>0</v>
      </c>
      <c r="AB8" s="333">
        <f t="shared" si="9"/>
        <v>811</v>
      </c>
      <c r="AC8" s="253">
        <v>466</v>
      </c>
      <c r="AD8" s="253">
        <v>145</v>
      </c>
      <c r="AE8" s="253">
        <v>0</v>
      </c>
      <c r="AF8" s="253">
        <v>0</v>
      </c>
      <c r="AG8" s="253">
        <v>0</v>
      </c>
      <c r="AH8" s="333">
        <f>AC8+AD8+AE8+AF8+AG8</f>
        <v>611</v>
      </c>
      <c r="AI8" s="253">
        <v>734</v>
      </c>
      <c r="AJ8" s="253">
        <v>100</v>
      </c>
      <c r="AK8" s="253">
        <v>0</v>
      </c>
      <c r="AL8" s="253">
        <v>0</v>
      </c>
      <c r="AM8" s="333">
        <f t="shared" si="0"/>
        <v>834</v>
      </c>
      <c r="AN8" s="253">
        <v>780</v>
      </c>
      <c r="AO8" s="253">
        <v>130</v>
      </c>
      <c r="AP8" s="253">
        <v>0</v>
      </c>
      <c r="AQ8" s="253">
        <v>0</v>
      </c>
      <c r="AR8" s="333">
        <f t="shared" si="10"/>
        <v>910</v>
      </c>
      <c r="AS8" s="253">
        <v>787</v>
      </c>
      <c r="AT8" s="253">
        <v>0</v>
      </c>
      <c r="AU8" s="253">
        <v>0</v>
      </c>
      <c r="AV8" s="253">
        <v>0</v>
      </c>
      <c r="AW8" s="253">
        <v>0</v>
      </c>
      <c r="AX8" s="333">
        <f t="shared" si="11"/>
        <v>787</v>
      </c>
      <c r="AY8" s="253">
        <v>922</v>
      </c>
      <c r="AZ8" s="253">
        <v>0</v>
      </c>
      <c r="BA8" s="253">
        <v>0</v>
      </c>
      <c r="BB8" s="253">
        <v>0</v>
      </c>
      <c r="BC8" s="333">
        <f t="shared" si="3"/>
        <v>922</v>
      </c>
      <c r="BD8" s="253">
        <v>923</v>
      </c>
      <c r="BE8" s="253">
        <v>52</v>
      </c>
      <c r="BF8" s="253">
        <v>0</v>
      </c>
      <c r="BG8" s="270">
        <v>-180</v>
      </c>
      <c r="BH8" s="333">
        <f t="shared" si="12"/>
        <v>795</v>
      </c>
      <c r="BI8" s="253">
        <v>679</v>
      </c>
      <c r="BJ8" s="253">
        <v>-131</v>
      </c>
      <c r="BK8" s="253">
        <v>219</v>
      </c>
      <c r="BL8" s="253">
        <f>-50-12</f>
        <v>-62</v>
      </c>
      <c r="BM8" s="253">
        <v>0</v>
      </c>
      <c r="BN8" s="333">
        <f t="shared" si="4"/>
        <v>705</v>
      </c>
      <c r="BO8" s="253">
        <v>648</v>
      </c>
      <c r="BP8" s="253">
        <v>0</v>
      </c>
      <c r="BQ8" s="253">
        <v>0</v>
      </c>
      <c r="BR8" s="253">
        <v>0</v>
      </c>
      <c r="BS8" s="333">
        <f t="shared" si="1"/>
        <v>648</v>
      </c>
      <c r="BT8" s="253">
        <v>480</v>
      </c>
      <c r="BU8" s="253">
        <v>0</v>
      </c>
      <c r="BV8" s="253">
        <v>-57</v>
      </c>
      <c r="BW8" s="253">
        <v>0</v>
      </c>
      <c r="BX8" s="253">
        <v>0</v>
      </c>
      <c r="BY8" s="302">
        <f t="shared" si="5"/>
        <v>423</v>
      </c>
      <c r="BZ8" s="598"/>
      <c r="CA8" s="289">
        <f t="shared" si="6"/>
        <v>9037</v>
      </c>
      <c r="CB8" s="591"/>
      <c r="CC8" s="231">
        <f>+AVERAGE(R8,W8,AB8,AH8,AM8,AR8,AX8,BC8,BH8,BN8,BS8)</f>
        <v>783.09090909090912</v>
      </c>
      <c r="CD8" s="231">
        <v>423</v>
      </c>
      <c r="CE8" s="231">
        <f t="shared" si="13"/>
        <v>0</v>
      </c>
    </row>
    <row r="9" spans="2:92" ht="18.5" customHeight="1" x14ac:dyDescent="0.2">
      <c r="B9" s="592" t="s">
        <v>222</v>
      </c>
      <c r="C9" s="593">
        <v>4</v>
      </c>
      <c r="D9" s="599" t="s">
        <v>287</v>
      </c>
      <c r="E9" s="261" t="s">
        <v>0</v>
      </c>
      <c r="F9" s="261"/>
      <c r="G9" s="261"/>
      <c r="H9" s="261"/>
      <c r="I9" s="262">
        <v>16</v>
      </c>
      <c r="J9" s="262">
        <v>17</v>
      </c>
      <c r="K9" s="262">
        <v>19</v>
      </c>
      <c r="L9" s="262">
        <f t="shared" si="2"/>
        <v>52</v>
      </c>
      <c r="M9" s="597">
        <f>+L10/L9</f>
        <v>34.384615384615387</v>
      </c>
      <c r="N9" s="262">
        <v>0</v>
      </c>
      <c r="O9" s="262">
        <v>2</v>
      </c>
      <c r="P9" s="262">
        <v>8</v>
      </c>
      <c r="Q9" s="262">
        <v>9</v>
      </c>
      <c r="R9" s="332">
        <f>N9+O9+P9+Q9</f>
        <v>19</v>
      </c>
      <c r="S9" s="262">
        <v>0</v>
      </c>
      <c r="T9" s="262">
        <v>0</v>
      </c>
      <c r="U9" s="262">
        <v>0</v>
      </c>
      <c r="V9" s="262">
        <v>20</v>
      </c>
      <c r="W9" s="332">
        <f t="shared" si="8"/>
        <v>20</v>
      </c>
      <c r="X9" s="262">
        <v>0</v>
      </c>
      <c r="Y9" s="262">
        <v>0</v>
      </c>
      <c r="Z9" s="262">
        <v>3</v>
      </c>
      <c r="AA9" s="262">
        <f>8+1+4+1</f>
        <v>14</v>
      </c>
      <c r="AB9" s="332">
        <f t="shared" si="9"/>
        <v>17</v>
      </c>
      <c r="AC9" s="262">
        <v>0</v>
      </c>
      <c r="AD9" s="262">
        <v>1</v>
      </c>
      <c r="AE9" s="262">
        <v>1</v>
      </c>
      <c r="AF9" s="262">
        <v>3</v>
      </c>
      <c r="AG9" s="262">
        <v>10</v>
      </c>
      <c r="AH9" s="332">
        <f>+AC9+AD9+AE9+AF9+AG9</f>
        <v>15</v>
      </c>
      <c r="AI9" s="262">
        <v>0</v>
      </c>
      <c r="AJ9" s="262">
        <v>1</v>
      </c>
      <c r="AK9" s="262">
        <v>1</v>
      </c>
      <c r="AL9" s="262">
        <v>14</v>
      </c>
      <c r="AM9" s="332">
        <f t="shared" si="0"/>
        <v>16</v>
      </c>
      <c r="AN9" s="262">
        <v>0</v>
      </c>
      <c r="AO9" s="262">
        <v>1</v>
      </c>
      <c r="AP9" s="262">
        <v>3</v>
      </c>
      <c r="AQ9" s="262">
        <f>8+3-1</f>
        <v>10</v>
      </c>
      <c r="AR9" s="332">
        <f t="shared" si="10"/>
        <v>14</v>
      </c>
      <c r="AS9" s="262">
        <v>0</v>
      </c>
      <c r="AT9" s="262">
        <v>0</v>
      </c>
      <c r="AU9" s="262">
        <v>6</v>
      </c>
      <c r="AV9" s="262">
        <v>4</v>
      </c>
      <c r="AW9" s="262">
        <f>2+1+1+1</f>
        <v>5</v>
      </c>
      <c r="AX9" s="332">
        <f t="shared" si="11"/>
        <v>15</v>
      </c>
      <c r="AY9" s="262">
        <v>0</v>
      </c>
      <c r="AZ9" s="262">
        <v>0</v>
      </c>
      <c r="BA9" s="262">
        <v>9</v>
      </c>
      <c r="BB9" s="262">
        <f>7+1</f>
        <v>8</v>
      </c>
      <c r="BC9" s="332">
        <f t="shared" si="3"/>
        <v>17</v>
      </c>
      <c r="BD9" s="262">
        <v>0</v>
      </c>
      <c r="BE9" s="262">
        <v>5</v>
      </c>
      <c r="BF9" s="262">
        <v>2</v>
      </c>
      <c r="BG9" s="269">
        <f>3+6+3-1</f>
        <v>11</v>
      </c>
      <c r="BH9" s="332">
        <f t="shared" ref="BH9:BH14" si="14">+BD9+BE9+BF9+BG9</f>
        <v>18</v>
      </c>
      <c r="BI9" s="262">
        <v>0</v>
      </c>
      <c r="BJ9" s="262">
        <v>1</v>
      </c>
      <c r="BK9" s="262">
        <v>8</v>
      </c>
      <c r="BL9" s="262">
        <v>7</v>
      </c>
      <c r="BM9" s="262">
        <f>4+1</f>
        <v>5</v>
      </c>
      <c r="BN9" s="332">
        <f t="shared" si="4"/>
        <v>21</v>
      </c>
      <c r="BO9" s="262">
        <v>0</v>
      </c>
      <c r="BP9" s="262">
        <v>5</v>
      </c>
      <c r="BQ9" s="262">
        <v>3</v>
      </c>
      <c r="BR9" s="262">
        <v>11</v>
      </c>
      <c r="BS9" s="332">
        <f t="shared" si="1"/>
        <v>19</v>
      </c>
      <c r="BT9" s="262">
        <v>0</v>
      </c>
      <c r="BU9" s="262">
        <v>0</v>
      </c>
      <c r="BV9" s="262">
        <v>5</v>
      </c>
      <c r="BW9" s="262">
        <v>4</v>
      </c>
      <c r="BX9" s="262">
        <v>4</v>
      </c>
      <c r="BY9" s="301">
        <f t="shared" si="5"/>
        <v>13</v>
      </c>
      <c r="BZ9" s="597">
        <f>+IFERROR(BY10/BY9,0)</f>
        <v>47</v>
      </c>
      <c r="CA9" s="288">
        <f t="shared" si="6"/>
        <v>204</v>
      </c>
      <c r="CB9" s="590">
        <f>+CA10/CA9</f>
        <v>45.849955882352937</v>
      </c>
      <c r="CC9" s="231"/>
      <c r="CD9" s="231">
        <v>13</v>
      </c>
      <c r="CE9" s="231">
        <f t="shared" si="13"/>
        <v>0</v>
      </c>
    </row>
    <row r="10" spans="2:92" ht="18.5" customHeight="1" thickBot="1" x14ac:dyDescent="0.25">
      <c r="B10" s="592"/>
      <c r="C10" s="594"/>
      <c r="D10" s="596"/>
      <c r="E10" s="252" t="s">
        <v>13</v>
      </c>
      <c r="F10" s="252"/>
      <c r="G10" s="252"/>
      <c r="H10" s="252"/>
      <c r="I10" s="253">
        <v>527</v>
      </c>
      <c r="J10" s="253">
        <v>429</v>
      </c>
      <c r="K10" s="253">
        <f>770+62</f>
        <v>832</v>
      </c>
      <c r="L10" s="253">
        <f t="shared" si="2"/>
        <v>1788</v>
      </c>
      <c r="M10" s="598"/>
      <c r="N10" s="253">
        <v>0</v>
      </c>
      <c r="O10" s="253">
        <v>86</v>
      </c>
      <c r="P10" s="253">
        <v>261</v>
      </c>
      <c r="Q10" s="253">
        <f>354-34+2</f>
        <v>322</v>
      </c>
      <c r="R10" s="333">
        <f>N10+O10+P10+Q10</f>
        <v>669</v>
      </c>
      <c r="S10" s="253">
        <v>0</v>
      </c>
      <c r="T10" s="253">
        <v>0</v>
      </c>
      <c r="U10" s="253">
        <v>0</v>
      </c>
      <c r="V10" s="253">
        <v>892</v>
      </c>
      <c r="W10" s="333">
        <f t="shared" si="8"/>
        <v>892</v>
      </c>
      <c r="X10" s="253">
        <v>0</v>
      </c>
      <c r="Y10" s="253">
        <v>0</v>
      </c>
      <c r="Z10" s="253">
        <v>56</v>
      </c>
      <c r="AA10" s="253">
        <f>424+59+81+74</f>
        <v>638</v>
      </c>
      <c r="AB10" s="333">
        <f t="shared" si="9"/>
        <v>694</v>
      </c>
      <c r="AC10" s="253">
        <v>0</v>
      </c>
      <c r="AD10" s="253">
        <v>65</v>
      </c>
      <c r="AE10" s="253">
        <v>39</v>
      </c>
      <c r="AF10" s="253">
        <v>128</v>
      </c>
      <c r="AG10" s="253">
        <f>548+5-70+7-18</f>
        <v>472</v>
      </c>
      <c r="AH10" s="333">
        <f>+AC10+AD10+AE10+AF10+AG10</f>
        <v>704</v>
      </c>
      <c r="AI10" s="253">
        <v>0</v>
      </c>
      <c r="AJ10" s="253">
        <v>39</v>
      </c>
      <c r="AK10" s="253">
        <v>67</v>
      </c>
      <c r="AL10" s="253">
        <f>511+690-96-39-416-26</f>
        <v>624</v>
      </c>
      <c r="AM10" s="333">
        <f t="shared" si="0"/>
        <v>730</v>
      </c>
      <c r="AN10" s="253">
        <v>0</v>
      </c>
      <c r="AO10" s="253">
        <v>81</v>
      </c>
      <c r="AP10" s="253">
        <v>171</v>
      </c>
      <c r="AQ10" s="253">
        <f>540+340+73-27</f>
        <v>926</v>
      </c>
      <c r="AR10" s="333">
        <f t="shared" si="10"/>
        <v>1178</v>
      </c>
      <c r="AS10" s="253">
        <v>0</v>
      </c>
      <c r="AT10" s="253">
        <v>0</v>
      </c>
      <c r="AU10" s="253">
        <v>157</v>
      </c>
      <c r="AV10" s="253">
        <f>165+100+36</f>
        <v>301</v>
      </c>
      <c r="AW10" s="253">
        <f>39+70+126+35+35-20</f>
        <v>285</v>
      </c>
      <c r="AX10" s="333">
        <f t="shared" si="11"/>
        <v>743</v>
      </c>
      <c r="AY10" s="253">
        <v>0</v>
      </c>
      <c r="AZ10" s="253">
        <v>0</v>
      </c>
      <c r="BA10" s="253">
        <v>306</v>
      </c>
      <c r="BB10" s="253">
        <f>375+150-46</f>
        <v>479</v>
      </c>
      <c r="BC10" s="333">
        <f t="shared" si="3"/>
        <v>785</v>
      </c>
      <c r="BD10" s="253">
        <v>0</v>
      </c>
      <c r="BE10" s="253">
        <v>183</v>
      </c>
      <c r="BF10" s="253">
        <v>50</v>
      </c>
      <c r="BG10" s="270">
        <f>71+312+85-22.409</f>
        <v>445.59100000000001</v>
      </c>
      <c r="BH10" s="333">
        <f t="shared" si="14"/>
        <v>678.59100000000001</v>
      </c>
      <c r="BI10" s="253">
        <v>0</v>
      </c>
      <c r="BJ10" s="253">
        <v>3.8</v>
      </c>
      <c r="BK10" s="253">
        <v>257</v>
      </c>
      <c r="BL10" s="253">
        <v>376</v>
      </c>
      <c r="BM10" s="253">
        <f>185+41</f>
        <v>226</v>
      </c>
      <c r="BN10" s="333">
        <f t="shared" si="4"/>
        <v>862.8</v>
      </c>
      <c r="BO10" s="253">
        <v>0</v>
      </c>
      <c r="BP10" s="253">
        <v>319</v>
      </c>
      <c r="BQ10" s="253">
        <v>102</v>
      </c>
      <c r="BR10" s="253">
        <v>385</v>
      </c>
      <c r="BS10" s="333">
        <f t="shared" si="1"/>
        <v>806</v>
      </c>
      <c r="BT10" s="253">
        <v>0</v>
      </c>
      <c r="BU10" s="253">
        <v>0</v>
      </c>
      <c r="BV10" s="253">
        <v>291</v>
      </c>
      <c r="BW10" s="253">
        <v>257</v>
      </c>
      <c r="BX10" s="253">
        <v>63</v>
      </c>
      <c r="BY10" s="302">
        <f t="shared" si="5"/>
        <v>611</v>
      </c>
      <c r="BZ10" s="598"/>
      <c r="CA10" s="289">
        <f t="shared" si="6"/>
        <v>9353.3909999999996</v>
      </c>
      <c r="CB10" s="591"/>
      <c r="CC10" s="231">
        <f>+AVERAGE(R10,W10,AB10,AH10,AM10,AR10,AX10,BC10,BH10,BN10,BS10,BY10)</f>
        <v>779.44925000000001</v>
      </c>
      <c r="CD10" s="231">
        <v>611</v>
      </c>
      <c r="CE10" s="231">
        <f t="shared" si="13"/>
        <v>0</v>
      </c>
    </row>
    <row r="11" spans="2:92" ht="18.5" customHeight="1" x14ac:dyDescent="0.2">
      <c r="B11" s="604" t="s">
        <v>224</v>
      </c>
      <c r="C11" s="593">
        <v>5</v>
      </c>
      <c r="D11" s="606" t="s">
        <v>288</v>
      </c>
      <c r="E11" s="272" t="s">
        <v>0</v>
      </c>
      <c r="F11" s="272"/>
      <c r="G11" s="272"/>
      <c r="H11" s="272"/>
      <c r="I11" s="262">
        <v>23</v>
      </c>
      <c r="J11" s="262">
        <v>17</v>
      </c>
      <c r="K11" s="262">
        <v>18</v>
      </c>
      <c r="L11" s="262">
        <f t="shared" si="2"/>
        <v>58</v>
      </c>
      <c r="M11" s="597">
        <f>+L12/L11</f>
        <v>32.379310344827587</v>
      </c>
      <c r="N11" s="267">
        <v>12</v>
      </c>
      <c r="O11" s="267">
        <v>1</v>
      </c>
      <c r="P11" s="267">
        <v>1</v>
      </c>
      <c r="Q11" s="267">
        <f>4+4</f>
        <v>8</v>
      </c>
      <c r="R11" s="332">
        <v>22</v>
      </c>
      <c r="S11" s="267">
        <v>0</v>
      </c>
      <c r="T11" s="267">
        <v>0</v>
      </c>
      <c r="U11" s="267">
        <v>1</v>
      </c>
      <c r="V11" s="267">
        <v>8</v>
      </c>
      <c r="W11" s="332">
        <v>9</v>
      </c>
      <c r="X11" s="267">
        <v>2</v>
      </c>
      <c r="Y11" s="267">
        <f>1+2+3</f>
        <v>6</v>
      </c>
      <c r="Z11" s="267">
        <v>6</v>
      </c>
      <c r="AA11" s="267">
        <f>1+1+1</f>
        <v>3</v>
      </c>
      <c r="AB11" s="332">
        <f t="shared" si="9"/>
        <v>17</v>
      </c>
      <c r="AC11" s="267">
        <v>4</v>
      </c>
      <c r="AD11" s="267">
        <v>2</v>
      </c>
      <c r="AE11" s="267">
        <v>2</v>
      </c>
      <c r="AF11" s="267">
        <v>5</v>
      </c>
      <c r="AG11" s="267">
        <v>4</v>
      </c>
      <c r="AH11" s="332">
        <v>16</v>
      </c>
      <c r="AI11" s="267">
        <v>8</v>
      </c>
      <c r="AJ11" s="267">
        <v>3</v>
      </c>
      <c r="AK11" s="267">
        <v>2</v>
      </c>
      <c r="AL11" s="267">
        <v>8</v>
      </c>
      <c r="AM11" s="332">
        <f t="shared" si="0"/>
        <v>21</v>
      </c>
      <c r="AN11" s="267">
        <v>6</v>
      </c>
      <c r="AO11" s="267">
        <v>4</v>
      </c>
      <c r="AP11" s="267">
        <v>1</v>
      </c>
      <c r="AQ11" s="267">
        <v>6</v>
      </c>
      <c r="AR11" s="332">
        <f t="shared" si="10"/>
        <v>17</v>
      </c>
      <c r="AS11" s="267">
        <v>4</v>
      </c>
      <c r="AT11" s="267">
        <v>5</v>
      </c>
      <c r="AU11" s="267">
        <v>3</v>
      </c>
      <c r="AV11" s="267">
        <v>3</v>
      </c>
      <c r="AW11" s="267">
        <f>2+1</f>
        <v>3</v>
      </c>
      <c r="AX11" s="332">
        <f t="shared" si="11"/>
        <v>18</v>
      </c>
      <c r="AY11" s="267">
        <v>7</v>
      </c>
      <c r="AZ11" s="267">
        <v>2</v>
      </c>
      <c r="BA11" s="267">
        <v>8</v>
      </c>
      <c r="BB11" s="267">
        <f>3+3</f>
        <v>6</v>
      </c>
      <c r="BC11" s="332">
        <f t="shared" si="3"/>
        <v>23</v>
      </c>
      <c r="BD11" s="267">
        <v>3</v>
      </c>
      <c r="BE11" s="267">
        <v>2</v>
      </c>
      <c r="BF11" s="267">
        <v>2</v>
      </c>
      <c r="BG11" s="267">
        <f>8+1</f>
        <v>9</v>
      </c>
      <c r="BH11" s="332">
        <f t="shared" si="14"/>
        <v>16</v>
      </c>
      <c r="BI11" s="267">
        <v>1</v>
      </c>
      <c r="BJ11" s="267">
        <v>4</v>
      </c>
      <c r="BK11" s="267">
        <v>5</v>
      </c>
      <c r="BL11" s="267">
        <v>5</v>
      </c>
      <c r="BM11" s="267">
        <v>8</v>
      </c>
      <c r="BN11" s="332">
        <f t="shared" si="4"/>
        <v>23</v>
      </c>
      <c r="BO11" s="262">
        <v>2</v>
      </c>
      <c r="BP11" s="262">
        <v>4</v>
      </c>
      <c r="BQ11" s="262">
        <v>6</v>
      </c>
      <c r="BR11" s="262">
        <v>4</v>
      </c>
      <c r="BS11" s="332">
        <f t="shared" si="1"/>
        <v>16</v>
      </c>
      <c r="BT11" s="262">
        <v>2</v>
      </c>
      <c r="BU11" s="262">
        <v>3</v>
      </c>
      <c r="BV11" s="262">
        <v>8</v>
      </c>
      <c r="BW11" s="262">
        <v>5</v>
      </c>
      <c r="BX11" s="262">
        <v>3</v>
      </c>
      <c r="BY11" s="301">
        <f t="shared" si="5"/>
        <v>21</v>
      </c>
      <c r="BZ11" s="597">
        <f>+IFERROR(BY12/BY11,0)</f>
        <v>42.19047619047619</v>
      </c>
      <c r="CA11" s="288">
        <f t="shared" si="6"/>
        <v>219</v>
      </c>
      <c r="CB11" s="590">
        <f>+CA12/CA11</f>
        <v>44.726027397260275</v>
      </c>
      <c r="CC11" s="231"/>
      <c r="CD11" s="231">
        <v>21</v>
      </c>
      <c r="CE11" s="231">
        <f t="shared" si="13"/>
        <v>0</v>
      </c>
      <c r="CH11" s="233"/>
      <c r="CI11" s="233"/>
      <c r="CJ11" s="233"/>
      <c r="CK11" s="233"/>
      <c r="CL11" s="233"/>
      <c r="CM11" s="233"/>
      <c r="CN11" s="233"/>
    </row>
    <row r="12" spans="2:92" ht="18.5" customHeight="1" thickBot="1" x14ac:dyDescent="0.25">
      <c r="B12" s="605"/>
      <c r="C12" s="594"/>
      <c r="D12" s="607"/>
      <c r="E12" s="251" t="s">
        <v>13</v>
      </c>
      <c r="F12" s="251"/>
      <c r="G12" s="251"/>
      <c r="H12" s="251"/>
      <c r="I12" s="253">
        <v>864</v>
      </c>
      <c r="J12" s="253">
        <v>493</v>
      </c>
      <c r="K12" s="253">
        <v>521</v>
      </c>
      <c r="L12" s="253">
        <f t="shared" si="2"/>
        <v>1878</v>
      </c>
      <c r="M12" s="598"/>
      <c r="N12" s="268">
        <v>427</v>
      </c>
      <c r="O12" s="268">
        <v>82</v>
      </c>
      <c r="P12" s="268">
        <v>35</v>
      </c>
      <c r="Q12" s="268">
        <f>142+173</f>
        <v>315</v>
      </c>
      <c r="R12" s="333">
        <v>823</v>
      </c>
      <c r="S12" s="268">
        <v>0</v>
      </c>
      <c r="T12" s="268">
        <v>0</v>
      </c>
      <c r="U12" s="268">
        <v>96</v>
      </c>
      <c r="V12" s="268">
        <v>298</v>
      </c>
      <c r="W12" s="333">
        <v>313</v>
      </c>
      <c r="X12" s="268">
        <f>0+0+0+47</f>
        <v>47</v>
      </c>
      <c r="Y12" s="268">
        <f>84.795+106+248</f>
        <v>438.79500000000002</v>
      </c>
      <c r="Z12" s="268">
        <v>239.20499999999998</v>
      </c>
      <c r="AA12" s="268">
        <f>25+11</f>
        <v>36</v>
      </c>
      <c r="AB12" s="333">
        <v>798</v>
      </c>
      <c r="AC12" s="268">
        <v>182</v>
      </c>
      <c r="AD12" s="268">
        <v>39</v>
      </c>
      <c r="AE12" s="268">
        <v>38</v>
      </c>
      <c r="AF12" s="268">
        <v>122</v>
      </c>
      <c r="AG12" s="268">
        <v>344</v>
      </c>
      <c r="AH12" s="333">
        <v>702</v>
      </c>
      <c r="AI12" s="268">
        <v>201</v>
      </c>
      <c r="AJ12" s="268">
        <v>134</v>
      </c>
      <c r="AK12" s="268">
        <v>35</v>
      </c>
      <c r="AL12" s="268">
        <f>563+38</f>
        <v>601</v>
      </c>
      <c r="AM12" s="333">
        <v>916</v>
      </c>
      <c r="AN12" s="268">
        <v>111</v>
      </c>
      <c r="AO12" s="268">
        <v>176</v>
      </c>
      <c r="AP12" s="268">
        <v>15</v>
      </c>
      <c r="AQ12" s="268">
        <f>470+47-16-21</f>
        <v>480</v>
      </c>
      <c r="AR12" s="333">
        <f t="shared" si="10"/>
        <v>782</v>
      </c>
      <c r="AS12" s="268">
        <v>144</v>
      </c>
      <c r="AT12" s="268">
        <v>345</v>
      </c>
      <c r="AU12" s="268">
        <v>70</v>
      </c>
      <c r="AV12" s="268">
        <v>201</v>
      </c>
      <c r="AW12" s="268">
        <f>35+99</f>
        <v>134</v>
      </c>
      <c r="AX12" s="333">
        <f t="shared" si="11"/>
        <v>894</v>
      </c>
      <c r="AY12" s="268">
        <v>752</v>
      </c>
      <c r="AZ12" s="268">
        <v>145</v>
      </c>
      <c r="BA12" s="268">
        <v>217</v>
      </c>
      <c r="BB12" s="268">
        <f>155+65</f>
        <v>220</v>
      </c>
      <c r="BC12" s="333">
        <f t="shared" si="3"/>
        <v>1334</v>
      </c>
      <c r="BD12" s="268">
        <v>55</v>
      </c>
      <c r="BE12" s="268">
        <v>171</v>
      </c>
      <c r="BF12" s="268">
        <v>102</v>
      </c>
      <c r="BG12" s="268">
        <f>377+22</f>
        <v>399</v>
      </c>
      <c r="BH12" s="333">
        <f t="shared" si="14"/>
        <v>727</v>
      </c>
      <c r="BI12" s="268">
        <v>34</v>
      </c>
      <c r="BJ12" s="268">
        <v>116</v>
      </c>
      <c r="BK12" s="268">
        <v>251</v>
      </c>
      <c r="BL12" s="268">
        <v>360</v>
      </c>
      <c r="BM12" s="268">
        <v>194</v>
      </c>
      <c r="BN12" s="347">
        <v>884</v>
      </c>
      <c r="BO12" s="253">
        <v>62</v>
      </c>
      <c r="BP12" s="253">
        <v>271</v>
      </c>
      <c r="BQ12" s="253">
        <v>138</v>
      </c>
      <c r="BR12" s="253">
        <v>317</v>
      </c>
      <c r="BS12" s="347">
        <v>736</v>
      </c>
      <c r="BT12" s="253">
        <v>16</v>
      </c>
      <c r="BU12" s="253">
        <v>169</v>
      </c>
      <c r="BV12" s="253">
        <v>427</v>
      </c>
      <c r="BW12" s="253">
        <v>191</v>
      </c>
      <c r="BX12" s="253">
        <v>83</v>
      </c>
      <c r="BY12" s="302">
        <f t="shared" si="5"/>
        <v>886</v>
      </c>
      <c r="BZ12" s="598"/>
      <c r="CA12" s="289">
        <f t="shared" si="6"/>
        <v>9795</v>
      </c>
      <c r="CB12" s="591"/>
      <c r="CC12" s="231">
        <f>+AVERAGE(R12,W12,AB12,AH12,AM12,AR12,AX12,BC12,BH12,BN12,BS12)</f>
        <v>809.90909090909088</v>
      </c>
      <c r="CD12" s="231">
        <v>886</v>
      </c>
      <c r="CE12" s="231">
        <f t="shared" si="13"/>
        <v>0</v>
      </c>
    </row>
    <row r="13" spans="2:92" ht="18.5" customHeight="1" x14ac:dyDescent="0.2">
      <c r="B13" s="604" t="s">
        <v>224</v>
      </c>
      <c r="C13" s="593">
        <v>6</v>
      </c>
      <c r="D13" s="606" t="s">
        <v>289</v>
      </c>
      <c r="E13" s="261" t="s">
        <v>0</v>
      </c>
      <c r="F13" s="261"/>
      <c r="G13" s="261"/>
      <c r="H13" s="261"/>
      <c r="I13" s="262">
        <v>25</v>
      </c>
      <c r="J13" s="262">
        <v>15</v>
      </c>
      <c r="K13" s="262">
        <v>15</v>
      </c>
      <c r="L13" s="262">
        <f>+SUM(I13:K13)</f>
        <v>55</v>
      </c>
      <c r="M13" s="597">
        <f>+L14/L13</f>
        <v>38.109090909090909</v>
      </c>
      <c r="N13" s="262">
        <v>4</v>
      </c>
      <c r="O13" s="262">
        <v>4</v>
      </c>
      <c r="P13" s="262">
        <v>8</v>
      </c>
      <c r="Q13" s="262">
        <v>4</v>
      </c>
      <c r="R13" s="332">
        <v>22</v>
      </c>
      <c r="S13" s="262">
        <v>2</v>
      </c>
      <c r="T13" s="262">
        <v>6</v>
      </c>
      <c r="U13" s="262">
        <f>5+2</f>
        <v>7</v>
      </c>
      <c r="V13" s="262">
        <f>3+3+1</f>
        <v>7</v>
      </c>
      <c r="W13" s="332">
        <v>20</v>
      </c>
      <c r="X13" s="262">
        <v>3</v>
      </c>
      <c r="Y13" s="262">
        <v>5</v>
      </c>
      <c r="Z13" s="262">
        <v>4</v>
      </c>
      <c r="AA13" s="262">
        <f>3+2+1</f>
        <v>6</v>
      </c>
      <c r="AB13" s="332">
        <v>16</v>
      </c>
      <c r="AC13" s="262">
        <v>2</v>
      </c>
      <c r="AD13" s="262">
        <f>5-1</f>
        <v>4</v>
      </c>
      <c r="AE13" s="262">
        <v>1</v>
      </c>
      <c r="AF13" s="262">
        <v>4</v>
      </c>
      <c r="AG13" s="262">
        <v>1</v>
      </c>
      <c r="AH13" s="332">
        <f>+AC13+AD13+AE13+AF13+AG13</f>
        <v>12</v>
      </c>
      <c r="AI13" s="262">
        <v>2</v>
      </c>
      <c r="AJ13" s="262">
        <v>3</v>
      </c>
      <c r="AK13" s="262">
        <v>7</v>
      </c>
      <c r="AL13" s="262">
        <v>8</v>
      </c>
      <c r="AM13" s="332">
        <f>+AI13+AJ13+AK13+AL13</f>
        <v>20</v>
      </c>
      <c r="AN13" s="262">
        <v>4</v>
      </c>
      <c r="AO13" s="262">
        <v>4</v>
      </c>
      <c r="AP13" s="262">
        <v>5</v>
      </c>
      <c r="AQ13" s="262">
        <v>5</v>
      </c>
      <c r="AR13" s="332">
        <f>+AN13+AO13+AP13+AQ13</f>
        <v>18</v>
      </c>
      <c r="AS13" s="262">
        <v>5</v>
      </c>
      <c r="AT13" s="262">
        <v>5</v>
      </c>
      <c r="AU13" s="262">
        <v>3</v>
      </c>
      <c r="AV13" s="262">
        <v>2</v>
      </c>
      <c r="AW13" s="262">
        <f>2+1</f>
        <v>3</v>
      </c>
      <c r="AX13" s="332">
        <f t="shared" ref="AX13" si="15">+AS13+AT13+AU13+AV13+AW13</f>
        <v>18</v>
      </c>
      <c r="AY13" s="262">
        <v>5</v>
      </c>
      <c r="AZ13" s="262">
        <v>2</v>
      </c>
      <c r="BA13" s="262">
        <v>4</v>
      </c>
      <c r="BB13" s="262">
        <v>7</v>
      </c>
      <c r="BC13" s="332">
        <f>+AY13+AZ13+BA13+BB13</f>
        <v>18</v>
      </c>
      <c r="BD13" s="262">
        <v>1</v>
      </c>
      <c r="BE13" s="262">
        <v>3</v>
      </c>
      <c r="BF13" s="262">
        <v>5</v>
      </c>
      <c r="BG13" s="262">
        <f>6</f>
        <v>6</v>
      </c>
      <c r="BH13" s="332">
        <f t="shared" si="14"/>
        <v>15</v>
      </c>
      <c r="BI13" s="262">
        <v>0</v>
      </c>
      <c r="BJ13" s="262">
        <v>0</v>
      </c>
      <c r="BK13" s="262">
        <v>7</v>
      </c>
      <c r="BL13" s="262">
        <v>9</v>
      </c>
      <c r="BM13" s="262">
        <f>1+2</f>
        <v>3</v>
      </c>
      <c r="BN13" s="332">
        <f>+BI13+BJ13+BK13+BL13+BM13</f>
        <v>19</v>
      </c>
      <c r="BO13" s="262">
        <v>3</v>
      </c>
      <c r="BP13" s="262">
        <v>4</v>
      </c>
      <c r="BQ13" s="262">
        <v>12</v>
      </c>
      <c r="BR13" s="262">
        <v>2</v>
      </c>
      <c r="BS13" s="332">
        <f t="shared" si="1"/>
        <v>21</v>
      </c>
      <c r="BT13" s="262">
        <v>4</v>
      </c>
      <c r="BU13" s="262">
        <v>3</v>
      </c>
      <c r="BV13" s="262">
        <v>6</v>
      </c>
      <c r="BW13" s="262">
        <v>2</v>
      </c>
      <c r="BX13" s="262">
        <v>2</v>
      </c>
      <c r="BY13" s="301">
        <f t="shared" si="5"/>
        <v>17</v>
      </c>
      <c r="BZ13" s="597">
        <f>+IFERROR(BY14/BY13,0)</f>
        <v>47.882352941176471</v>
      </c>
      <c r="CA13" s="288">
        <f t="shared" si="6"/>
        <v>216</v>
      </c>
      <c r="CB13" s="590">
        <f>+CA14/CA13</f>
        <v>41.782407407407405</v>
      </c>
      <c r="CC13" s="231"/>
      <c r="CD13" s="231">
        <v>17</v>
      </c>
      <c r="CE13" s="231">
        <f t="shared" si="13"/>
        <v>0</v>
      </c>
    </row>
    <row r="14" spans="2:92" ht="18.5" customHeight="1" thickBot="1" x14ac:dyDescent="0.25">
      <c r="B14" s="605"/>
      <c r="C14" s="594"/>
      <c r="D14" s="607"/>
      <c r="E14" s="252" t="s">
        <v>13</v>
      </c>
      <c r="F14" s="252"/>
      <c r="G14" s="252"/>
      <c r="H14" s="252"/>
      <c r="I14" s="253">
        <v>1004</v>
      </c>
      <c r="J14" s="253">
        <v>616</v>
      </c>
      <c r="K14" s="253">
        <v>476</v>
      </c>
      <c r="L14" s="253">
        <f>+SUM(I14:K14)</f>
        <v>2096</v>
      </c>
      <c r="M14" s="598"/>
      <c r="N14" s="253">
        <v>197</v>
      </c>
      <c r="O14" s="253">
        <v>83</v>
      </c>
      <c r="P14" s="253">
        <v>269</v>
      </c>
      <c r="Q14" s="253">
        <v>157</v>
      </c>
      <c r="R14" s="333">
        <v>724</v>
      </c>
      <c r="S14" s="253">
        <v>46</v>
      </c>
      <c r="T14" s="253">
        <v>261</v>
      </c>
      <c r="U14" s="253">
        <f>181+160</f>
        <v>341</v>
      </c>
      <c r="V14" s="253">
        <f>152+87+22</f>
        <v>261</v>
      </c>
      <c r="W14" s="333">
        <v>932</v>
      </c>
      <c r="X14" s="253">
        <f>96270/1000</f>
        <v>96.27</v>
      </c>
      <c r="Y14" s="253">
        <v>132</v>
      </c>
      <c r="Z14" s="253">
        <v>253.73000000000002</v>
      </c>
      <c r="AA14" s="253">
        <f>197+51+29</f>
        <v>277</v>
      </c>
      <c r="AB14" s="333">
        <f>785-5</f>
        <v>780</v>
      </c>
      <c r="AC14" s="253">
        <v>35</v>
      </c>
      <c r="AD14" s="253">
        <v>346</v>
      </c>
      <c r="AE14" s="253">
        <v>42</v>
      </c>
      <c r="AF14" s="253">
        <v>105</v>
      </c>
      <c r="AG14" s="253">
        <v>83</v>
      </c>
      <c r="AH14" s="333">
        <f>+AC14+AD14+AE14+AF14+AG14-10</f>
        <v>601</v>
      </c>
      <c r="AI14" s="253">
        <v>123</v>
      </c>
      <c r="AJ14" s="253">
        <v>121</v>
      </c>
      <c r="AK14" s="253">
        <v>171</v>
      </c>
      <c r="AL14" s="253">
        <v>233</v>
      </c>
      <c r="AM14" s="333">
        <f>667-39</f>
        <v>628</v>
      </c>
      <c r="AN14" s="253">
        <v>345</v>
      </c>
      <c r="AO14" s="253">
        <v>121</v>
      </c>
      <c r="AP14" s="253">
        <v>195</v>
      </c>
      <c r="AQ14" s="253">
        <v>125</v>
      </c>
      <c r="AR14" s="333">
        <v>797</v>
      </c>
      <c r="AS14" s="253">
        <v>219</v>
      </c>
      <c r="AT14" s="253">
        <v>123</v>
      </c>
      <c r="AU14" s="253">
        <v>241</v>
      </c>
      <c r="AV14" s="253">
        <v>47</v>
      </c>
      <c r="AW14" s="253">
        <f>127+137</f>
        <v>264</v>
      </c>
      <c r="AX14" s="333">
        <f>+AS14+AT14+AU14+AV14+AW14-67</f>
        <v>827</v>
      </c>
      <c r="AY14" s="253">
        <v>163</v>
      </c>
      <c r="AZ14" s="253">
        <v>59</v>
      </c>
      <c r="BA14" s="253">
        <v>550</v>
      </c>
      <c r="BB14" s="253">
        <v>213</v>
      </c>
      <c r="BC14" s="333">
        <f>+AY14+AZ14+BA14+BB14-36</f>
        <v>949</v>
      </c>
      <c r="BD14" s="253">
        <v>112</v>
      </c>
      <c r="BE14" s="253">
        <v>103</v>
      </c>
      <c r="BF14" s="253">
        <v>308</v>
      </c>
      <c r="BG14" s="253">
        <f>33+61-3</f>
        <v>91</v>
      </c>
      <c r="BH14" s="333">
        <f t="shared" si="14"/>
        <v>614</v>
      </c>
      <c r="BI14" s="253">
        <v>0</v>
      </c>
      <c r="BJ14" s="253">
        <v>0</v>
      </c>
      <c r="BK14" s="253">
        <v>307</v>
      </c>
      <c r="BL14" s="253">
        <v>422</v>
      </c>
      <c r="BM14" s="253">
        <f>5+52</f>
        <v>57</v>
      </c>
      <c r="BN14" s="333">
        <f>+BI14+BJ14+BK14+BL14+BM14</f>
        <v>786</v>
      </c>
      <c r="BO14" s="253">
        <v>53</v>
      </c>
      <c r="BP14" s="253">
        <v>117</v>
      </c>
      <c r="BQ14" s="253">
        <v>354</v>
      </c>
      <c r="BR14" s="253">
        <v>49</v>
      </c>
      <c r="BS14" s="333">
        <f t="shared" si="1"/>
        <v>573</v>
      </c>
      <c r="BT14" s="253">
        <v>63</v>
      </c>
      <c r="BU14" s="253">
        <v>271</v>
      </c>
      <c r="BV14" s="253">
        <v>224</v>
      </c>
      <c r="BW14" s="253">
        <v>178</v>
      </c>
      <c r="BX14" s="253">
        <v>78</v>
      </c>
      <c r="BY14" s="302">
        <f t="shared" si="5"/>
        <v>814</v>
      </c>
      <c r="BZ14" s="598"/>
      <c r="CA14" s="289">
        <f t="shared" si="6"/>
        <v>9025</v>
      </c>
      <c r="CB14" s="591"/>
      <c r="CC14" s="231">
        <f>+AVERAGE(R14,W14,AB14,AH14,AM14,AR14,AX14,BC14,BH14,BN14,BS14)</f>
        <v>746.4545454545455</v>
      </c>
      <c r="CD14" s="231">
        <v>814</v>
      </c>
      <c r="CE14" s="231">
        <f t="shared" si="13"/>
        <v>0</v>
      </c>
    </row>
    <row r="15" spans="2:92" s="234" customFormat="1" ht="18.5" customHeight="1" thickBot="1" x14ac:dyDescent="0.25">
      <c r="B15" s="250" t="s">
        <v>224</v>
      </c>
      <c r="C15" s="273">
        <v>7</v>
      </c>
      <c r="D15" s="274" t="s">
        <v>233</v>
      </c>
      <c r="E15" s="275" t="s">
        <v>13</v>
      </c>
      <c r="F15" s="275"/>
      <c r="G15" s="275"/>
      <c r="H15" s="275"/>
      <c r="I15" s="276"/>
      <c r="J15" s="276"/>
      <c r="K15" s="276"/>
      <c r="L15" s="276"/>
      <c r="M15" s="277"/>
      <c r="N15" s="276"/>
      <c r="O15" s="276"/>
      <c r="P15" s="276"/>
      <c r="Q15" s="276"/>
      <c r="R15" s="334">
        <v>477</v>
      </c>
      <c r="S15" s="276"/>
      <c r="T15" s="276"/>
      <c r="U15" s="276"/>
      <c r="V15" s="276"/>
      <c r="W15" s="334">
        <v>500</v>
      </c>
      <c r="X15" s="276"/>
      <c r="Y15" s="276"/>
      <c r="Z15" s="276"/>
      <c r="AA15" s="276"/>
      <c r="AB15" s="334">
        <v>536</v>
      </c>
      <c r="AC15" s="276"/>
      <c r="AD15" s="276"/>
      <c r="AE15" s="276"/>
      <c r="AF15" s="276"/>
      <c r="AG15" s="276"/>
      <c r="AH15" s="334">
        <v>518</v>
      </c>
      <c r="AI15" s="276"/>
      <c r="AJ15" s="276"/>
      <c r="AK15" s="276"/>
      <c r="AL15" s="276"/>
      <c r="AM15" s="334">
        <v>534</v>
      </c>
      <c r="AN15" s="276"/>
      <c r="AO15" s="276"/>
      <c r="AP15" s="276"/>
      <c r="AQ15" s="276"/>
      <c r="AR15" s="334">
        <v>614</v>
      </c>
      <c r="AS15" s="276"/>
      <c r="AT15" s="276"/>
      <c r="AU15" s="276"/>
      <c r="AV15" s="276"/>
      <c r="AW15" s="276"/>
      <c r="AX15" s="334">
        <v>526</v>
      </c>
      <c r="AY15" s="276"/>
      <c r="AZ15" s="276"/>
      <c r="BA15" s="276"/>
      <c r="BB15" s="276"/>
      <c r="BC15" s="334">
        <v>585</v>
      </c>
      <c r="BD15" s="276">
        <v>0</v>
      </c>
      <c r="BE15" s="276">
        <v>0</v>
      </c>
      <c r="BF15" s="276">
        <v>0</v>
      </c>
      <c r="BG15" s="276">
        <v>0</v>
      </c>
      <c r="BH15" s="334">
        <v>605</v>
      </c>
      <c r="BI15" s="306"/>
      <c r="BJ15" s="306"/>
      <c r="BK15" s="306"/>
      <c r="BL15" s="306"/>
      <c r="BM15" s="306"/>
      <c r="BN15" s="334">
        <v>621</v>
      </c>
      <c r="BO15" s="306"/>
      <c r="BP15" s="306"/>
      <c r="BQ15" s="306"/>
      <c r="BR15" s="306"/>
      <c r="BS15" s="334">
        <v>623</v>
      </c>
      <c r="BT15" s="306"/>
      <c r="BU15" s="306"/>
      <c r="BV15" s="306"/>
      <c r="BW15" s="306"/>
      <c r="BX15" s="306"/>
      <c r="BY15" s="342">
        <v>651</v>
      </c>
      <c r="BZ15" s="277">
        <f>+BY15</f>
        <v>651</v>
      </c>
      <c r="CA15" s="290">
        <f>+R15+W15+AB15+AH15+AM15+AR15+AX15+BC15+BH15+BN15+BS15+BY15</f>
        <v>6790</v>
      </c>
      <c r="CB15" s="278">
        <f>+CA15/12</f>
        <v>565.83333333333337</v>
      </c>
      <c r="CC15" s="231">
        <f>+AVERAGE(R15,W15,AB15,AH15,AM15,AR15,AX15,BC15,BH15,BN15,BS15)</f>
        <v>558.09090909090912</v>
      </c>
      <c r="CE15" s="235"/>
      <c r="CF15" s="235"/>
    </row>
    <row r="16" spans="2:92" ht="18.5" customHeight="1" thickBot="1" x14ac:dyDescent="0.25">
      <c r="B16" s="249" t="s">
        <v>222</v>
      </c>
      <c r="C16" s="236">
        <v>8</v>
      </c>
      <c r="D16" s="279" t="s">
        <v>37</v>
      </c>
      <c r="E16" s="280" t="s">
        <v>38</v>
      </c>
      <c r="F16" s="280"/>
      <c r="G16" s="280"/>
      <c r="H16" s="280"/>
      <c r="I16" s="281">
        <f>+IFERROR(I10/I8,0)</f>
        <v>1.0213178294573644</v>
      </c>
      <c r="J16" s="281">
        <f>+IFERROR(J10/J8,0)</f>
        <v>0.65797546012269936</v>
      </c>
      <c r="K16" s="281">
        <f>+IFERROR(K10/K8,0)</f>
        <v>1.0653008962868118</v>
      </c>
      <c r="L16" s="281">
        <f>+AVERAGE(I16:K16)</f>
        <v>0.91486472862229196</v>
      </c>
      <c r="M16" s="282">
        <f>+L16</f>
        <v>0.91486472862229196</v>
      </c>
      <c r="N16" s="283" t="s">
        <v>39</v>
      </c>
      <c r="O16" s="283">
        <f>+IFERROR(O10/O8,0)</f>
        <v>0.11405835543766578</v>
      </c>
      <c r="P16" s="283">
        <f>+IFERROR(P10/P8,0)</f>
        <v>0.36350974930362118</v>
      </c>
      <c r="Q16" s="283">
        <f>+IFERROR(Q10/Q8,0)</f>
        <v>0.44846796657381616</v>
      </c>
      <c r="R16" s="335">
        <f>+IFERROR(R10/R8,0)</f>
        <v>0.93175487465181062</v>
      </c>
      <c r="S16" s="283">
        <v>0</v>
      </c>
      <c r="T16" s="283">
        <v>0</v>
      </c>
      <c r="U16" s="283">
        <v>0</v>
      </c>
      <c r="V16" s="283">
        <v>0</v>
      </c>
      <c r="W16" s="335">
        <f>+IFERROR(W10/W8,0)</f>
        <v>1.0217640320733103</v>
      </c>
      <c r="X16" s="283">
        <v>0</v>
      </c>
      <c r="Y16" s="283">
        <v>0</v>
      </c>
      <c r="Z16" s="283">
        <v>0</v>
      </c>
      <c r="AA16" s="283">
        <v>0</v>
      </c>
      <c r="AB16" s="335">
        <f>+IFERROR(AB10/AB8,0)</f>
        <v>0.8557336621454994</v>
      </c>
      <c r="AC16" s="283">
        <v>0</v>
      </c>
      <c r="AD16" s="283">
        <v>0</v>
      </c>
      <c r="AE16" s="283">
        <v>0</v>
      </c>
      <c r="AF16" s="283">
        <v>0</v>
      </c>
      <c r="AG16" s="283">
        <v>0</v>
      </c>
      <c r="AH16" s="335">
        <f>+IFERROR(AH10/AH8,0)</f>
        <v>1.1522094926350246</v>
      </c>
      <c r="AI16" s="283">
        <v>0</v>
      </c>
      <c r="AJ16" s="283">
        <v>0</v>
      </c>
      <c r="AK16" s="283">
        <v>0</v>
      </c>
      <c r="AL16" s="283">
        <v>0</v>
      </c>
      <c r="AM16" s="335">
        <f>+IFERROR(AM10/AM8,0)</f>
        <v>0.87529976019184652</v>
      </c>
      <c r="AN16" s="283">
        <v>0</v>
      </c>
      <c r="AO16" s="283">
        <v>0</v>
      </c>
      <c r="AP16" s="283">
        <v>0</v>
      </c>
      <c r="AQ16" s="283">
        <v>0</v>
      </c>
      <c r="AR16" s="335">
        <f>+IFERROR(AR10/AR8,0)</f>
        <v>1.2945054945054946</v>
      </c>
      <c r="AS16" s="283">
        <v>0</v>
      </c>
      <c r="AT16" s="283">
        <v>0</v>
      </c>
      <c r="AU16" s="283">
        <v>0</v>
      </c>
      <c r="AV16" s="283">
        <v>0</v>
      </c>
      <c r="AW16" s="283">
        <v>0</v>
      </c>
      <c r="AX16" s="335">
        <f>+IFERROR(AX10/AX8,0)</f>
        <v>0.94409148665819564</v>
      </c>
      <c r="AY16" s="283">
        <v>0</v>
      </c>
      <c r="AZ16" s="283">
        <v>0</v>
      </c>
      <c r="BA16" s="283">
        <v>0</v>
      </c>
      <c r="BB16" s="283">
        <v>0</v>
      </c>
      <c r="BC16" s="335">
        <f>+IFERROR(BC10/BC8,0)</f>
        <v>0.85140997830802601</v>
      </c>
      <c r="BD16" s="283">
        <v>0</v>
      </c>
      <c r="BE16" s="283">
        <v>0</v>
      </c>
      <c r="BF16" s="283">
        <v>0</v>
      </c>
      <c r="BG16" s="283">
        <v>0</v>
      </c>
      <c r="BH16" s="335">
        <f>+IFERROR(BH10/BH8,0)</f>
        <v>0.85357358490566038</v>
      </c>
      <c r="BI16" s="283">
        <v>0</v>
      </c>
      <c r="BJ16" s="283">
        <v>0</v>
      </c>
      <c r="BK16" s="283">
        <v>0</v>
      </c>
      <c r="BL16" s="283">
        <v>0</v>
      </c>
      <c r="BM16" s="283">
        <v>0</v>
      </c>
      <c r="BN16" s="335">
        <f>+IFERROR(BN10/BN8,0)</f>
        <v>1.2238297872340425</v>
      </c>
      <c r="BO16" s="281">
        <v>0</v>
      </c>
      <c r="BP16" s="281">
        <v>0</v>
      </c>
      <c r="BQ16" s="281">
        <v>0</v>
      </c>
      <c r="BR16" s="281">
        <v>0</v>
      </c>
      <c r="BS16" s="335">
        <f>+IFERROR(BS10/BS8,0)</f>
        <v>1.2438271604938271</v>
      </c>
      <c r="BT16" s="281">
        <f>+IFERROR(BT10/BT8,0)</f>
        <v>0</v>
      </c>
      <c r="BU16" s="281">
        <v>0</v>
      </c>
      <c r="BV16" s="281">
        <v>0</v>
      </c>
      <c r="BW16" s="281">
        <v>0</v>
      </c>
      <c r="BX16" s="281">
        <v>0</v>
      </c>
      <c r="BY16" s="303">
        <f>+IFERROR(BY10/BY8,0)</f>
        <v>1.4444444444444444</v>
      </c>
      <c r="BZ16" s="282">
        <f>+BY16</f>
        <v>1.4444444444444444</v>
      </c>
      <c r="CA16" s="291">
        <f>+AVERAGE(R16,W16,AB16,AH16,AM16,AR16,AX16,BC16,BH16,BN16,BS16,BY16)</f>
        <v>1.0577036465205985</v>
      </c>
      <c r="CB16" s="284">
        <f>+CA16</f>
        <v>1.0577036465205985</v>
      </c>
      <c r="CD16" s="237"/>
    </row>
    <row r="17" spans="2:91" ht="18.5" customHeight="1" thickBot="1" x14ac:dyDescent="0.25">
      <c r="B17" s="249" t="s">
        <v>222</v>
      </c>
      <c r="C17" s="236">
        <v>9</v>
      </c>
      <c r="D17" s="279" t="s">
        <v>40</v>
      </c>
      <c r="E17" s="280" t="s">
        <v>38</v>
      </c>
      <c r="F17" s="280"/>
      <c r="G17" s="280"/>
      <c r="H17" s="280"/>
      <c r="I17" s="281">
        <v>0.73</v>
      </c>
      <c r="J17" s="281">
        <v>0.67</v>
      </c>
      <c r="K17" s="281">
        <v>0.76</v>
      </c>
      <c r="L17" s="281">
        <f>+AVERAGE(I17:K17)</f>
        <v>0.72000000000000008</v>
      </c>
      <c r="M17" s="282">
        <f>+L17</f>
        <v>0.72000000000000008</v>
      </c>
      <c r="N17" s="281" t="s">
        <v>39</v>
      </c>
      <c r="O17" s="281" t="s">
        <v>39</v>
      </c>
      <c r="P17" s="281" t="s">
        <v>39</v>
      </c>
      <c r="Q17" s="281" t="s">
        <v>39</v>
      </c>
      <c r="R17" s="336">
        <v>0.81</v>
      </c>
      <c r="S17" s="281">
        <v>0</v>
      </c>
      <c r="T17" s="281">
        <v>0</v>
      </c>
      <c r="U17" s="281">
        <v>0</v>
      </c>
      <c r="V17" s="281">
        <v>0</v>
      </c>
      <c r="W17" s="336">
        <v>0.83</v>
      </c>
      <c r="X17" s="281">
        <v>0</v>
      </c>
      <c r="Y17" s="281">
        <v>0</v>
      </c>
      <c r="Z17" s="281">
        <v>0</v>
      </c>
      <c r="AA17" s="281">
        <v>0</v>
      </c>
      <c r="AB17" s="336">
        <v>0.7</v>
      </c>
      <c r="AC17" s="281">
        <v>0</v>
      </c>
      <c r="AD17" s="281">
        <v>0</v>
      </c>
      <c r="AE17" s="281">
        <v>0</v>
      </c>
      <c r="AF17" s="281">
        <v>0</v>
      </c>
      <c r="AG17" s="281">
        <v>0</v>
      </c>
      <c r="AH17" s="336">
        <v>0.69</v>
      </c>
      <c r="AI17" s="281">
        <v>0</v>
      </c>
      <c r="AJ17" s="281">
        <v>0</v>
      </c>
      <c r="AK17" s="281">
        <v>0</v>
      </c>
      <c r="AL17" s="281">
        <v>0</v>
      </c>
      <c r="AM17" s="336">
        <v>0.77</v>
      </c>
      <c r="AN17" s="281">
        <v>0</v>
      </c>
      <c r="AO17" s="281">
        <v>0</v>
      </c>
      <c r="AP17" s="281">
        <v>0</v>
      </c>
      <c r="AQ17" s="281">
        <v>0</v>
      </c>
      <c r="AR17" s="336">
        <v>0.92</v>
      </c>
      <c r="AS17" s="281">
        <v>0</v>
      </c>
      <c r="AT17" s="281">
        <v>0</v>
      </c>
      <c r="AU17" s="281">
        <v>0</v>
      </c>
      <c r="AV17" s="281">
        <v>0</v>
      </c>
      <c r="AW17" s="281">
        <v>0</v>
      </c>
      <c r="AX17" s="336">
        <v>0.65</v>
      </c>
      <c r="AY17" s="281">
        <v>0</v>
      </c>
      <c r="AZ17" s="281">
        <v>0</v>
      </c>
      <c r="BA17" s="281">
        <v>0</v>
      </c>
      <c r="BB17" s="281">
        <v>0</v>
      </c>
      <c r="BC17" s="336">
        <v>0.54</v>
      </c>
      <c r="BD17" s="281">
        <v>0</v>
      </c>
      <c r="BE17" s="281">
        <v>0</v>
      </c>
      <c r="BF17" s="281">
        <v>0</v>
      </c>
      <c r="BG17" s="281">
        <v>0</v>
      </c>
      <c r="BH17" s="336">
        <v>0.62</v>
      </c>
      <c r="BI17" s="281">
        <v>0</v>
      </c>
      <c r="BJ17" s="281">
        <v>0</v>
      </c>
      <c r="BK17" s="281">
        <v>0</v>
      </c>
      <c r="BL17" s="281">
        <v>0</v>
      </c>
      <c r="BM17" s="281">
        <v>0</v>
      </c>
      <c r="BN17" s="336">
        <v>0.87</v>
      </c>
      <c r="BO17" s="285">
        <v>0</v>
      </c>
      <c r="BP17" s="285">
        <v>0</v>
      </c>
      <c r="BQ17" s="285">
        <v>0</v>
      </c>
      <c r="BR17" s="285">
        <v>0</v>
      </c>
      <c r="BS17" s="336">
        <v>0.81</v>
      </c>
      <c r="BT17" s="285">
        <v>0</v>
      </c>
      <c r="BU17" s="285">
        <v>0</v>
      </c>
      <c r="BV17" s="285">
        <v>0</v>
      </c>
      <c r="BW17" s="285">
        <v>0</v>
      </c>
      <c r="BX17" s="285">
        <v>0</v>
      </c>
      <c r="BY17" s="304">
        <v>0.79</v>
      </c>
      <c r="BZ17" s="282">
        <f>+BY17</f>
        <v>0.79</v>
      </c>
      <c r="CA17" s="291">
        <f>+AVERAGE(R17,W17,AB17,AH17,AM17,AR17,AX17,BC17,BH17,BN17,BS17,BY17)</f>
        <v>0.75</v>
      </c>
      <c r="CB17" s="284">
        <f>+CA17</f>
        <v>0.75</v>
      </c>
    </row>
    <row r="18" spans="2:91" ht="18.5" customHeight="1" x14ac:dyDescent="0.2">
      <c r="B18" s="604" t="s">
        <v>222</v>
      </c>
      <c r="C18" s="593">
        <v>10</v>
      </c>
      <c r="D18" s="606" t="s">
        <v>290</v>
      </c>
      <c r="E18" s="272" t="s">
        <v>0</v>
      </c>
      <c r="F18" s="272"/>
      <c r="G18" s="272"/>
      <c r="H18" s="272"/>
      <c r="I18" s="262"/>
      <c r="J18" s="262"/>
      <c r="K18" s="262"/>
      <c r="L18" s="262"/>
      <c r="M18" s="263"/>
      <c r="N18" s="267"/>
      <c r="O18" s="267"/>
      <c r="P18" s="267"/>
      <c r="Q18" s="267"/>
      <c r="R18" s="332">
        <f>+R20+R22</f>
        <v>1</v>
      </c>
      <c r="S18" s="267"/>
      <c r="T18" s="267"/>
      <c r="U18" s="267"/>
      <c r="V18" s="267"/>
      <c r="W18" s="332">
        <f>+W20+W22</f>
        <v>24</v>
      </c>
      <c r="X18" s="267"/>
      <c r="Y18" s="267"/>
      <c r="Z18" s="267"/>
      <c r="AA18" s="267"/>
      <c r="AB18" s="332">
        <f>+AB20+AB22</f>
        <v>11</v>
      </c>
      <c r="AC18" s="267"/>
      <c r="AD18" s="267"/>
      <c r="AE18" s="267"/>
      <c r="AF18" s="267"/>
      <c r="AG18" s="267"/>
      <c r="AH18" s="332">
        <f>+AH20+AH22</f>
        <v>6</v>
      </c>
      <c r="AI18" s="267"/>
      <c r="AJ18" s="267"/>
      <c r="AK18" s="267"/>
      <c r="AL18" s="267"/>
      <c r="AM18" s="332">
        <f>+AM20+AM22</f>
        <v>6</v>
      </c>
      <c r="AN18" s="267"/>
      <c r="AO18" s="267"/>
      <c r="AP18" s="267"/>
      <c r="AQ18" s="267"/>
      <c r="AR18" s="332">
        <f>+AR20+AR22</f>
        <v>7</v>
      </c>
      <c r="AS18" s="267"/>
      <c r="AT18" s="267"/>
      <c r="AU18" s="267"/>
      <c r="AV18" s="267"/>
      <c r="AW18" s="267"/>
      <c r="AX18" s="332">
        <f>+AX20+AX22</f>
        <v>5</v>
      </c>
      <c r="AY18" s="267"/>
      <c r="AZ18" s="267"/>
      <c r="BA18" s="267"/>
      <c r="BB18" s="267"/>
      <c r="BC18" s="332">
        <f>+BC20+BC22</f>
        <v>3</v>
      </c>
      <c r="BD18" s="267"/>
      <c r="BE18" s="267"/>
      <c r="BF18" s="267"/>
      <c r="BG18" s="286"/>
      <c r="BH18" s="332">
        <f>+BH20+BH22</f>
        <v>6</v>
      </c>
      <c r="BI18" s="307"/>
      <c r="BJ18" s="307"/>
      <c r="BK18" s="307"/>
      <c r="BL18" s="307"/>
      <c r="BM18" s="307"/>
      <c r="BN18" s="332">
        <f t="shared" ref="BN18:BT19" si="16">+BN20+BN22</f>
        <v>16</v>
      </c>
      <c r="BO18" s="262">
        <f t="shared" si="16"/>
        <v>15</v>
      </c>
      <c r="BP18" s="262">
        <f t="shared" si="16"/>
        <v>13</v>
      </c>
      <c r="BQ18" s="262">
        <f t="shared" si="16"/>
        <v>9</v>
      </c>
      <c r="BR18" s="262">
        <f t="shared" si="16"/>
        <v>7</v>
      </c>
      <c r="BS18" s="332">
        <f t="shared" si="16"/>
        <v>7</v>
      </c>
      <c r="BT18" s="262">
        <f t="shared" si="16"/>
        <v>18</v>
      </c>
      <c r="BU18" s="262">
        <f t="shared" ref="BU18:BY18" si="17">+BU20+BU22</f>
        <v>15</v>
      </c>
      <c r="BV18" s="262">
        <f t="shared" ref="BV18:BW18" si="18">+BV20+BV22</f>
        <v>12</v>
      </c>
      <c r="BW18" s="262">
        <f t="shared" si="18"/>
        <v>12</v>
      </c>
      <c r="BX18" s="262">
        <f t="shared" ref="BX18" si="19">+BX20+BX22</f>
        <v>9</v>
      </c>
      <c r="BY18" s="301">
        <f t="shared" si="17"/>
        <v>9</v>
      </c>
      <c r="BZ18" s="597">
        <f>+IFERROR(BY19/BY18,0)</f>
        <v>27.222222222222221</v>
      </c>
      <c r="CA18" s="288">
        <f t="shared" ref="CA18:CA27" si="20">+BY18</f>
        <v>9</v>
      </c>
      <c r="CB18" s="590">
        <f>+IFERROR(CA19/CA18,0)</f>
        <v>27.222222222222221</v>
      </c>
      <c r="CC18" s="231"/>
      <c r="CD18" s="231"/>
      <c r="CE18" s="231"/>
    </row>
    <row r="19" spans="2:91" ht="18.5" customHeight="1" thickBot="1" x14ac:dyDescent="0.25">
      <c r="B19" s="605"/>
      <c r="C19" s="594"/>
      <c r="D19" s="607"/>
      <c r="E19" s="251" t="s">
        <v>13</v>
      </c>
      <c r="F19" s="251"/>
      <c r="G19" s="251"/>
      <c r="H19" s="251"/>
      <c r="I19" s="253"/>
      <c r="J19" s="253"/>
      <c r="K19" s="253"/>
      <c r="L19" s="253"/>
      <c r="M19" s="254"/>
      <c r="N19" s="268"/>
      <c r="O19" s="268"/>
      <c r="P19" s="268"/>
      <c r="Q19" s="268"/>
      <c r="R19" s="333">
        <f>+R21+R23</f>
        <v>35</v>
      </c>
      <c r="S19" s="268"/>
      <c r="T19" s="268"/>
      <c r="U19" s="268"/>
      <c r="V19" s="268"/>
      <c r="W19" s="333">
        <f>+W21+W23</f>
        <v>990</v>
      </c>
      <c r="X19" s="268"/>
      <c r="Y19" s="268"/>
      <c r="Z19" s="268"/>
      <c r="AA19" s="268"/>
      <c r="AB19" s="333">
        <f>+AB21+AB23</f>
        <v>351</v>
      </c>
      <c r="AC19" s="268"/>
      <c r="AD19" s="268"/>
      <c r="AE19" s="268"/>
      <c r="AF19" s="268"/>
      <c r="AG19" s="268"/>
      <c r="AH19" s="333">
        <f>+AH21+AH23</f>
        <v>161</v>
      </c>
      <c r="AI19" s="268"/>
      <c r="AJ19" s="268"/>
      <c r="AK19" s="268"/>
      <c r="AL19" s="268"/>
      <c r="AM19" s="333">
        <f>+AM21+AM23</f>
        <v>227</v>
      </c>
      <c r="AN19" s="268"/>
      <c r="AO19" s="268"/>
      <c r="AP19" s="268"/>
      <c r="AQ19" s="268"/>
      <c r="AR19" s="333">
        <f>+AR21+AR23</f>
        <v>823</v>
      </c>
      <c r="AS19" s="268"/>
      <c r="AT19" s="268"/>
      <c r="AU19" s="268"/>
      <c r="AV19" s="268"/>
      <c r="AW19" s="268"/>
      <c r="AX19" s="333">
        <f>+AX21+AX23</f>
        <v>644</v>
      </c>
      <c r="AY19" s="268"/>
      <c r="AZ19" s="268"/>
      <c r="BA19" s="268"/>
      <c r="BB19" s="268"/>
      <c r="BC19" s="333">
        <f>+BC21+BC23</f>
        <v>79</v>
      </c>
      <c r="BD19" s="268"/>
      <c r="BE19" s="268"/>
      <c r="BF19" s="268"/>
      <c r="BG19" s="287"/>
      <c r="BH19" s="333">
        <f>+BH21+BH23</f>
        <v>132</v>
      </c>
      <c r="BI19" s="308"/>
      <c r="BJ19" s="308"/>
      <c r="BK19" s="308"/>
      <c r="BL19" s="308"/>
      <c r="BM19" s="308"/>
      <c r="BN19" s="333">
        <f t="shared" si="16"/>
        <v>591</v>
      </c>
      <c r="BO19" s="253">
        <f t="shared" si="16"/>
        <v>570</v>
      </c>
      <c r="BP19" s="253">
        <f t="shared" si="16"/>
        <v>327</v>
      </c>
      <c r="BQ19" s="253">
        <f t="shared" si="16"/>
        <v>262</v>
      </c>
      <c r="BR19" s="253">
        <f t="shared" si="16"/>
        <v>179</v>
      </c>
      <c r="BS19" s="333">
        <f t="shared" si="16"/>
        <v>179</v>
      </c>
      <c r="BT19" s="253">
        <f t="shared" si="16"/>
        <v>640</v>
      </c>
      <c r="BU19" s="253">
        <f t="shared" ref="BU19:BY19" si="21">+BU21+BU23</f>
        <v>594</v>
      </c>
      <c r="BV19" s="253">
        <f t="shared" ref="BV19:BW19" si="22">+BV21+BV23</f>
        <v>328</v>
      </c>
      <c r="BW19" s="253">
        <f t="shared" si="22"/>
        <v>328</v>
      </c>
      <c r="BX19" s="253">
        <f t="shared" ref="BX19" si="23">+BX21+BX23</f>
        <v>245</v>
      </c>
      <c r="BY19" s="302">
        <f t="shared" si="21"/>
        <v>245</v>
      </c>
      <c r="BZ19" s="598"/>
      <c r="CA19" s="289">
        <f t="shared" si="20"/>
        <v>245</v>
      </c>
      <c r="CB19" s="591"/>
      <c r="CC19" s="231"/>
      <c r="CD19" s="231"/>
      <c r="CE19" s="231"/>
    </row>
    <row r="20" spans="2:91" ht="18.5" hidden="1" customHeight="1" outlineLevel="1" x14ac:dyDescent="0.2">
      <c r="B20" s="621" t="s">
        <v>222</v>
      </c>
      <c r="C20" s="623" t="s">
        <v>291</v>
      </c>
      <c r="D20" s="625" t="s">
        <v>292</v>
      </c>
      <c r="E20" s="293" t="s">
        <v>0</v>
      </c>
      <c r="F20" s="293"/>
      <c r="G20" s="293"/>
      <c r="H20" s="293"/>
      <c r="I20" s="294"/>
      <c r="J20" s="294"/>
      <c r="K20" s="294"/>
      <c r="L20" s="294"/>
      <c r="M20" s="600">
        <v>0</v>
      </c>
      <c r="N20" s="294">
        <v>4</v>
      </c>
      <c r="O20" s="294">
        <v>2</v>
      </c>
      <c r="P20" s="294">
        <v>2</v>
      </c>
      <c r="Q20" s="294">
        <v>0</v>
      </c>
      <c r="R20" s="294">
        <f>+Q20</f>
        <v>0</v>
      </c>
      <c r="S20" s="294">
        <v>10</v>
      </c>
      <c r="T20" s="294">
        <v>7</v>
      </c>
      <c r="U20" s="294">
        <v>7</v>
      </c>
      <c r="V20" s="294">
        <v>17</v>
      </c>
      <c r="W20" s="294">
        <f>+V20</f>
        <v>17</v>
      </c>
      <c r="X20" s="294">
        <v>14</v>
      </c>
      <c r="Y20" s="294">
        <v>12</v>
      </c>
      <c r="Z20" s="294">
        <v>6</v>
      </c>
      <c r="AA20" s="294">
        <v>6</v>
      </c>
      <c r="AB20" s="294">
        <f>+AA20</f>
        <v>6</v>
      </c>
      <c r="AC20" s="294">
        <v>11</v>
      </c>
      <c r="AD20" s="294">
        <v>8</v>
      </c>
      <c r="AE20" s="294">
        <v>9</v>
      </c>
      <c r="AF20" s="294">
        <v>5</v>
      </c>
      <c r="AG20" s="294">
        <v>2</v>
      </c>
      <c r="AH20" s="294">
        <f>+AG20</f>
        <v>2</v>
      </c>
      <c r="AI20" s="294">
        <v>6</v>
      </c>
      <c r="AJ20" s="294">
        <v>5</v>
      </c>
      <c r="AK20" s="294">
        <v>5</v>
      </c>
      <c r="AL20" s="294">
        <v>4</v>
      </c>
      <c r="AM20" s="294">
        <f>+AL20</f>
        <v>4</v>
      </c>
      <c r="AN20" s="294">
        <v>10</v>
      </c>
      <c r="AO20" s="294">
        <v>8</v>
      </c>
      <c r="AP20" s="294">
        <v>6</v>
      </c>
      <c r="AQ20" s="294">
        <v>3</v>
      </c>
      <c r="AR20" s="294">
        <f>+AQ20</f>
        <v>3</v>
      </c>
      <c r="AS20" s="294">
        <v>10</v>
      </c>
      <c r="AT20" s="294">
        <v>6</v>
      </c>
      <c r="AU20" s="294">
        <v>4</v>
      </c>
      <c r="AV20" s="294">
        <v>2</v>
      </c>
      <c r="AW20" s="294">
        <v>2</v>
      </c>
      <c r="AX20" s="294">
        <f>+AW20</f>
        <v>2</v>
      </c>
      <c r="AY20" s="294">
        <v>5</v>
      </c>
      <c r="AZ20" s="294">
        <v>3</v>
      </c>
      <c r="BA20" s="294">
        <v>3</v>
      </c>
      <c r="BB20" s="294">
        <v>2</v>
      </c>
      <c r="BC20" s="294">
        <f>+BB20</f>
        <v>2</v>
      </c>
      <c r="BD20" s="294">
        <v>7</v>
      </c>
      <c r="BE20" s="294">
        <v>7</v>
      </c>
      <c r="BF20" s="294">
        <v>5</v>
      </c>
      <c r="BG20" s="295">
        <v>3</v>
      </c>
      <c r="BH20" s="294">
        <f>+BG20</f>
        <v>3</v>
      </c>
      <c r="BI20" s="294">
        <v>7</v>
      </c>
      <c r="BJ20" s="294">
        <v>10</v>
      </c>
      <c r="BK20" s="294">
        <v>8</v>
      </c>
      <c r="BL20" s="294">
        <v>6</v>
      </c>
      <c r="BM20" s="294">
        <v>10</v>
      </c>
      <c r="BN20" s="295">
        <f t="shared" ref="BN20:BN27" si="24">+BM20</f>
        <v>10</v>
      </c>
      <c r="BO20" s="295">
        <v>9</v>
      </c>
      <c r="BP20" s="295">
        <v>7</v>
      </c>
      <c r="BQ20" s="295">
        <v>6</v>
      </c>
      <c r="BR20" s="295">
        <v>3</v>
      </c>
      <c r="BS20" s="295">
        <f t="shared" ref="BS20:BS27" si="25">+BR20</f>
        <v>3</v>
      </c>
      <c r="BT20" s="295">
        <v>11</v>
      </c>
      <c r="BU20" s="295">
        <v>8</v>
      </c>
      <c r="BV20" s="295">
        <v>5</v>
      </c>
      <c r="BW20" s="295">
        <v>5</v>
      </c>
      <c r="BX20" s="295">
        <v>3</v>
      </c>
      <c r="BY20" s="295">
        <f>+BX20</f>
        <v>3</v>
      </c>
      <c r="BZ20" s="602">
        <f>+IFERROR(BY21/BY20,0)</f>
        <v>28.666666666666668</v>
      </c>
      <c r="CA20" s="295">
        <f t="shared" si="20"/>
        <v>3</v>
      </c>
      <c r="CB20" s="608">
        <f>+CA21/CA20</f>
        <v>28.666666666666668</v>
      </c>
      <c r="CC20" s="231"/>
    </row>
    <row r="21" spans="2:91" ht="18.5" hidden="1" customHeight="1" outlineLevel="1" x14ac:dyDescent="0.2">
      <c r="B21" s="622"/>
      <c r="C21" s="624"/>
      <c r="D21" s="626"/>
      <c r="E21" s="242" t="s">
        <v>13</v>
      </c>
      <c r="F21" s="242"/>
      <c r="G21" s="242"/>
      <c r="H21" s="242"/>
      <c r="I21" s="243"/>
      <c r="J21" s="243"/>
      <c r="K21" s="243"/>
      <c r="L21" s="243"/>
      <c r="M21" s="601"/>
      <c r="N21" s="243">
        <v>192</v>
      </c>
      <c r="O21" s="243">
        <v>43</v>
      </c>
      <c r="P21" s="243">
        <v>43</v>
      </c>
      <c r="Q21" s="243">
        <v>0</v>
      </c>
      <c r="R21" s="243">
        <f>+Q21</f>
        <v>0</v>
      </c>
      <c r="S21" s="243">
        <v>175</v>
      </c>
      <c r="T21" s="243">
        <v>158</v>
      </c>
      <c r="U21" s="243">
        <v>158</v>
      </c>
      <c r="V21" s="243">
        <v>831</v>
      </c>
      <c r="W21" s="243">
        <f>+V21</f>
        <v>831</v>
      </c>
      <c r="X21" s="243">
        <v>653</v>
      </c>
      <c r="Y21" s="243">
        <v>568</v>
      </c>
      <c r="Z21" s="243">
        <v>250</v>
      </c>
      <c r="AA21" s="243">
        <v>250</v>
      </c>
      <c r="AB21" s="243">
        <f>+AA21</f>
        <v>250</v>
      </c>
      <c r="AC21" s="243">
        <v>478</v>
      </c>
      <c r="AD21" s="243">
        <v>430</v>
      </c>
      <c r="AE21" s="243">
        <v>440</v>
      </c>
      <c r="AF21" s="243">
        <v>285</v>
      </c>
      <c r="AG21" s="243">
        <v>73</v>
      </c>
      <c r="AH21" s="243">
        <f>+AG21</f>
        <v>73</v>
      </c>
      <c r="AI21" s="243">
        <v>330</v>
      </c>
      <c r="AJ21" s="243">
        <v>259</v>
      </c>
      <c r="AK21" s="243">
        <v>259</v>
      </c>
      <c r="AL21" s="243">
        <v>183</v>
      </c>
      <c r="AM21" s="243">
        <f>+AL21</f>
        <v>183</v>
      </c>
      <c r="AN21" s="243">
        <v>1037</v>
      </c>
      <c r="AO21" s="243">
        <v>953</v>
      </c>
      <c r="AP21" s="243">
        <v>834</v>
      </c>
      <c r="AQ21" s="243">
        <v>681</v>
      </c>
      <c r="AR21" s="243">
        <f>+AQ21</f>
        <v>681</v>
      </c>
      <c r="AS21" s="243">
        <v>801</v>
      </c>
      <c r="AT21" s="243">
        <v>692</v>
      </c>
      <c r="AU21" s="243">
        <v>633</v>
      </c>
      <c r="AV21" s="243">
        <v>568</v>
      </c>
      <c r="AW21" s="243">
        <v>568</v>
      </c>
      <c r="AX21" s="243">
        <f>+AW21</f>
        <v>568</v>
      </c>
      <c r="AY21" s="243">
        <v>254</v>
      </c>
      <c r="AZ21" s="243">
        <v>84</v>
      </c>
      <c r="BA21" s="243">
        <v>84</v>
      </c>
      <c r="BB21" s="243">
        <v>50</v>
      </c>
      <c r="BC21" s="243">
        <f>+BB21</f>
        <v>50</v>
      </c>
      <c r="BD21" s="243">
        <v>351</v>
      </c>
      <c r="BE21" s="243">
        <v>478</v>
      </c>
      <c r="BF21" s="243">
        <v>258</v>
      </c>
      <c r="BG21" s="244">
        <v>53</v>
      </c>
      <c r="BH21" s="243">
        <f>+BG21</f>
        <v>53</v>
      </c>
      <c r="BI21" s="243">
        <v>334</v>
      </c>
      <c r="BJ21" s="243">
        <v>419</v>
      </c>
      <c r="BK21" s="243">
        <v>360</v>
      </c>
      <c r="BL21" s="243">
        <v>128</v>
      </c>
      <c r="BM21" s="243">
        <v>486</v>
      </c>
      <c r="BN21" s="244">
        <f t="shared" si="24"/>
        <v>486</v>
      </c>
      <c r="BO21" s="244">
        <v>465</v>
      </c>
      <c r="BP21" s="244">
        <v>222</v>
      </c>
      <c r="BQ21" s="244">
        <v>201</v>
      </c>
      <c r="BR21" s="244">
        <v>61</v>
      </c>
      <c r="BS21" s="244">
        <f t="shared" si="25"/>
        <v>61</v>
      </c>
      <c r="BT21" s="244">
        <v>460</v>
      </c>
      <c r="BU21" s="244">
        <v>414</v>
      </c>
      <c r="BV21" s="244">
        <v>148</v>
      </c>
      <c r="BW21" s="244">
        <v>148</v>
      </c>
      <c r="BX21" s="244">
        <v>86</v>
      </c>
      <c r="BY21" s="244">
        <f t="shared" ref="BY21:BY23" si="26">+BX21</f>
        <v>86</v>
      </c>
      <c r="BZ21" s="603"/>
      <c r="CA21" s="244">
        <f t="shared" si="20"/>
        <v>86</v>
      </c>
      <c r="CB21" s="609"/>
      <c r="CC21" s="231"/>
      <c r="CM21" s="238"/>
    </row>
    <row r="22" spans="2:91" ht="18.5" hidden="1" customHeight="1" outlineLevel="1" x14ac:dyDescent="0.2">
      <c r="B22" s="610" t="s">
        <v>222</v>
      </c>
      <c r="C22" s="611" t="s">
        <v>293</v>
      </c>
      <c r="D22" s="613" t="s">
        <v>231</v>
      </c>
      <c r="E22" s="245" t="s">
        <v>0</v>
      </c>
      <c r="F22" s="245"/>
      <c r="G22" s="245"/>
      <c r="H22" s="245"/>
      <c r="I22" s="246"/>
      <c r="J22" s="246">
        <v>1</v>
      </c>
      <c r="K22" s="246">
        <v>3</v>
      </c>
      <c r="L22" s="246">
        <f t="shared" si="2"/>
        <v>4</v>
      </c>
      <c r="M22" s="615">
        <f>+L23/L22</f>
        <v>23.5</v>
      </c>
      <c r="N22" s="246">
        <v>2</v>
      </c>
      <c r="O22" s="246">
        <v>2</v>
      </c>
      <c r="P22" s="246">
        <v>1</v>
      </c>
      <c r="Q22" s="246">
        <v>1</v>
      </c>
      <c r="R22" s="246">
        <f>+Q22</f>
        <v>1</v>
      </c>
      <c r="S22" s="246">
        <v>1</v>
      </c>
      <c r="T22" s="246">
        <v>2</v>
      </c>
      <c r="U22" s="246">
        <v>1</v>
      </c>
      <c r="V22" s="246">
        <f>1+6</f>
        <v>7</v>
      </c>
      <c r="W22" s="246">
        <f>+V22</f>
        <v>7</v>
      </c>
      <c r="X22" s="246">
        <f>1+5</f>
        <v>6</v>
      </c>
      <c r="Y22" s="246">
        <v>5</v>
      </c>
      <c r="Z22" s="246">
        <v>5</v>
      </c>
      <c r="AA22" s="246">
        <v>5</v>
      </c>
      <c r="AB22" s="246">
        <f>+AA22</f>
        <v>5</v>
      </c>
      <c r="AC22" s="246">
        <v>10</v>
      </c>
      <c r="AD22" s="246">
        <v>9</v>
      </c>
      <c r="AE22" s="246">
        <v>5</v>
      </c>
      <c r="AF22" s="246">
        <v>5</v>
      </c>
      <c r="AG22" s="246">
        <v>4</v>
      </c>
      <c r="AH22" s="246">
        <f>+AG22</f>
        <v>4</v>
      </c>
      <c r="AI22" s="246">
        <v>3</v>
      </c>
      <c r="AJ22" s="246">
        <v>2</v>
      </c>
      <c r="AK22" s="246">
        <v>2</v>
      </c>
      <c r="AL22" s="246">
        <v>2</v>
      </c>
      <c r="AM22" s="246">
        <f>+AL22</f>
        <v>2</v>
      </c>
      <c r="AN22" s="246">
        <v>6</v>
      </c>
      <c r="AO22" s="246">
        <v>4</v>
      </c>
      <c r="AP22" s="246">
        <v>4</v>
      </c>
      <c r="AQ22" s="246">
        <v>4</v>
      </c>
      <c r="AR22" s="246">
        <f>+AQ22</f>
        <v>4</v>
      </c>
      <c r="AS22" s="246">
        <v>5</v>
      </c>
      <c r="AT22" s="246">
        <v>4</v>
      </c>
      <c r="AU22" s="246">
        <v>4</v>
      </c>
      <c r="AV22" s="246">
        <v>3</v>
      </c>
      <c r="AW22" s="246">
        <v>3</v>
      </c>
      <c r="AX22" s="246">
        <f>+AW22</f>
        <v>3</v>
      </c>
      <c r="AY22" s="246">
        <v>4</v>
      </c>
      <c r="AZ22" s="246">
        <v>1</v>
      </c>
      <c r="BA22" s="246">
        <v>1</v>
      </c>
      <c r="BB22" s="246">
        <v>1</v>
      </c>
      <c r="BC22" s="246">
        <f>+BB22</f>
        <v>1</v>
      </c>
      <c r="BD22" s="246">
        <v>3</v>
      </c>
      <c r="BE22" s="246">
        <v>3</v>
      </c>
      <c r="BF22" s="246">
        <v>3</v>
      </c>
      <c r="BG22" s="247">
        <v>3</v>
      </c>
      <c r="BH22" s="246">
        <f>+BG22</f>
        <v>3</v>
      </c>
      <c r="BI22" s="246">
        <v>6</v>
      </c>
      <c r="BJ22" s="246">
        <v>4</v>
      </c>
      <c r="BK22" s="246">
        <v>4</v>
      </c>
      <c r="BL22" s="246">
        <v>4</v>
      </c>
      <c r="BM22" s="246">
        <v>6</v>
      </c>
      <c r="BN22" s="247">
        <f t="shared" si="24"/>
        <v>6</v>
      </c>
      <c r="BO22" s="247">
        <v>6</v>
      </c>
      <c r="BP22" s="247">
        <v>6</v>
      </c>
      <c r="BQ22" s="247">
        <v>3</v>
      </c>
      <c r="BR22" s="247">
        <v>4</v>
      </c>
      <c r="BS22" s="247">
        <f t="shared" si="25"/>
        <v>4</v>
      </c>
      <c r="BT22" s="247">
        <v>7</v>
      </c>
      <c r="BU22" s="247">
        <v>7</v>
      </c>
      <c r="BV22" s="247">
        <v>7</v>
      </c>
      <c r="BW22" s="247">
        <v>7</v>
      </c>
      <c r="BX22" s="247">
        <v>6</v>
      </c>
      <c r="BY22" s="247">
        <f t="shared" si="26"/>
        <v>6</v>
      </c>
      <c r="BZ22" s="617">
        <f>+IFERROR(BY23/BY22,0)</f>
        <v>26.5</v>
      </c>
      <c r="CA22" s="247">
        <f t="shared" si="20"/>
        <v>6</v>
      </c>
      <c r="CB22" s="619">
        <f>+CA23/CA22</f>
        <v>26.5</v>
      </c>
      <c r="CC22" s="231"/>
    </row>
    <row r="23" spans="2:91" ht="18.5" hidden="1" customHeight="1" outlineLevel="1" thickBot="1" x14ac:dyDescent="0.25">
      <c r="B23" s="610"/>
      <c r="C23" s="612"/>
      <c r="D23" s="614"/>
      <c r="E23" s="296" t="s">
        <v>13</v>
      </c>
      <c r="F23" s="296"/>
      <c r="G23" s="296"/>
      <c r="H23" s="296"/>
      <c r="I23" s="297"/>
      <c r="J23" s="297">
        <v>35</v>
      </c>
      <c r="K23" s="297">
        <v>59</v>
      </c>
      <c r="L23" s="297">
        <f t="shared" si="2"/>
        <v>94</v>
      </c>
      <c r="M23" s="616"/>
      <c r="N23" s="297">
        <v>70</v>
      </c>
      <c r="O23" s="297">
        <v>70</v>
      </c>
      <c r="P23" s="297">
        <v>35</v>
      </c>
      <c r="Q23" s="297">
        <v>35</v>
      </c>
      <c r="R23" s="297">
        <f>+Q23</f>
        <v>35</v>
      </c>
      <c r="S23" s="297">
        <v>35</v>
      </c>
      <c r="T23" s="297">
        <f>35+71</f>
        <v>106</v>
      </c>
      <c r="U23" s="297">
        <v>35</v>
      </c>
      <c r="V23" s="297">
        <f>35+124</f>
        <v>159</v>
      </c>
      <c r="W23" s="297">
        <f>+V23</f>
        <v>159</v>
      </c>
      <c r="X23" s="297">
        <f>35+100</f>
        <v>135</v>
      </c>
      <c r="Y23" s="297">
        <v>101</v>
      </c>
      <c r="Z23" s="297">
        <v>101</v>
      </c>
      <c r="AA23" s="297">
        <v>101</v>
      </c>
      <c r="AB23" s="297">
        <f>+AA23</f>
        <v>101</v>
      </c>
      <c r="AC23" s="297">
        <v>326</v>
      </c>
      <c r="AD23" s="297">
        <v>276</v>
      </c>
      <c r="AE23" s="297">
        <v>201</v>
      </c>
      <c r="AF23" s="297">
        <v>201</v>
      </c>
      <c r="AG23" s="297">
        <v>88</v>
      </c>
      <c r="AH23" s="297">
        <f>+AG23</f>
        <v>88</v>
      </c>
      <c r="AI23" s="297">
        <v>67</v>
      </c>
      <c r="AJ23" s="297">
        <f>29+15</f>
        <v>44</v>
      </c>
      <c r="AK23" s="297">
        <v>44</v>
      </c>
      <c r="AL23" s="297">
        <v>44</v>
      </c>
      <c r="AM23" s="297">
        <f>+AL23</f>
        <v>44</v>
      </c>
      <c r="AN23" s="297">
        <v>227</v>
      </c>
      <c r="AO23" s="297">
        <f>29+113</f>
        <v>142</v>
      </c>
      <c r="AP23" s="297">
        <v>142</v>
      </c>
      <c r="AQ23" s="297">
        <f>113+29</f>
        <v>142</v>
      </c>
      <c r="AR23" s="297">
        <f>+AQ23</f>
        <v>142</v>
      </c>
      <c r="AS23" s="297">
        <v>548</v>
      </c>
      <c r="AT23" s="297">
        <v>493</v>
      </c>
      <c r="AU23" s="297">
        <v>493</v>
      </c>
      <c r="AV23" s="297">
        <v>76.3</v>
      </c>
      <c r="AW23" s="297">
        <v>76</v>
      </c>
      <c r="AX23" s="297">
        <f>+AW23</f>
        <v>76</v>
      </c>
      <c r="AY23" s="297">
        <v>190</v>
      </c>
      <c r="AZ23" s="297">
        <v>29</v>
      </c>
      <c r="BA23" s="297">
        <v>29</v>
      </c>
      <c r="BB23" s="297">
        <v>29</v>
      </c>
      <c r="BC23" s="297">
        <f>+BB23</f>
        <v>29</v>
      </c>
      <c r="BD23" s="297">
        <v>79</v>
      </c>
      <c r="BE23" s="297">
        <v>79</v>
      </c>
      <c r="BF23" s="297">
        <v>79</v>
      </c>
      <c r="BG23" s="298">
        <v>79</v>
      </c>
      <c r="BH23" s="297">
        <f>+BG23</f>
        <v>79</v>
      </c>
      <c r="BI23" s="297">
        <v>132</v>
      </c>
      <c r="BJ23" s="297">
        <v>62</v>
      </c>
      <c r="BK23" s="297">
        <v>62</v>
      </c>
      <c r="BL23" s="297">
        <v>62</v>
      </c>
      <c r="BM23" s="297">
        <v>105</v>
      </c>
      <c r="BN23" s="298">
        <f t="shared" si="24"/>
        <v>105</v>
      </c>
      <c r="BO23" s="298">
        <v>105</v>
      </c>
      <c r="BP23" s="298">
        <v>105</v>
      </c>
      <c r="BQ23" s="298">
        <v>61</v>
      </c>
      <c r="BR23" s="298">
        <v>118</v>
      </c>
      <c r="BS23" s="298">
        <f t="shared" si="25"/>
        <v>118</v>
      </c>
      <c r="BT23" s="298">
        <v>180</v>
      </c>
      <c r="BU23" s="298">
        <v>180</v>
      </c>
      <c r="BV23" s="298">
        <v>180</v>
      </c>
      <c r="BW23" s="298">
        <v>180</v>
      </c>
      <c r="BX23" s="298">
        <v>159</v>
      </c>
      <c r="BY23" s="298">
        <f t="shared" si="26"/>
        <v>159</v>
      </c>
      <c r="BZ23" s="618"/>
      <c r="CA23" s="298">
        <f t="shared" si="20"/>
        <v>159</v>
      </c>
      <c r="CB23" s="620"/>
      <c r="CC23" s="231"/>
      <c r="CE23" s="239"/>
    </row>
    <row r="24" spans="2:91" ht="18.5" customHeight="1" collapsed="1" x14ac:dyDescent="0.2">
      <c r="B24" s="604" t="s">
        <v>222</v>
      </c>
      <c r="C24" s="633">
        <v>11</v>
      </c>
      <c r="D24" s="634" t="s">
        <v>294</v>
      </c>
      <c r="E24" s="271" t="s">
        <v>0</v>
      </c>
      <c r="F24" s="255"/>
      <c r="G24" s="255"/>
      <c r="H24" s="255"/>
      <c r="I24" s="256"/>
      <c r="J24" s="256"/>
      <c r="K24" s="256"/>
      <c r="L24" s="256"/>
      <c r="M24" s="635"/>
      <c r="N24" s="232"/>
      <c r="O24" s="232"/>
      <c r="P24" s="232"/>
      <c r="Q24" s="232"/>
      <c r="R24" s="232"/>
      <c r="S24" s="232"/>
      <c r="T24" s="232"/>
      <c r="U24" s="232"/>
      <c r="V24" s="232"/>
      <c r="W24" s="232"/>
      <c r="X24" s="232"/>
      <c r="Y24" s="232"/>
      <c r="Z24" s="232"/>
      <c r="AA24" s="232"/>
      <c r="AB24" s="232"/>
      <c r="AC24" s="232"/>
      <c r="AD24" s="232"/>
      <c r="AE24" s="232"/>
      <c r="AF24" s="232"/>
      <c r="AG24" s="232"/>
      <c r="AH24" s="232"/>
      <c r="AI24" s="232"/>
      <c r="AJ24" s="232"/>
      <c r="AK24" s="232"/>
      <c r="AL24" s="232"/>
      <c r="AM24" s="232"/>
      <c r="AN24" s="232"/>
      <c r="AO24" s="232"/>
      <c r="AP24" s="232"/>
      <c r="AQ24" s="232"/>
      <c r="AR24" s="232"/>
      <c r="AS24" s="232"/>
      <c r="AT24" s="232"/>
      <c r="AU24" s="232"/>
      <c r="AV24" s="232"/>
      <c r="AW24" s="232"/>
      <c r="AX24" s="232"/>
      <c r="AY24" s="232"/>
      <c r="AZ24" s="232"/>
      <c r="BA24" s="232"/>
      <c r="BB24" s="232"/>
      <c r="BC24" s="232"/>
      <c r="BD24" s="232"/>
      <c r="BE24" s="232"/>
      <c r="BF24" s="232"/>
      <c r="BG24" s="232"/>
      <c r="BH24" s="232"/>
      <c r="BI24" s="232"/>
      <c r="BJ24" s="232"/>
      <c r="BK24" s="232"/>
      <c r="BL24" s="256">
        <v>27</v>
      </c>
      <c r="BM24" s="256">
        <v>32</v>
      </c>
      <c r="BN24" s="337">
        <f t="shared" si="24"/>
        <v>32</v>
      </c>
      <c r="BO24" s="256">
        <v>31</v>
      </c>
      <c r="BP24" s="256">
        <v>31</v>
      </c>
      <c r="BQ24" s="256">
        <v>26</v>
      </c>
      <c r="BR24" s="256">
        <v>28</v>
      </c>
      <c r="BS24" s="337">
        <f t="shared" si="25"/>
        <v>28</v>
      </c>
      <c r="BT24" s="256">
        <v>26</v>
      </c>
      <c r="BU24" s="256">
        <v>25</v>
      </c>
      <c r="BV24" s="256">
        <v>24</v>
      </c>
      <c r="BW24" s="256">
        <v>27</v>
      </c>
      <c r="BX24" s="256">
        <v>26</v>
      </c>
      <c r="BY24" s="305">
        <f>+BX24</f>
        <v>26</v>
      </c>
      <c r="BZ24" s="635">
        <f>+IFERROR(BY25/BY24,0)</f>
        <v>56.230769230769234</v>
      </c>
      <c r="CA24" s="292">
        <f t="shared" si="20"/>
        <v>26</v>
      </c>
      <c r="CB24" s="627">
        <f>+IFERROR(CA25/CA24,0)</f>
        <v>56.230769230769234</v>
      </c>
    </row>
    <row r="25" spans="2:91" ht="18.5" customHeight="1" thickBot="1" x14ac:dyDescent="0.25">
      <c r="B25" s="605"/>
      <c r="C25" s="594"/>
      <c r="D25" s="607"/>
      <c r="E25" s="251" t="s">
        <v>13</v>
      </c>
      <c r="F25" s="252"/>
      <c r="G25" s="252"/>
      <c r="H25" s="252"/>
      <c r="I25" s="253"/>
      <c r="J25" s="253"/>
      <c r="K25" s="253"/>
      <c r="L25" s="253"/>
      <c r="M25" s="598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Y25" s="309"/>
      <c r="Z25" s="309"/>
      <c r="AA25" s="309"/>
      <c r="AB25" s="309"/>
      <c r="AC25" s="309"/>
      <c r="AD25" s="309"/>
      <c r="AE25" s="309"/>
      <c r="AF25" s="309"/>
      <c r="AG25" s="309"/>
      <c r="AH25" s="309"/>
      <c r="AI25" s="309"/>
      <c r="AJ25" s="309"/>
      <c r="AK25" s="309"/>
      <c r="AL25" s="309"/>
      <c r="AM25" s="309"/>
      <c r="AN25" s="309"/>
      <c r="AO25" s="309"/>
      <c r="AP25" s="309"/>
      <c r="AQ25" s="309"/>
      <c r="AR25" s="309"/>
      <c r="AS25" s="309"/>
      <c r="AT25" s="309"/>
      <c r="AU25" s="309"/>
      <c r="AV25" s="309"/>
      <c r="AW25" s="309"/>
      <c r="AX25" s="309"/>
      <c r="AY25" s="309"/>
      <c r="AZ25" s="309"/>
      <c r="BA25" s="309"/>
      <c r="BB25" s="309"/>
      <c r="BC25" s="309"/>
      <c r="BD25" s="309"/>
      <c r="BE25" s="309"/>
      <c r="BF25" s="309"/>
      <c r="BG25" s="309"/>
      <c r="BH25" s="309"/>
      <c r="BI25" s="309"/>
      <c r="BJ25" s="309"/>
      <c r="BK25" s="309"/>
      <c r="BL25" s="253">
        <v>1205</v>
      </c>
      <c r="BM25" s="253">
        <v>1393</v>
      </c>
      <c r="BN25" s="333">
        <f t="shared" si="24"/>
        <v>1393</v>
      </c>
      <c r="BO25" s="253">
        <v>1401</v>
      </c>
      <c r="BP25" s="253">
        <v>1555</v>
      </c>
      <c r="BQ25" s="253">
        <v>1379</v>
      </c>
      <c r="BR25" s="253">
        <v>1627</v>
      </c>
      <c r="BS25" s="333">
        <f t="shared" si="25"/>
        <v>1627</v>
      </c>
      <c r="BT25" s="253">
        <v>1579</v>
      </c>
      <c r="BU25" s="253">
        <v>1340</v>
      </c>
      <c r="BV25" s="253">
        <v>1485</v>
      </c>
      <c r="BW25" s="253">
        <v>1500</v>
      </c>
      <c r="BX25" s="253">
        <v>1462</v>
      </c>
      <c r="BY25" s="302">
        <f t="shared" ref="BY25:BY27" si="27">+BX25</f>
        <v>1462</v>
      </c>
      <c r="BZ25" s="598"/>
      <c r="CA25" s="289">
        <f t="shared" si="20"/>
        <v>1462</v>
      </c>
      <c r="CB25" s="591"/>
    </row>
    <row r="26" spans="2:91" ht="18.5" hidden="1" customHeight="1" outlineLevel="1" x14ac:dyDescent="0.2">
      <c r="B26" s="610" t="s">
        <v>224</v>
      </c>
      <c r="C26" s="629" t="s">
        <v>295</v>
      </c>
      <c r="D26" s="630" t="s">
        <v>32</v>
      </c>
      <c r="E26" s="299" t="s">
        <v>0</v>
      </c>
      <c r="F26" s="299"/>
      <c r="G26" s="299"/>
      <c r="H26" s="299"/>
      <c r="I26" s="300"/>
      <c r="J26" s="300"/>
      <c r="K26" s="300">
        <v>8</v>
      </c>
      <c r="L26" s="300">
        <f t="shared" ref="L26:L27" si="28">+SUM(I26:K26)</f>
        <v>8</v>
      </c>
      <c r="M26" s="632">
        <f>+L27/L26</f>
        <v>35.75</v>
      </c>
      <c r="N26" s="300">
        <v>5</v>
      </c>
      <c r="O26" s="300">
        <v>3</v>
      </c>
      <c r="P26" s="300">
        <v>2</v>
      </c>
      <c r="Q26" s="300">
        <v>5</v>
      </c>
      <c r="R26" s="300">
        <f>+Q26</f>
        <v>5</v>
      </c>
      <c r="S26" s="300">
        <v>5</v>
      </c>
      <c r="T26" s="300">
        <v>6</v>
      </c>
      <c r="U26" s="300">
        <v>3</v>
      </c>
      <c r="V26" s="300">
        <v>3</v>
      </c>
      <c r="W26" s="300">
        <f>+V26</f>
        <v>3</v>
      </c>
      <c r="X26" s="300">
        <v>3</v>
      </c>
      <c r="Y26" s="300">
        <v>1</v>
      </c>
      <c r="Z26" s="300">
        <v>2</v>
      </c>
      <c r="AA26" s="300">
        <v>2</v>
      </c>
      <c r="AB26" s="300">
        <f>+AA26</f>
        <v>2</v>
      </c>
      <c r="AC26" s="300">
        <v>2</v>
      </c>
      <c r="AD26" s="300">
        <v>2</v>
      </c>
      <c r="AE26" s="300">
        <v>2</v>
      </c>
      <c r="AF26" s="300">
        <v>2</v>
      </c>
      <c r="AG26" s="300">
        <v>2</v>
      </c>
      <c r="AH26" s="300">
        <f>+AG26</f>
        <v>2</v>
      </c>
      <c r="AI26" s="300">
        <v>2</v>
      </c>
      <c r="AJ26" s="300">
        <v>6</v>
      </c>
      <c r="AK26" s="300">
        <v>4</v>
      </c>
      <c r="AL26" s="300">
        <v>3</v>
      </c>
      <c r="AM26" s="300">
        <f>+AL26</f>
        <v>3</v>
      </c>
      <c r="AN26" s="300">
        <v>3</v>
      </c>
      <c r="AO26" s="300">
        <v>6</v>
      </c>
      <c r="AP26" s="300">
        <v>5</v>
      </c>
      <c r="AQ26" s="300">
        <v>3</v>
      </c>
      <c r="AR26" s="300">
        <f>+AQ26</f>
        <v>3</v>
      </c>
      <c r="AS26" s="300">
        <v>2</v>
      </c>
      <c r="AT26" s="300">
        <v>1</v>
      </c>
      <c r="AU26" s="300">
        <v>1</v>
      </c>
      <c r="AV26" s="300">
        <v>1</v>
      </c>
      <c r="AW26" s="300">
        <v>4</v>
      </c>
      <c r="AX26" s="300">
        <f>+AW26</f>
        <v>4</v>
      </c>
      <c r="AY26" s="300">
        <v>2</v>
      </c>
      <c r="AZ26" s="300">
        <v>5</v>
      </c>
      <c r="BA26" s="300">
        <v>4</v>
      </c>
      <c r="BB26" s="300">
        <v>4</v>
      </c>
      <c r="BC26" s="300">
        <f>+BB26</f>
        <v>4</v>
      </c>
      <c r="BD26" s="300">
        <v>4</v>
      </c>
      <c r="BE26" s="300">
        <v>6</v>
      </c>
      <c r="BF26" s="300">
        <v>6</v>
      </c>
      <c r="BG26" s="300">
        <v>5</v>
      </c>
      <c r="BH26" s="300">
        <f>+BG26</f>
        <v>5</v>
      </c>
      <c r="BI26" s="300">
        <v>5</v>
      </c>
      <c r="BJ26" s="300">
        <v>5</v>
      </c>
      <c r="BK26" s="300">
        <v>6</v>
      </c>
      <c r="BL26" s="300">
        <v>5</v>
      </c>
      <c r="BM26" s="300">
        <v>5</v>
      </c>
      <c r="BN26" s="300">
        <f t="shared" si="24"/>
        <v>5</v>
      </c>
      <c r="BO26" s="300">
        <v>5</v>
      </c>
      <c r="BP26" s="300">
        <v>5</v>
      </c>
      <c r="BQ26" s="300">
        <v>8</v>
      </c>
      <c r="BR26" s="300">
        <v>9</v>
      </c>
      <c r="BS26" s="300">
        <f t="shared" si="25"/>
        <v>9</v>
      </c>
      <c r="BT26" s="300">
        <v>9</v>
      </c>
      <c r="BU26" s="300">
        <v>6</v>
      </c>
      <c r="BV26" s="338">
        <v>8</v>
      </c>
      <c r="BW26" s="338">
        <v>9</v>
      </c>
      <c r="BX26" s="338">
        <v>11</v>
      </c>
      <c r="BY26" s="338">
        <f t="shared" si="27"/>
        <v>11</v>
      </c>
      <c r="BZ26" s="617">
        <f>+IFERROR(BY27/BY26,0)</f>
        <v>74.727272727272734</v>
      </c>
      <c r="CA26" s="300">
        <f t="shared" si="20"/>
        <v>11</v>
      </c>
      <c r="CB26" s="619">
        <f>+IFERROR(CA27/CA26,0)</f>
        <v>74.727272727272734</v>
      </c>
      <c r="CC26" s="231"/>
      <c r="CD26" s="231"/>
    </row>
    <row r="27" spans="2:91" ht="18.5" hidden="1" customHeight="1" outlineLevel="1" thickBot="1" x14ac:dyDescent="0.25">
      <c r="B27" s="628"/>
      <c r="C27" s="612"/>
      <c r="D27" s="631"/>
      <c r="E27" s="296" t="s">
        <v>35</v>
      </c>
      <c r="F27" s="296"/>
      <c r="G27" s="296"/>
      <c r="H27" s="296"/>
      <c r="I27" s="297"/>
      <c r="J27" s="297"/>
      <c r="K27" s="297">
        <v>286</v>
      </c>
      <c r="L27" s="297">
        <f t="shared" si="28"/>
        <v>286</v>
      </c>
      <c r="M27" s="618"/>
      <c r="N27" s="297">
        <v>110</v>
      </c>
      <c r="O27" s="297">
        <v>60</v>
      </c>
      <c r="P27" s="297">
        <v>26.8</v>
      </c>
      <c r="Q27" s="297">
        <f>227+27</f>
        <v>254</v>
      </c>
      <c r="R27" s="297">
        <f>+Q27</f>
        <v>254</v>
      </c>
      <c r="S27" s="297">
        <v>254</v>
      </c>
      <c r="T27" s="297">
        <v>213</v>
      </c>
      <c r="U27" s="297">
        <v>109</v>
      </c>
      <c r="V27" s="297">
        <v>109</v>
      </c>
      <c r="W27" s="297">
        <f>+V27</f>
        <v>109</v>
      </c>
      <c r="X27" s="297">
        <v>109</v>
      </c>
      <c r="Y27" s="297">
        <v>5.2</v>
      </c>
      <c r="Z27" s="297">
        <v>29</v>
      </c>
      <c r="AA27" s="297">
        <v>29</v>
      </c>
      <c r="AB27" s="297">
        <f>+AA27</f>
        <v>29</v>
      </c>
      <c r="AC27" s="297">
        <v>29</v>
      </c>
      <c r="AD27" s="297">
        <v>29</v>
      </c>
      <c r="AE27" s="297">
        <v>29</v>
      </c>
      <c r="AF27" s="297">
        <v>29</v>
      </c>
      <c r="AG27" s="297">
        <v>29</v>
      </c>
      <c r="AH27" s="297">
        <f>+AG27</f>
        <v>29</v>
      </c>
      <c r="AI27" s="297">
        <v>29</v>
      </c>
      <c r="AJ27" s="297">
        <v>198</v>
      </c>
      <c r="AK27" s="297">
        <v>162</v>
      </c>
      <c r="AL27" s="297">
        <v>61</v>
      </c>
      <c r="AM27" s="297">
        <f>+AL27</f>
        <v>61</v>
      </c>
      <c r="AN27" s="297">
        <v>61</v>
      </c>
      <c r="AO27" s="297">
        <v>225</v>
      </c>
      <c r="AP27" s="297">
        <v>99</v>
      </c>
      <c r="AQ27" s="297">
        <v>83</v>
      </c>
      <c r="AR27" s="297">
        <f>+AQ27</f>
        <v>83</v>
      </c>
      <c r="AS27" s="297">
        <v>10</v>
      </c>
      <c r="AT27" s="297">
        <v>5</v>
      </c>
      <c r="AU27" s="297">
        <v>5</v>
      </c>
      <c r="AV27" s="297">
        <v>5</v>
      </c>
      <c r="AW27" s="297">
        <v>78</v>
      </c>
      <c r="AX27" s="297">
        <f>+AW27</f>
        <v>78</v>
      </c>
      <c r="AY27" s="297">
        <v>15</v>
      </c>
      <c r="AZ27" s="297">
        <v>261</v>
      </c>
      <c r="BA27" s="297">
        <v>239</v>
      </c>
      <c r="BB27" s="297">
        <v>239</v>
      </c>
      <c r="BC27" s="297">
        <f>+BB27</f>
        <v>239</v>
      </c>
      <c r="BD27" s="297">
        <v>218</v>
      </c>
      <c r="BE27" s="297">
        <v>406</v>
      </c>
      <c r="BF27" s="297">
        <v>406</v>
      </c>
      <c r="BG27" s="297">
        <v>367</v>
      </c>
      <c r="BH27" s="297">
        <f>+BG27</f>
        <v>367</v>
      </c>
      <c r="BI27" s="297">
        <v>367</v>
      </c>
      <c r="BJ27" s="297">
        <v>367</v>
      </c>
      <c r="BK27" s="297">
        <v>387</v>
      </c>
      <c r="BL27" s="297">
        <v>328</v>
      </c>
      <c r="BM27" s="297">
        <v>362</v>
      </c>
      <c r="BN27" s="297">
        <f t="shared" si="24"/>
        <v>362</v>
      </c>
      <c r="BO27" s="297">
        <v>362</v>
      </c>
      <c r="BP27" s="297">
        <v>362</v>
      </c>
      <c r="BQ27" s="297">
        <v>468</v>
      </c>
      <c r="BR27" s="297">
        <v>622</v>
      </c>
      <c r="BS27" s="297">
        <f t="shared" si="25"/>
        <v>622</v>
      </c>
      <c r="BT27" s="297">
        <v>622</v>
      </c>
      <c r="BU27" s="297">
        <v>510</v>
      </c>
      <c r="BV27" s="297">
        <v>701</v>
      </c>
      <c r="BW27" s="297">
        <v>789</v>
      </c>
      <c r="BX27" s="297">
        <v>822</v>
      </c>
      <c r="BY27" s="297">
        <f t="shared" si="27"/>
        <v>822</v>
      </c>
      <c r="BZ27" s="618"/>
      <c r="CA27" s="297">
        <f t="shared" si="20"/>
        <v>822</v>
      </c>
      <c r="CB27" s="620"/>
      <c r="CC27" s="231"/>
      <c r="CD27" s="240"/>
    </row>
    <row r="28" spans="2:91" collapsed="1" x14ac:dyDescent="0.2"/>
    <row r="30" spans="2:91" x14ac:dyDescent="0.2">
      <c r="CA30" s="231"/>
    </row>
    <row r="31" spans="2:91" x14ac:dyDescent="0.2">
      <c r="AC31" s="230">
        <v>2</v>
      </c>
      <c r="AD31" s="230">
        <v>6</v>
      </c>
      <c r="AE31" s="230">
        <v>1</v>
      </c>
      <c r="AF31" s="230">
        <v>4</v>
      </c>
      <c r="CA31" s="237"/>
    </row>
    <row r="32" spans="2:91" x14ac:dyDescent="0.2">
      <c r="R32" s="231"/>
      <c r="S32" s="231"/>
      <c r="T32" s="231"/>
      <c r="U32" s="231"/>
      <c r="V32" s="231"/>
      <c r="W32" s="231"/>
      <c r="X32" s="231"/>
      <c r="Y32" s="231"/>
      <c r="Z32" s="231"/>
      <c r="AA32" s="231"/>
      <c r="AB32" s="231"/>
      <c r="AC32" s="231">
        <v>98</v>
      </c>
      <c r="AD32" s="231">
        <v>346</v>
      </c>
      <c r="AE32" s="231">
        <v>42</v>
      </c>
      <c r="AF32" s="231">
        <v>65</v>
      </c>
      <c r="AG32" s="231"/>
      <c r="AH32" s="231"/>
      <c r="AI32" s="231"/>
      <c r="AJ32" s="231"/>
      <c r="AK32" s="231"/>
      <c r="AL32" s="231"/>
      <c r="AM32" s="231"/>
      <c r="AN32" s="231"/>
      <c r="AO32" s="231"/>
      <c r="AP32" s="231"/>
      <c r="AQ32" s="231"/>
      <c r="AR32" s="231"/>
      <c r="AS32" s="231"/>
      <c r="AT32" s="231"/>
      <c r="AU32" s="231"/>
      <c r="AV32" s="231"/>
      <c r="AW32" s="231"/>
      <c r="AX32" s="231"/>
      <c r="AY32" s="231"/>
      <c r="AZ32" s="231"/>
      <c r="BA32" s="231"/>
      <c r="BB32" s="231"/>
      <c r="BC32" s="231"/>
      <c r="BD32" s="231"/>
      <c r="BE32" s="231"/>
      <c r="BF32" s="231"/>
      <c r="BG32" s="231"/>
      <c r="BZ32" s="231"/>
      <c r="CA32" s="231"/>
      <c r="CB32" s="231"/>
    </row>
    <row r="33" spans="18:89" x14ac:dyDescent="0.15">
      <c r="R33" s="231"/>
      <c r="S33" s="231"/>
      <c r="T33" s="231"/>
      <c r="U33" s="231"/>
      <c r="V33" s="231"/>
      <c r="W33" s="231"/>
      <c r="X33" s="231"/>
      <c r="Y33" s="231"/>
      <c r="Z33" s="231"/>
      <c r="AA33" s="231"/>
      <c r="AB33" s="231"/>
      <c r="AC33" s="231"/>
      <c r="AD33" s="231"/>
      <c r="AE33" s="231"/>
      <c r="AF33" s="231"/>
      <c r="AG33" s="231"/>
      <c r="AH33" s="231"/>
      <c r="AI33" s="231"/>
      <c r="AJ33" s="231"/>
      <c r="AK33" s="231"/>
      <c r="AL33" s="231"/>
      <c r="AM33" s="231"/>
      <c r="AN33" s="231"/>
      <c r="AO33" s="231"/>
      <c r="AP33" s="231"/>
      <c r="AQ33" s="231"/>
      <c r="AR33" s="231"/>
      <c r="AS33" s="231"/>
      <c r="AT33" s="231"/>
      <c r="AU33" s="231"/>
      <c r="AV33" s="231"/>
      <c r="AW33" s="231"/>
      <c r="AX33" s="231"/>
      <c r="AY33" s="231"/>
      <c r="AZ33" s="231"/>
      <c r="BA33" s="231"/>
      <c r="BB33" s="231"/>
      <c r="BC33" s="231"/>
      <c r="BD33" s="231"/>
      <c r="BE33" s="231"/>
      <c r="BF33" s="231"/>
      <c r="BG33" s="231"/>
      <c r="BH33" s="231"/>
      <c r="BI33" s="231"/>
      <c r="BJ33" s="231"/>
      <c r="BK33" s="231"/>
      <c r="BL33" s="231"/>
      <c r="BM33" s="231"/>
      <c r="BN33" s="231"/>
      <c r="BO33" s="231"/>
      <c r="BP33" s="231"/>
      <c r="BQ33" s="231"/>
      <c r="BR33" s="231"/>
      <c r="BS33" s="231"/>
      <c r="BT33" s="231"/>
      <c r="BU33" s="340" t="s">
        <v>296</v>
      </c>
      <c r="BV33" s="341" t="s">
        <v>297</v>
      </c>
      <c r="BW33" s="341"/>
      <c r="BX33" s="348"/>
      <c r="BY33" s="349"/>
      <c r="BZ33" s="349"/>
      <c r="CA33" s="350"/>
      <c r="CB33" s="349"/>
      <c r="CC33" s="349"/>
    </row>
    <row r="34" spans="18:89" x14ac:dyDescent="0.15">
      <c r="BU34" s="340" t="s">
        <v>298</v>
      </c>
      <c r="BV34" s="341" t="s">
        <v>299</v>
      </c>
      <c r="BW34" s="341"/>
      <c r="BX34" s="348"/>
      <c r="BY34" s="349"/>
      <c r="BZ34" s="349"/>
      <c r="CA34" s="350"/>
      <c r="CB34" s="349"/>
      <c r="CC34" s="349"/>
      <c r="CK34" s="231"/>
    </row>
    <row r="35" spans="18:89" x14ac:dyDescent="0.2">
      <c r="CF35" s="231"/>
      <c r="CG35" s="231"/>
      <c r="CH35" s="231"/>
      <c r="CI35" s="231"/>
      <c r="CJ35" s="231"/>
      <c r="CK35" s="231"/>
    </row>
    <row r="36" spans="18:89" x14ac:dyDescent="0.2">
      <c r="AO36" s="230">
        <f>6677-6537</f>
        <v>140</v>
      </c>
    </row>
  </sheetData>
  <sheetProtection sheet="1" objects="1" scenarios="1"/>
  <mergeCells count="65">
    <mergeCell ref="CB24:CB25"/>
    <mergeCell ref="B26:B27"/>
    <mergeCell ref="C26:C27"/>
    <mergeCell ref="D26:D27"/>
    <mergeCell ref="M26:M27"/>
    <mergeCell ref="BZ26:BZ27"/>
    <mergeCell ref="CB26:CB27"/>
    <mergeCell ref="B24:B25"/>
    <mergeCell ref="C24:C25"/>
    <mergeCell ref="D24:D25"/>
    <mergeCell ref="M24:M25"/>
    <mergeCell ref="BZ24:BZ25"/>
    <mergeCell ref="CB13:CB14"/>
    <mergeCell ref="CB20:CB21"/>
    <mergeCell ref="B22:B23"/>
    <mergeCell ref="C22:C23"/>
    <mergeCell ref="D22:D23"/>
    <mergeCell ref="M22:M23"/>
    <mergeCell ref="BZ22:BZ23"/>
    <mergeCell ref="CB22:CB23"/>
    <mergeCell ref="B18:B19"/>
    <mergeCell ref="C18:C19"/>
    <mergeCell ref="D18:D19"/>
    <mergeCell ref="BZ18:BZ19"/>
    <mergeCell ref="CB18:CB19"/>
    <mergeCell ref="B20:B21"/>
    <mergeCell ref="C20:C21"/>
    <mergeCell ref="D20:D21"/>
    <mergeCell ref="M20:M21"/>
    <mergeCell ref="BZ20:BZ21"/>
    <mergeCell ref="B11:B12"/>
    <mergeCell ref="C11:C12"/>
    <mergeCell ref="D11:D12"/>
    <mergeCell ref="M11:M12"/>
    <mergeCell ref="BZ11:BZ12"/>
    <mergeCell ref="B13:B14"/>
    <mergeCell ref="C13:C14"/>
    <mergeCell ref="D13:D14"/>
    <mergeCell ref="M13:M14"/>
    <mergeCell ref="BZ13:BZ14"/>
    <mergeCell ref="CB11:CB12"/>
    <mergeCell ref="B9:B10"/>
    <mergeCell ref="C9:C10"/>
    <mergeCell ref="D9:D10"/>
    <mergeCell ref="M9:M10"/>
    <mergeCell ref="BZ9:BZ10"/>
    <mergeCell ref="CB9:CB10"/>
    <mergeCell ref="CB7:CB8"/>
    <mergeCell ref="B5:B6"/>
    <mergeCell ref="C5:C6"/>
    <mergeCell ref="D5:D6"/>
    <mergeCell ref="M5:M6"/>
    <mergeCell ref="BZ5:BZ6"/>
    <mergeCell ref="CB5:CB6"/>
    <mergeCell ref="B7:B8"/>
    <mergeCell ref="C7:C8"/>
    <mergeCell ref="D7:D8"/>
    <mergeCell ref="M7:M8"/>
    <mergeCell ref="BZ7:BZ8"/>
    <mergeCell ref="CB3:CB4"/>
    <mergeCell ref="B3:B4"/>
    <mergeCell ref="C3:C4"/>
    <mergeCell ref="D3:D4"/>
    <mergeCell ref="M3:M4"/>
    <mergeCell ref="BZ3:BZ4"/>
  </mergeCells>
  <phoneticPr fontId="20" type="noConversion"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4AF4-C93F-46E8-B2B2-270ACF7CA48A}">
  <sheetPr>
    <tabColor rgb="FF00B050"/>
  </sheetPr>
  <dimension ref="B1:CH35"/>
  <sheetViews>
    <sheetView showGridLines="0" tabSelected="1" zoomScale="90" zoomScaleNormal="90" workbookViewId="0">
      <selection activeCell="D5" sqref="D5:D6"/>
    </sheetView>
  </sheetViews>
  <sheetFormatPr baseColWidth="10" defaultColWidth="11.5" defaultRowHeight="12" outlineLevelRow="1" outlineLevelCol="1" x14ac:dyDescent="0.2"/>
  <cols>
    <col min="1" max="1" width="2.6640625" style="230" customWidth="1"/>
    <col min="2" max="2" width="6.83203125" style="230" bestFit="1" customWidth="1"/>
    <col min="3" max="3" width="5.1640625" style="230" customWidth="1"/>
    <col min="4" max="4" width="25.1640625" style="230" bestFit="1" customWidth="1"/>
    <col min="5" max="5" width="8.1640625" style="230" bestFit="1" customWidth="1"/>
    <col min="6" max="6" width="8.1640625" style="230" customWidth="1" outlineLevel="1"/>
    <col min="7" max="7" width="9.1640625" style="230" bestFit="1" customWidth="1"/>
    <col min="8" max="11" width="8.83203125" style="230" hidden="1" customWidth="1" outlineLevel="1"/>
    <col min="12" max="12" width="10.83203125" style="230" customWidth="1" collapsed="1"/>
    <col min="13" max="13" width="10.83203125" style="230" hidden="1" customWidth="1" outlineLevel="1"/>
    <col min="14" max="16" width="9.1640625" style="230" hidden="1" customWidth="1" outlineLevel="1"/>
    <col min="17" max="17" width="10.83203125" style="230" customWidth="1" collapsed="1"/>
    <col min="18" max="18" width="10.83203125" style="230" hidden="1" customWidth="1" outlineLevel="1"/>
    <col min="19" max="21" width="9" style="230" hidden="1" customWidth="1" outlineLevel="1"/>
    <col min="22" max="22" width="10.83203125" style="230" customWidth="1" collapsed="1"/>
    <col min="23" max="23" width="10.83203125" style="230" hidden="1" customWidth="1" outlineLevel="1"/>
    <col min="24" max="27" width="11.1640625" style="230" hidden="1" customWidth="1" outlineLevel="1"/>
    <col min="28" max="28" width="10.83203125" style="230" customWidth="1" collapsed="1"/>
    <col min="29" max="32" width="10.83203125" style="230" hidden="1" customWidth="1" outlineLevel="1"/>
    <col min="33" max="33" width="10.83203125" style="230" customWidth="1" collapsed="1"/>
    <col min="34" max="37" width="10.83203125" style="230" customWidth="1" outlineLevel="1"/>
    <col min="38" max="38" width="10.83203125" style="230" customWidth="1"/>
    <col min="39" max="43" width="10.83203125" style="230" hidden="1" customWidth="1" outlineLevel="1"/>
    <col min="44" max="44" width="10.83203125" style="230" hidden="1" customWidth="1" collapsed="1"/>
    <col min="45" max="48" width="10.83203125" style="230" hidden="1" customWidth="1" outlineLevel="1"/>
    <col min="49" max="49" width="10.83203125" style="230" hidden="1" customWidth="1" collapsed="1"/>
    <col min="50" max="53" width="10.83203125" style="230" hidden="1" customWidth="1" outlineLevel="1"/>
    <col min="54" max="54" width="10.83203125" style="230" hidden="1" customWidth="1" collapsed="1"/>
    <col min="55" max="59" width="10.83203125" style="230" hidden="1" customWidth="1" outlineLevel="1"/>
    <col min="60" max="60" width="10.83203125" style="230" hidden="1" customWidth="1" collapsed="1"/>
    <col min="61" max="61" width="10.83203125" style="230" hidden="1" customWidth="1" outlineLevel="1"/>
    <col min="62" max="64" width="11.1640625" style="230" hidden="1" customWidth="1" outlineLevel="1"/>
    <col min="65" max="65" width="10.83203125" style="230" hidden="1" customWidth="1" collapsed="1"/>
    <col min="66" max="70" width="10.83203125" style="230" hidden="1" customWidth="1" outlineLevel="1"/>
    <col min="71" max="71" width="8.1640625" style="230" hidden="1" customWidth="1" collapsed="1"/>
    <col min="72" max="72" width="10.1640625" style="230" customWidth="1"/>
    <col min="73" max="73" width="10.1640625" style="230" bestFit="1" customWidth="1"/>
    <col min="74" max="74" width="10.83203125" style="230" customWidth="1"/>
    <col min="75" max="75" width="12" style="230" bestFit="1" customWidth="1"/>
    <col min="76" max="76" width="13.83203125" style="230" bestFit="1" customWidth="1"/>
    <col min="77" max="78" width="11.5" style="230"/>
    <col min="79" max="79" width="17.83203125" style="230" bestFit="1" customWidth="1"/>
    <col min="80" max="81" width="11.5" style="230"/>
    <col min="82" max="82" width="12" style="230" bestFit="1" customWidth="1"/>
    <col min="83" max="16384" width="11.5" style="230"/>
  </cols>
  <sheetData>
    <row r="1" spans="2:86" x14ac:dyDescent="0.2">
      <c r="AC1" s="231"/>
    </row>
    <row r="2" spans="2:86" ht="29.75" customHeight="1" thickBot="1" x14ac:dyDescent="0.25">
      <c r="B2" s="523" t="s">
        <v>178</v>
      </c>
      <c r="C2" s="524" t="s">
        <v>0</v>
      </c>
      <c r="D2" s="524" t="s">
        <v>1</v>
      </c>
      <c r="E2" s="525" t="s">
        <v>2</v>
      </c>
      <c r="F2" s="525">
        <v>2025</v>
      </c>
      <c r="G2" s="523" t="s">
        <v>300</v>
      </c>
      <c r="H2" s="526" t="s">
        <v>5</v>
      </c>
      <c r="I2" s="526" t="s">
        <v>6</v>
      </c>
      <c r="J2" s="526" t="s">
        <v>7</v>
      </c>
      <c r="K2" s="526" t="s">
        <v>8</v>
      </c>
      <c r="L2" s="527">
        <v>46023</v>
      </c>
      <c r="M2" s="524" t="s">
        <v>5</v>
      </c>
      <c r="N2" s="524" t="s">
        <v>6</v>
      </c>
      <c r="O2" s="524" t="s">
        <v>7</v>
      </c>
      <c r="P2" s="524" t="s">
        <v>8</v>
      </c>
      <c r="Q2" s="527">
        <v>46054</v>
      </c>
      <c r="R2" s="524" t="s">
        <v>5</v>
      </c>
      <c r="S2" s="524" t="s">
        <v>6</v>
      </c>
      <c r="T2" s="524" t="s">
        <v>7</v>
      </c>
      <c r="U2" s="524" t="s">
        <v>8</v>
      </c>
      <c r="V2" s="527">
        <v>46082</v>
      </c>
      <c r="W2" s="524" t="s">
        <v>5</v>
      </c>
      <c r="X2" s="524" t="s">
        <v>6</v>
      </c>
      <c r="Y2" s="524" t="s">
        <v>7</v>
      </c>
      <c r="Z2" s="524" t="s">
        <v>8</v>
      </c>
      <c r="AA2" s="524" t="s">
        <v>281</v>
      </c>
      <c r="AB2" s="527">
        <v>46113</v>
      </c>
      <c r="AC2" s="524" t="s">
        <v>5</v>
      </c>
      <c r="AD2" s="524" t="s">
        <v>6</v>
      </c>
      <c r="AE2" s="524" t="s">
        <v>7</v>
      </c>
      <c r="AF2" s="524" t="s">
        <v>8</v>
      </c>
      <c r="AG2" s="527">
        <v>46143</v>
      </c>
      <c r="AH2" s="524" t="s">
        <v>5</v>
      </c>
      <c r="AI2" s="524" t="s">
        <v>6</v>
      </c>
      <c r="AJ2" s="524" t="s">
        <v>7</v>
      </c>
      <c r="AK2" s="524" t="s">
        <v>8</v>
      </c>
      <c r="AL2" s="527">
        <v>46174</v>
      </c>
      <c r="AM2" s="524" t="s">
        <v>5</v>
      </c>
      <c r="AN2" s="524" t="s">
        <v>6</v>
      </c>
      <c r="AO2" s="524" t="s">
        <v>7</v>
      </c>
      <c r="AP2" s="524" t="s">
        <v>8</v>
      </c>
      <c r="AQ2" s="524" t="s">
        <v>281</v>
      </c>
      <c r="AR2" s="527">
        <v>46204</v>
      </c>
      <c r="AS2" s="526" t="s">
        <v>5</v>
      </c>
      <c r="AT2" s="526" t="s">
        <v>6</v>
      </c>
      <c r="AU2" s="526" t="s">
        <v>7</v>
      </c>
      <c r="AV2" s="526" t="s">
        <v>8</v>
      </c>
      <c r="AW2" s="527">
        <v>46235</v>
      </c>
      <c r="AX2" s="526" t="s">
        <v>5</v>
      </c>
      <c r="AY2" s="526" t="s">
        <v>6</v>
      </c>
      <c r="AZ2" s="526" t="s">
        <v>7</v>
      </c>
      <c r="BA2" s="526" t="s">
        <v>8</v>
      </c>
      <c r="BB2" s="527">
        <v>46266</v>
      </c>
      <c r="BC2" s="526" t="s">
        <v>5</v>
      </c>
      <c r="BD2" s="526" t="s">
        <v>6</v>
      </c>
      <c r="BE2" s="526" t="s">
        <v>7</v>
      </c>
      <c r="BF2" s="526" t="s">
        <v>8</v>
      </c>
      <c r="BG2" s="526" t="s">
        <v>281</v>
      </c>
      <c r="BH2" s="527">
        <v>46296</v>
      </c>
      <c r="BI2" s="526" t="s">
        <v>5</v>
      </c>
      <c r="BJ2" s="526" t="s">
        <v>6</v>
      </c>
      <c r="BK2" s="526" t="s">
        <v>7</v>
      </c>
      <c r="BL2" s="526" t="s">
        <v>8</v>
      </c>
      <c r="BM2" s="527">
        <v>46327</v>
      </c>
      <c r="BN2" s="526" t="s">
        <v>5</v>
      </c>
      <c r="BO2" s="526" t="s">
        <v>6</v>
      </c>
      <c r="BP2" s="526" t="s">
        <v>7</v>
      </c>
      <c r="BQ2" s="526" t="s">
        <v>8</v>
      </c>
      <c r="BR2" s="526" t="s">
        <v>281</v>
      </c>
      <c r="BS2" s="528">
        <v>46357</v>
      </c>
      <c r="BT2" s="525" t="s">
        <v>301</v>
      </c>
      <c r="BU2" s="528" t="s">
        <v>302</v>
      </c>
      <c r="BV2" s="523" t="s">
        <v>218</v>
      </c>
      <c r="BX2" s="241"/>
      <c r="CA2" s="241" t="s">
        <v>238</v>
      </c>
      <c r="CB2" s="241" t="s">
        <v>13</v>
      </c>
      <c r="CC2" s="241" t="s">
        <v>283</v>
      </c>
      <c r="CD2" s="230" t="s">
        <v>38</v>
      </c>
    </row>
    <row r="3" spans="2:86" ht="18.5" customHeight="1" x14ac:dyDescent="0.2">
      <c r="B3" s="659" t="s">
        <v>219</v>
      </c>
      <c r="C3" s="660">
        <v>1</v>
      </c>
      <c r="D3" s="661" t="s">
        <v>220</v>
      </c>
      <c r="E3" s="374" t="s">
        <v>0</v>
      </c>
      <c r="F3" s="379">
        <v>164</v>
      </c>
      <c r="G3" s="662">
        <f>+F4/F3</f>
        <v>266.19512195121951</v>
      </c>
      <c r="H3" s="364"/>
      <c r="I3" s="364"/>
      <c r="J3" s="364"/>
      <c r="K3" s="364">
        <v>13</v>
      </c>
      <c r="L3" s="470">
        <f t="shared" ref="L3:L14" si="0">+H3+I3+J3+K3</f>
        <v>13</v>
      </c>
      <c r="M3" s="364"/>
      <c r="N3" s="364"/>
      <c r="O3" s="364"/>
      <c r="P3" s="364">
        <v>16</v>
      </c>
      <c r="Q3" s="470">
        <f>+M3+N3+O3+P3</f>
        <v>16</v>
      </c>
      <c r="R3" s="364"/>
      <c r="S3" s="364"/>
      <c r="T3" s="364"/>
      <c r="U3" s="364">
        <v>21</v>
      </c>
      <c r="V3" s="470">
        <f>+R3+S3+T3+U3</f>
        <v>21</v>
      </c>
      <c r="W3" s="364">
        <v>2</v>
      </c>
      <c r="X3" s="364">
        <v>6</v>
      </c>
      <c r="Y3" s="365">
        <v>5</v>
      </c>
      <c r="Z3" s="364">
        <v>2</v>
      </c>
      <c r="AA3" s="364">
        <v>4</v>
      </c>
      <c r="AB3" s="470">
        <f>+W3+X3+Y3+Z3+AA3</f>
        <v>19</v>
      </c>
      <c r="AC3" s="364">
        <v>5</v>
      </c>
      <c r="AD3" s="364">
        <v>1</v>
      </c>
      <c r="AE3" s="364">
        <v>5</v>
      </c>
      <c r="AF3" s="364">
        <v>3</v>
      </c>
      <c r="AG3" s="470">
        <f t="shared" ref="AG3:AG14" si="1">+AC3+AD3+AE3+AF3</f>
        <v>14</v>
      </c>
      <c r="AH3" s="364">
        <v>3</v>
      </c>
      <c r="AI3" s="365"/>
      <c r="AJ3" s="364"/>
      <c r="AK3" s="364"/>
      <c r="AL3" s="387">
        <f>+AH3+AI3+AJ3+AK3</f>
        <v>3</v>
      </c>
      <c r="AM3" s="364"/>
      <c r="AN3" s="364"/>
      <c r="AO3" s="364"/>
      <c r="AP3" s="364"/>
      <c r="AQ3" s="364"/>
      <c r="AR3" s="387">
        <f>+AM3+AN3+AO3+AP3+AQ3</f>
        <v>0</v>
      </c>
      <c r="AS3" s="364"/>
      <c r="AT3" s="364"/>
      <c r="AU3" s="364"/>
      <c r="AV3" s="365"/>
      <c r="AW3" s="387">
        <f>+AS3+AT3+AU3+AV3</f>
        <v>0</v>
      </c>
      <c r="AX3" s="365"/>
      <c r="AY3" s="365"/>
      <c r="AZ3" s="365"/>
      <c r="BA3" s="365"/>
      <c r="BB3" s="387">
        <f>+AX3+AY3+AZ3+BA3</f>
        <v>0</v>
      </c>
      <c r="BC3" s="365"/>
      <c r="BD3" s="365"/>
      <c r="BE3" s="365"/>
      <c r="BF3" s="365"/>
      <c r="BG3" s="365"/>
      <c r="BH3" s="387">
        <f>+BC3+BD3+BE3+BF3+BG3</f>
        <v>0</v>
      </c>
      <c r="BI3" s="364"/>
      <c r="BJ3" s="364"/>
      <c r="BK3" s="364"/>
      <c r="BL3" s="364"/>
      <c r="BM3" s="387">
        <f t="shared" ref="BM3:BM14" si="2">+BI3+BJ3+BK3+BL3</f>
        <v>0</v>
      </c>
      <c r="BN3" s="364"/>
      <c r="BO3" s="364"/>
      <c r="BP3" s="364"/>
      <c r="BQ3" s="364"/>
      <c r="BR3" s="364"/>
      <c r="BS3" s="393">
        <f>+BN3+BO3+BP3+BQ3+BR3</f>
        <v>0</v>
      </c>
      <c r="BT3" s="663">
        <f>+IFERROR(AL4/AL3,0)</f>
        <v>959.75866666666661</v>
      </c>
      <c r="BU3" s="401">
        <f t="shared" ref="BU3:BU15" si="3">+L3+Q3+V3+AB3+AG3+AL3</f>
        <v>86</v>
      </c>
      <c r="BV3" s="664">
        <f>+IFERROR(BU4/BU3,0)</f>
        <v>221.94140697674419</v>
      </c>
      <c r="BW3" s="231"/>
      <c r="CA3" s="230" t="s">
        <v>284</v>
      </c>
      <c r="CB3" s="231">
        <f>+BU14</f>
        <v>3253</v>
      </c>
      <c r="CD3" s="237">
        <f>+CB3/$CB$6</f>
        <v>0.58245299910474491</v>
      </c>
    </row>
    <row r="4" spans="2:86" ht="18.5" customHeight="1" x14ac:dyDescent="0.2">
      <c r="B4" s="648"/>
      <c r="C4" s="650"/>
      <c r="D4" s="652"/>
      <c r="E4" s="375" t="s">
        <v>13</v>
      </c>
      <c r="F4" s="380">
        <v>43656</v>
      </c>
      <c r="G4" s="654"/>
      <c r="H4" s="363"/>
      <c r="I4" s="363"/>
      <c r="J4" s="363"/>
      <c r="K4" s="363">
        <v>2370</v>
      </c>
      <c r="L4" s="471">
        <f t="shared" si="0"/>
        <v>2370</v>
      </c>
      <c r="M4" s="363"/>
      <c r="N4" s="363"/>
      <c r="O4" s="363"/>
      <c r="P4" s="363">
        <v>4175</v>
      </c>
      <c r="Q4" s="471">
        <f>+M4+N4+O4+P4</f>
        <v>4175</v>
      </c>
      <c r="R4" s="363"/>
      <c r="S4" s="363"/>
      <c r="T4" s="363"/>
      <c r="U4" s="363">
        <v>3958</v>
      </c>
      <c r="V4" s="471">
        <f>+R4+S4+T4+U4</f>
        <v>3958</v>
      </c>
      <c r="W4" s="363">
        <v>110</v>
      </c>
      <c r="X4" s="363">
        <v>1960</v>
      </c>
      <c r="Y4" s="367">
        <v>230</v>
      </c>
      <c r="Z4" s="363">
        <v>440</v>
      </c>
      <c r="AA4" s="363">
        <v>450</v>
      </c>
      <c r="AB4" s="471">
        <f>+W4+X4+Y4+Z4+AA4</f>
        <v>3190</v>
      </c>
      <c r="AC4" s="363">
        <v>364.125</v>
      </c>
      <c r="AD4" s="363">
        <v>70.2</v>
      </c>
      <c r="AE4" s="363">
        <v>1302.02</v>
      </c>
      <c r="AF4" s="363">
        <v>778.34</v>
      </c>
      <c r="AG4" s="471">
        <f t="shared" si="1"/>
        <v>2514.6849999999999</v>
      </c>
      <c r="AH4" s="363">
        <v>2879.2759999999998</v>
      </c>
      <c r="AI4" s="368"/>
      <c r="AJ4" s="363"/>
      <c r="AK4" s="363"/>
      <c r="AL4" s="388">
        <f>+AH4+AI4+AJ4+AK4</f>
        <v>2879.2759999999998</v>
      </c>
      <c r="AM4" s="363"/>
      <c r="AN4" s="363"/>
      <c r="AO4" s="363"/>
      <c r="AP4" s="363"/>
      <c r="AQ4" s="363"/>
      <c r="AR4" s="388">
        <f>+AM4+AN4+AO4+AP4+AQ4</f>
        <v>0</v>
      </c>
      <c r="AS4" s="363"/>
      <c r="AT4" s="363"/>
      <c r="AU4" s="363"/>
      <c r="AV4" s="367"/>
      <c r="AW4" s="388">
        <f t="shared" ref="AW4:AW14" si="4">+AS4+AT4+AU4+AV4</f>
        <v>0</v>
      </c>
      <c r="AX4" s="367"/>
      <c r="AY4" s="367"/>
      <c r="AZ4" s="367"/>
      <c r="BA4" s="367"/>
      <c r="BB4" s="388">
        <f>+AX4+AY4+AZ4+BA4</f>
        <v>0</v>
      </c>
      <c r="BC4" s="367"/>
      <c r="BD4" s="367"/>
      <c r="BE4" s="367"/>
      <c r="BF4" s="367"/>
      <c r="BG4" s="367"/>
      <c r="BH4" s="388">
        <f t="shared" ref="BH4:BH12" si="5">+BC4+BD4+BE4+BF4+BG4</f>
        <v>0</v>
      </c>
      <c r="BI4" s="363"/>
      <c r="BJ4" s="363"/>
      <c r="BK4" s="363"/>
      <c r="BL4" s="363"/>
      <c r="BM4" s="388">
        <f t="shared" si="2"/>
        <v>0</v>
      </c>
      <c r="BN4" s="363"/>
      <c r="BO4" s="363"/>
      <c r="BP4" s="363"/>
      <c r="BQ4" s="363"/>
      <c r="BR4" s="363"/>
      <c r="BS4" s="394">
        <f t="shared" ref="BS4:BS14" si="6">+BN4+BO4+BP4+BQ4+BR4</f>
        <v>0</v>
      </c>
      <c r="BT4" s="656"/>
      <c r="BU4" s="402">
        <f t="shared" si="3"/>
        <v>19086.960999999999</v>
      </c>
      <c r="BV4" s="646"/>
      <c r="BW4" s="521">
        <v>1683</v>
      </c>
      <c r="BX4" s="521">
        <f>+BW4-AG4</f>
        <v>-831.68499999999995</v>
      </c>
      <c r="BY4" s="231"/>
      <c r="CA4" s="230" t="s">
        <v>28</v>
      </c>
      <c r="CB4" s="231">
        <f>+BU25</f>
        <v>1517</v>
      </c>
      <c r="CC4" s="231">
        <f>+AL27</f>
        <v>72</v>
      </c>
      <c r="CD4" s="237">
        <f t="shared" ref="CD4:CD5" si="7">+CB4/$CB$6</f>
        <v>0.27162041181736796</v>
      </c>
    </row>
    <row r="5" spans="2:86" ht="18.5" customHeight="1" x14ac:dyDescent="0.2">
      <c r="B5" s="657" t="s">
        <v>219</v>
      </c>
      <c r="C5" s="649">
        <v>2</v>
      </c>
      <c r="D5" s="658" t="s">
        <v>221</v>
      </c>
      <c r="E5" s="376" t="s">
        <v>0</v>
      </c>
      <c r="F5" s="381">
        <v>78</v>
      </c>
      <c r="G5" s="653">
        <f>+F6/F5</f>
        <v>131.74358974358975</v>
      </c>
      <c r="H5" s="353"/>
      <c r="I5" s="353"/>
      <c r="J5" s="353"/>
      <c r="K5" s="353">
        <v>6</v>
      </c>
      <c r="L5" s="472">
        <f t="shared" si="0"/>
        <v>6</v>
      </c>
      <c r="M5" s="353"/>
      <c r="N5" s="353"/>
      <c r="O5" s="353"/>
      <c r="P5" s="353">
        <v>4</v>
      </c>
      <c r="Q5" s="472">
        <f>+M5+N5+O5+P5</f>
        <v>4</v>
      </c>
      <c r="R5" s="353"/>
      <c r="S5" s="353"/>
      <c r="T5" s="353"/>
      <c r="U5" s="353">
        <v>11</v>
      </c>
      <c r="V5" s="472">
        <f>+R5+S5+T5+U5</f>
        <v>11</v>
      </c>
      <c r="W5" s="353">
        <v>1</v>
      </c>
      <c r="X5" s="353">
        <v>1</v>
      </c>
      <c r="Y5" s="354">
        <v>3</v>
      </c>
      <c r="Z5" s="353">
        <v>1</v>
      </c>
      <c r="AA5" s="353">
        <v>1</v>
      </c>
      <c r="AB5" s="472">
        <f>+W5+X5+Y5+Z5+AA5</f>
        <v>7</v>
      </c>
      <c r="AC5" s="353">
        <v>2</v>
      </c>
      <c r="AD5" s="353">
        <v>3</v>
      </c>
      <c r="AE5" s="353">
        <v>0</v>
      </c>
      <c r="AF5" s="353">
        <v>1</v>
      </c>
      <c r="AG5" s="472">
        <f>+AC5+AD5+AE5+AF5</f>
        <v>6</v>
      </c>
      <c r="AH5" s="353">
        <v>0</v>
      </c>
      <c r="AI5" s="353"/>
      <c r="AJ5" s="353"/>
      <c r="AK5" s="353"/>
      <c r="AL5" s="389">
        <f>+AH5+AI5+AJ5+AK5</f>
        <v>0</v>
      </c>
      <c r="AM5" s="353"/>
      <c r="AN5" s="353"/>
      <c r="AO5" s="353"/>
      <c r="AP5" s="353"/>
      <c r="AQ5" s="353"/>
      <c r="AR5" s="389">
        <f t="shared" ref="AR5:AR14" si="8">+AM5+AN5+AO5+AP5+AQ5</f>
        <v>0</v>
      </c>
      <c r="AS5" s="353"/>
      <c r="AT5" s="353"/>
      <c r="AU5" s="353"/>
      <c r="AV5" s="354"/>
      <c r="AW5" s="389">
        <f t="shared" si="4"/>
        <v>0</v>
      </c>
      <c r="AX5" s="354"/>
      <c r="AY5" s="354"/>
      <c r="AZ5" s="354"/>
      <c r="BA5" s="354"/>
      <c r="BB5" s="389">
        <f>+AX5+AY5+AZ5+BA5</f>
        <v>0</v>
      </c>
      <c r="BC5" s="354"/>
      <c r="BD5" s="354"/>
      <c r="BE5" s="354"/>
      <c r="BF5" s="354"/>
      <c r="BG5" s="354"/>
      <c r="BH5" s="389">
        <f t="shared" si="5"/>
        <v>0</v>
      </c>
      <c r="BI5" s="353"/>
      <c r="BJ5" s="353"/>
      <c r="BK5" s="353"/>
      <c r="BL5" s="353"/>
      <c r="BM5" s="389">
        <f t="shared" si="2"/>
        <v>0</v>
      </c>
      <c r="BN5" s="353"/>
      <c r="BO5" s="353"/>
      <c r="BP5" s="353"/>
      <c r="BQ5" s="353"/>
      <c r="BR5" s="353"/>
      <c r="BS5" s="395">
        <f t="shared" si="6"/>
        <v>0</v>
      </c>
      <c r="BT5" s="655">
        <f>+IFERROR(AL6/AL5,0)</f>
        <v>0</v>
      </c>
      <c r="BU5" s="403">
        <f t="shared" si="3"/>
        <v>34</v>
      </c>
      <c r="BV5" s="645">
        <f>+IFERROR(BU6/BU5,0)</f>
        <v>119.14470588235294</v>
      </c>
      <c r="BX5" s="234"/>
      <c r="CA5" s="230" t="s">
        <v>285</v>
      </c>
      <c r="CB5" s="231">
        <f>+BU19</f>
        <v>815</v>
      </c>
      <c r="CC5" s="231">
        <f>+AL23</f>
        <v>189</v>
      </c>
      <c r="CD5" s="237">
        <f t="shared" si="7"/>
        <v>0.14592658907788719</v>
      </c>
    </row>
    <row r="6" spans="2:86" ht="18.5" customHeight="1" x14ac:dyDescent="0.2">
      <c r="B6" s="648"/>
      <c r="C6" s="650"/>
      <c r="D6" s="652"/>
      <c r="E6" s="375" t="s">
        <v>13</v>
      </c>
      <c r="F6" s="380">
        <v>10276</v>
      </c>
      <c r="G6" s="654"/>
      <c r="H6" s="363"/>
      <c r="I6" s="363"/>
      <c r="J6" s="363"/>
      <c r="K6" s="363">
        <v>804</v>
      </c>
      <c r="L6" s="471">
        <f t="shared" si="0"/>
        <v>804</v>
      </c>
      <c r="M6" s="363"/>
      <c r="N6" s="363"/>
      <c r="O6" s="363"/>
      <c r="P6" s="363">
        <v>371</v>
      </c>
      <c r="Q6" s="471">
        <f>+M6+N6+O6+P6</f>
        <v>371</v>
      </c>
      <c r="R6" s="363"/>
      <c r="S6" s="363"/>
      <c r="T6" s="363"/>
      <c r="U6" s="363">
        <v>1406</v>
      </c>
      <c r="V6" s="471">
        <f>+R6+S6+T6+U6</f>
        <v>1406</v>
      </c>
      <c r="W6" s="363">
        <v>45</v>
      </c>
      <c r="X6" s="363">
        <v>235</v>
      </c>
      <c r="Y6" s="367">
        <v>382</v>
      </c>
      <c r="Z6" s="363">
        <v>343</v>
      </c>
      <c r="AA6" s="363">
        <v>55</v>
      </c>
      <c r="AB6" s="471">
        <f>+W6+X6+Y6+Z6+AA6</f>
        <v>1060</v>
      </c>
      <c r="AC6" s="363">
        <v>211</v>
      </c>
      <c r="AD6" s="363">
        <v>187</v>
      </c>
      <c r="AE6" s="363">
        <v>0</v>
      </c>
      <c r="AF6" s="363">
        <v>11.92</v>
      </c>
      <c r="AG6" s="471">
        <f t="shared" si="1"/>
        <v>409.92</v>
      </c>
      <c r="AH6" s="363">
        <v>0</v>
      </c>
      <c r="AI6" s="363"/>
      <c r="AJ6" s="363"/>
      <c r="AK6" s="363"/>
      <c r="AL6" s="388">
        <f>+AH6+AI6+AJ6+AK6</f>
        <v>0</v>
      </c>
      <c r="AM6" s="363"/>
      <c r="AN6" s="363"/>
      <c r="AO6" s="363"/>
      <c r="AP6" s="363"/>
      <c r="AQ6" s="363"/>
      <c r="AR6" s="388">
        <f t="shared" si="8"/>
        <v>0</v>
      </c>
      <c r="AS6" s="363"/>
      <c r="AT6" s="363"/>
      <c r="AU6" s="363"/>
      <c r="AV6" s="367"/>
      <c r="AW6" s="388">
        <f t="shared" si="4"/>
        <v>0</v>
      </c>
      <c r="AX6" s="367"/>
      <c r="AY6" s="367"/>
      <c r="AZ6" s="367"/>
      <c r="BA6" s="367"/>
      <c r="BB6" s="388">
        <f>+AX6+AY6+AZ6+BA6</f>
        <v>0</v>
      </c>
      <c r="BC6" s="367"/>
      <c r="BD6" s="367"/>
      <c r="BE6" s="367"/>
      <c r="BF6" s="367"/>
      <c r="BG6" s="367"/>
      <c r="BH6" s="388">
        <f t="shared" si="5"/>
        <v>0</v>
      </c>
      <c r="BI6" s="363"/>
      <c r="BJ6" s="363"/>
      <c r="BK6" s="363"/>
      <c r="BL6" s="363"/>
      <c r="BM6" s="388">
        <f t="shared" si="2"/>
        <v>0</v>
      </c>
      <c r="BN6" s="363"/>
      <c r="BO6" s="363"/>
      <c r="BP6" s="363"/>
      <c r="BQ6" s="363"/>
      <c r="BR6" s="363"/>
      <c r="BS6" s="394">
        <f t="shared" si="6"/>
        <v>0</v>
      </c>
      <c r="BT6" s="656"/>
      <c r="BU6" s="402">
        <f t="shared" si="3"/>
        <v>4050.92</v>
      </c>
      <c r="BV6" s="646"/>
      <c r="BW6" s="231"/>
      <c r="BX6" s="231"/>
      <c r="BY6" s="231"/>
      <c r="CA6" s="241" t="s">
        <v>249</v>
      </c>
      <c r="CB6" s="331">
        <f>SUM(CB3:CB5)</f>
        <v>5585</v>
      </c>
      <c r="CC6" s="331">
        <f>SUM(CC3:CC5)</f>
        <v>261</v>
      </c>
    </row>
    <row r="7" spans="2:86" ht="18.5" customHeight="1" x14ac:dyDescent="0.2">
      <c r="B7" s="657" t="s">
        <v>222</v>
      </c>
      <c r="C7" s="649">
        <v>3</v>
      </c>
      <c r="D7" s="658" t="s">
        <v>286</v>
      </c>
      <c r="E7" s="376" t="s">
        <v>0</v>
      </c>
      <c r="F7" s="381">
        <v>222</v>
      </c>
      <c r="G7" s="653">
        <f>+F8/F7</f>
        <v>40.707207207207205</v>
      </c>
      <c r="H7" s="353"/>
      <c r="I7" s="353"/>
      <c r="J7" s="353"/>
      <c r="K7" s="353">
        <f>17-1</f>
        <v>16</v>
      </c>
      <c r="L7" s="472">
        <f t="shared" si="0"/>
        <v>16</v>
      </c>
      <c r="M7" s="353"/>
      <c r="N7" s="353"/>
      <c r="O7" s="353"/>
      <c r="P7" s="353">
        <v>15</v>
      </c>
      <c r="Q7" s="472">
        <f t="shared" ref="Q7:Q14" si="9">+M7+N7+O7+P7</f>
        <v>15</v>
      </c>
      <c r="R7" s="353"/>
      <c r="S7" s="353"/>
      <c r="T7" s="353"/>
      <c r="U7" s="353">
        <v>19</v>
      </c>
      <c r="V7" s="472">
        <f t="shared" ref="V7:V14" si="10">+R7+S7+T7+U7</f>
        <v>19</v>
      </c>
      <c r="W7" s="353">
        <v>24</v>
      </c>
      <c r="X7" s="353">
        <v>2</v>
      </c>
      <c r="Y7" s="353">
        <v>0</v>
      </c>
      <c r="Z7" s="353">
        <v>0</v>
      </c>
      <c r="AA7" s="353">
        <v>0</v>
      </c>
      <c r="AB7" s="472">
        <f>W7+X7+Y7+Z7+AA7</f>
        <v>26</v>
      </c>
      <c r="AC7" s="353">
        <v>20</v>
      </c>
      <c r="AD7" s="353">
        <v>0</v>
      </c>
      <c r="AE7" s="353">
        <v>0</v>
      </c>
      <c r="AF7" s="353">
        <v>0</v>
      </c>
      <c r="AG7" s="472">
        <f t="shared" si="1"/>
        <v>20</v>
      </c>
      <c r="AH7" s="353">
        <v>13</v>
      </c>
      <c r="AI7" s="353"/>
      <c r="AJ7" s="353"/>
      <c r="AK7" s="353"/>
      <c r="AL7" s="389">
        <f t="shared" ref="AL7:AL14" si="11">+AH7+AI7+AJ7+AK7</f>
        <v>13</v>
      </c>
      <c r="AM7" s="353"/>
      <c r="AN7" s="353"/>
      <c r="AO7" s="353"/>
      <c r="AP7" s="353"/>
      <c r="AQ7" s="353"/>
      <c r="AR7" s="389">
        <f t="shared" si="8"/>
        <v>0</v>
      </c>
      <c r="AS7" s="353"/>
      <c r="AT7" s="353"/>
      <c r="AU7" s="353"/>
      <c r="AV7" s="353"/>
      <c r="AW7" s="389">
        <f t="shared" si="4"/>
        <v>0</v>
      </c>
      <c r="AX7" s="353"/>
      <c r="AY7" s="353"/>
      <c r="AZ7" s="353"/>
      <c r="BA7" s="352"/>
      <c r="BB7" s="389">
        <f t="shared" ref="BB7:BB14" si="12">+AX7+AY7+AZ7+BA7</f>
        <v>0</v>
      </c>
      <c r="BC7" s="353"/>
      <c r="BD7" s="353"/>
      <c r="BE7" s="353"/>
      <c r="BF7" s="353"/>
      <c r="BG7" s="353"/>
      <c r="BH7" s="389">
        <f t="shared" si="5"/>
        <v>0</v>
      </c>
      <c r="BI7" s="353"/>
      <c r="BJ7" s="353"/>
      <c r="BK7" s="353"/>
      <c r="BL7" s="353"/>
      <c r="BM7" s="389">
        <f t="shared" si="2"/>
        <v>0</v>
      </c>
      <c r="BN7" s="353"/>
      <c r="BO7" s="353"/>
      <c r="BP7" s="353"/>
      <c r="BQ7" s="353"/>
      <c r="BR7" s="353"/>
      <c r="BS7" s="395">
        <f t="shared" si="6"/>
        <v>0</v>
      </c>
      <c r="BT7" s="655">
        <f>+IFERROR(AL8/AL7,0)</f>
        <v>47.384615384615387</v>
      </c>
      <c r="BU7" s="403">
        <f t="shared" si="3"/>
        <v>109</v>
      </c>
      <c r="BV7" s="645">
        <f>+IFERROR(BU8/BU7,0)</f>
        <v>38.592742213529554</v>
      </c>
      <c r="BW7" s="521">
        <v>20</v>
      </c>
      <c r="BX7" s="521">
        <f t="shared" ref="BX7:BX10" si="13">+BW7-AG7</f>
        <v>0</v>
      </c>
      <c r="BY7" s="231"/>
    </row>
    <row r="8" spans="2:86" ht="18.5" customHeight="1" x14ac:dyDescent="0.2">
      <c r="B8" s="648"/>
      <c r="C8" s="650"/>
      <c r="D8" s="652"/>
      <c r="E8" s="375" t="s">
        <v>13</v>
      </c>
      <c r="F8" s="380">
        <v>9037</v>
      </c>
      <c r="G8" s="654"/>
      <c r="H8" s="363"/>
      <c r="I8" s="363"/>
      <c r="J8" s="363"/>
      <c r="K8" s="363">
        <f>(1785615.6862/1000)-1218</f>
        <v>567.61568620000003</v>
      </c>
      <c r="L8" s="471">
        <f t="shared" si="0"/>
        <v>567.61568620000003</v>
      </c>
      <c r="M8" s="363"/>
      <c r="N8" s="363"/>
      <c r="O8" s="363"/>
      <c r="P8" s="363">
        <f>778370.215074722/1000</f>
        <v>778.37021507472195</v>
      </c>
      <c r="Q8" s="471">
        <f t="shared" si="9"/>
        <v>778.37021507472195</v>
      </c>
      <c r="R8" s="363"/>
      <c r="S8" s="363"/>
      <c r="T8" s="363"/>
      <c r="U8" s="363">
        <f>814623/1000</f>
        <v>814.62300000000005</v>
      </c>
      <c r="V8" s="471">
        <f t="shared" si="10"/>
        <v>814.62300000000005</v>
      </c>
      <c r="W8" s="363">
        <v>669</v>
      </c>
      <c r="X8" s="363">
        <v>62</v>
      </c>
      <c r="Y8" s="363">
        <v>-3</v>
      </c>
      <c r="Z8" s="363">
        <v>0</v>
      </c>
      <c r="AA8" s="363">
        <v>0</v>
      </c>
      <c r="AB8" s="471">
        <f>W8+X8+Y8+Z8+AA8</f>
        <v>728</v>
      </c>
      <c r="AC8" s="363">
        <v>700</v>
      </c>
      <c r="AD8" s="363">
        <v>2</v>
      </c>
      <c r="AE8" s="363">
        <v>0</v>
      </c>
      <c r="AF8" s="363">
        <v>0</v>
      </c>
      <c r="AG8" s="471">
        <f t="shared" si="1"/>
        <v>702</v>
      </c>
      <c r="AH8" s="363">
        <v>616</v>
      </c>
      <c r="AI8" s="363"/>
      <c r="AJ8" s="363"/>
      <c r="AK8" s="363"/>
      <c r="AL8" s="388">
        <f t="shared" si="11"/>
        <v>616</v>
      </c>
      <c r="AM8" s="363"/>
      <c r="AN8" s="363"/>
      <c r="AO8" s="363"/>
      <c r="AP8" s="363"/>
      <c r="AQ8" s="363"/>
      <c r="AR8" s="388">
        <f t="shared" si="8"/>
        <v>0</v>
      </c>
      <c r="AS8" s="363"/>
      <c r="AT8" s="363"/>
      <c r="AU8" s="363"/>
      <c r="AV8" s="363"/>
      <c r="AW8" s="388">
        <f t="shared" si="4"/>
        <v>0</v>
      </c>
      <c r="AX8" s="363"/>
      <c r="AY8" s="363"/>
      <c r="AZ8" s="363"/>
      <c r="BA8" s="362"/>
      <c r="BB8" s="388">
        <f t="shared" si="12"/>
        <v>0</v>
      </c>
      <c r="BC8" s="363"/>
      <c r="BD8" s="363"/>
      <c r="BE8" s="363"/>
      <c r="BF8" s="363"/>
      <c r="BG8" s="363"/>
      <c r="BH8" s="388">
        <f t="shared" si="5"/>
        <v>0</v>
      </c>
      <c r="BI8" s="363"/>
      <c r="BJ8" s="363"/>
      <c r="BK8" s="363"/>
      <c r="BL8" s="363"/>
      <c r="BM8" s="388">
        <f t="shared" si="2"/>
        <v>0</v>
      </c>
      <c r="BN8" s="363"/>
      <c r="BO8" s="363"/>
      <c r="BP8" s="363"/>
      <c r="BQ8" s="363"/>
      <c r="BR8" s="363"/>
      <c r="BS8" s="394">
        <f t="shared" si="6"/>
        <v>0</v>
      </c>
      <c r="BT8" s="656"/>
      <c r="BU8" s="402">
        <f t="shared" si="3"/>
        <v>4206.6089012747216</v>
      </c>
      <c r="BV8" s="646"/>
      <c r="BW8" s="521">
        <v>702</v>
      </c>
      <c r="BX8" s="521">
        <f t="shared" si="13"/>
        <v>0</v>
      </c>
      <c r="BY8" s="231"/>
    </row>
    <row r="9" spans="2:86" ht="18.5" customHeight="1" x14ac:dyDescent="0.2">
      <c r="B9" s="657" t="s">
        <v>222</v>
      </c>
      <c r="C9" s="649">
        <v>4</v>
      </c>
      <c r="D9" s="651" t="s">
        <v>303</v>
      </c>
      <c r="E9" s="376" t="s">
        <v>0</v>
      </c>
      <c r="F9" s="381">
        <v>204</v>
      </c>
      <c r="G9" s="653">
        <f>+F10/F9</f>
        <v>45.849955882352937</v>
      </c>
      <c r="H9" s="353"/>
      <c r="I9" s="353"/>
      <c r="J9" s="353"/>
      <c r="K9" s="353">
        <v>10</v>
      </c>
      <c r="L9" s="472">
        <f t="shared" si="0"/>
        <v>10</v>
      </c>
      <c r="M9" s="353"/>
      <c r="N9" s="353"/>
      <c r="O9" s="353"/>
      <c r="P9" s="353">
        <v>17</v>
      </c>
      <c r="Q9" s="472">
        <f t="shared" si="9"/>
        <v>17</v>
      </c>
      <c r="R9" s="353"/>
      <c r="S9" s="353"/>
      <c r="T9" s="353"/>
      <c r="U9" s="353">
        <f>19+1</f>
        <v>20</v>
      </c>
      <c r="V9" s="472">
        <f t="shared" si="10"/>
        <v>20</v>
      </c>
      <c r="W9" s="353"/>
      <c r="X9" s="353">
        <v>0</v>
      </c>
      <c r="Y9" s="353">
        <v>0</v>
      </c>
      <c r="Z9" s="353">
        <f>7+2</f>
        <v>9</v>
      </c>
      <c r="AA9" s="353">
        <f>11+1</f>
        <v>12</v>
      </c>
      <c r="AB9" s="472">
        <f t="shared" ref="AB9:AB14" si="14">+W9+X9+Y9+Z9+AA9</f>
        <v>21</v>
      </c>
      <c r="AC9" s="353">
        <v>0</v>
      </c>
      <c r="AD9" s="353">
        <v>1</v>
      </c>
      <c r="AE9" s="353">
        <v>5</v>
      </c>
      <c r="AF9" s="353">
        <f>7+5</f>
        <v>12</v>
      </c>
      <c r="AG9" s="472">
        <f t="shared" si="1"/>
        <v>18</v>
      </c>
      <c r="AH9" s="353">
        <v>0</v>
      </c>
      <c r="AI9" s="353"/>
      <c r="AJ9" s="353"/>
      <c r="AK9" s="353"/>
      <c r="AL9" s="389">
        <f t="shared" si="11"/>
        <v>0</v>
      </c>
      <c r="AM9" s="353"/>
      <c r="AN9" s="353"/>
      <c r="AO9" s="353"/>
      <c r="AP9" s="353"/>
      <c r="AQ9" s="353"/>
      <c r="AR9" s="389">
        <f t="shared" si="8"/>
        <v>0</v>
      </c>
      <c r="AS9" s="353"/>
      <c r="AT9" s="353"/>
      <c r="AU9" s="353"/>
      <c r="AV9" s="353"/>
      <c r="AW9" s="389">
        <f t="shared" si="4"/>
        <v>0</v>
      </c>
      <c r="AX9" s="353"/>
      <c r="AY9" s="353"/>
      <c r="AZ9" s="353"/>
      <c r="BA9" s="352"/>
      <c r="BB9" s="389">
        <f t="shared" si="12"/>
        <v>0</v>
      </c>
      <c r="BC9" s="353"/>
      <c r="BD9" s="353"/>
      <c r="BE9" s="353"/>
      <c r="BF9" s="353"/>
      <c r="BG9" s="353"/>
      <c r="BH9" s="389">
        <f t="shared" si="5"/>
        <v>0</v>
      </c>
      <c r="BI9" s="353"/>
      <c r="BJ9" s="353"/>
      <c r="BK9" s="353"/>
      <c r="BL9" s="353"/>
      <c r="BM9" s="389">
        <f t="shared" si="2"/>
        <v>0</v>
      </c>
      <c r="BN9" s="353"/>
      <c r="BO9" s="353"/>
      <c r="BP9" s="353"/>
      <c r="BQ9" s="353"/>
      <c r="BR9" s="353"/>
      <c r="BS9" s="395">
        <f t="shared" si="6"/>
        <v>0</v>
      </c>
      <c r="BT9" s="655">
        <f>+IFERROR(AL10/AL9,0)</f>
        <v>0</v>
      </c>
      <c r="BU9" s="403">
        <f t="shared" si="3"/>
        <v>86</v>
      </c>
      <c r="BV9" s="645">
        <f>+IFERROR(BU10/BU9,0)</f>
        <v>41.840124533776304</v>
      </c>
      <c r="BW9" s="521">
        <v>18</v>
      </c>
      <c r="BX9" s="521">
        <f t="shared" si="13"/>
        <v>0</v>
      </c>
      <c r="BY9" s="231"/>
      <c r="CA9" s="405" t="s">
        <v>45</v>
      </c>
      <c r="CB9" s="405" t="s">
        <v>286</v>
      </c>
      <c r="CC9" s="405" t="s">
        <v>23</v>
      </c>
      <c r="CD9" s="405" t="s">
        <v>24</v>
      </c>
      <c r="CE9" s="405" t="s">
        <v>304</v>
      </c>
    </row>
    <row r="10" spans="2:86" ht="18.5" customHeight="1" x14ac:dyDescent="0.2">
      <c r="B10" s="648"/>
      <c r="C10" s="650"/>
      <c r="D10" s="652"/>
      <c r="E10" s="375" t="s">
        <v>13</v>
      </c>
      <c r="F10" s="380">
        <v>9353.3909999999996</v>
      </c>
      <c r="G10" s="654"/>
      <c r="H10" s="363"/>
      <c r="I10" s="363"/>
      <c r="J10" s="363"/>
      <c r="K10" s="363">
        <f>319250.709904762/1000</f>
        <v>319.250709904762</v>
      </c>
      <c r="L10" s="471">
        <f t="shared" si="0"/>
        <v>319.250709904762</v>
      </c>
      <c r="M10" s="363"/>
      <c r="N10" s="363"/>
      <c r="O10" s="363"/>
      <c r="P10" s="363">
        <v>606</v>
      </c>
      <c r="Q10" s="471">
        <f t="shared" si="9"/>
        <v>606</v>
      </c>
      <c r="R10" s="363"/>
      <c r="S10" s="363"/>
      <c r="T10" s="363"/>
      <c r="U10" s="363">
        <f>1004+400</f>
        <v>1404</v>
      </c>
      <c r="V10" s="471">
        <f t="shared" si="10"/>
        <v>1404</v>
      </c>
      <c r="W10" s="363"/>
      <c r="X10" s="363">
        <v>0</v>
      </c>
      <c r="Y10" s="363">
        <v>0</v>
      </c>
      <c r="Z10" s="363">
        <f>198+85</f>
        <v>283</v>
      </c>
      <c r="AA10" s="363">
        <f>295+60+70</f>
        <v>425</v>
      </c>
      <c r="AB10" s="471">
        <f t="shared" si="14"/>
        <v>708</v>
      </c>
      <c r="AC10" s="363">
        <v>0</v>
      </c>
      <c r="AD10" s="363">
        <v>13</v>
      </c>
      <c r="AE10" s="363">
        <v>101</v>
      </c>
      <c r="AF10" s="363">
        <f>151+106+190</f>
        <v>447</v>
      </c>
      <c r="AG10" s="471">
        <f t="shared" si="1"/>
        <v>561</v>
      </c>
      <c r="AH10" s="363">
        <v>0</v>
      </c>
      <c r="AI10" s="363"/>
      <c r="AJ10" s="363"/>
      <c r="AK10" s="363"/>
      <c r="AL10" s="388">
        <f t="shared" si="11"/>
        <v>0</v>
      </c>
      <c r="AM10" s="363"/>
      <c r="AN10" s="363"/>
      <c r="AO10" s="363"/>
      <c r="AP10" s="363"/>
      <c r="AQ10" s="363"/>
      <c r="AR10" s="388">
        <f t="shared" si="8"/>
        <v>0</v>
      </c>
      <c r="AS10" s="363"/>
      <c r="AT10" s="363"/>
      <c r="AU10" s="363"/>
      <c r="AV10" s="363"/>
      <c r="AW10" s="388">
        <f t="shared" si="4"/>
        <v>0</v>
      </c>
      <c r="AX10" s="363"/>
      <c r="AY10" s="363"/>
      <c r="AZ10" s="363"/>
      <c r="BA10" s="362"/>
      <c r="BB10" s="388">
        <f t="shared" si="12"/>
        <v>0</v>
      </c>
      <c r="BC10" s="363"/>
      <c r="BD10" s="363"/>
      <c r="BE10" s="363"/>
      <c r="BF10" s="363"/>
      <c r="BG10" s="363"/>
      <c r="BH10" s="388">
        <f t="shared" si="5"/>
        <v>0</v>
      </c>
      <c r="BI10" s="363"/>
      <c r="BJ10" s="363"/>
      <c r="BK10" s="363"/>
      <c r="BL10" s="363"/>
      <c r="BM10" s="388">
        <f t="shared" si="2"/>
        <v>0</v>
      </c>
      <c r="BN10" s="363"/>
      <c r="BO10" s="363"/>
      <c r="BP10" s="363"/>
      <c r="BQ10" s="363"/>
      <c r="BR10" s="363"/>
      <c r="BS10" s="394">
        <f t="shared" si="6"/>
        <v>0</v>
      </c>
      <c r="BT10" s="656"/>
      <c r="BU10" s="402">
        <f t="shared" si="3"/>
        <v>3598.2507099047621</v>
      </c>
      <c r="BV10" s="646"/>
      <c r="BW10" s="521">
        <v>561</v>
      </c>
      <c r="BX10" s="521">
        <f t="shared" si="13"/>
        <v>0</v>
      </c>
      <c r="BY10" s="231"/>
      <c r="CA10" s="406" t="s">
        <v>305</v>
      </c>
      <c r="CB10" s="230">
        <f>L7</f>
        <v>16</v>
      </c>
      <c r="CC10" s="230">
        <f>L9</f>
        <v>10</v>
      </c>
      <c r="CD10" s="230">
        <f>L11</f>
        <v>12</v>
      </c>
      <c r="CE10" s="230">
        <f>L13</f>
        <v>27</v>
      </c>
    </row>
    <row r="11" spans="2:86" ht="18.5" customHeight="1" x14ac:dyDescent="0.2">
      <c r="B11" s="647" t="s">
        <v>224</v>
      </c>
      <c r="C11" s="649">
        <v>5</v>
      </c>
      <c r="D11" s="651" t="s">
        <v>306</v>
      </c>
      <c r="E11" s="376" t="s">
        <v>0</v>
      </c>
      <c r="F11" s="381">
        <v>219</v>
      </c>
      <c r="G11" s="653">
        <f>+F12/F11</f>
        <v>44.726027397260275</v>
      </c>
      <c r="H11" s="353"/>
      <c r="I11" s="353"/>
      <c r="J11" s="353"/>
      <c r="K11" s="353">
        <v>12</v>
      </c>
      <c r="L11" s="472">
        <f t="shared" si="0"/>
        <v>12</v>
      </c>
      <c r="M11" s="353"/>
      <c r="N11" s="353"/>
      <c r="O11" s="353"/>
      <c r="P11" s="353">
        <v>12</v>
      </c>
      <c r="Q11" s="472">
        <f t="shared" si="9"/>
        <v>12</v>
      </c>
      <c r="R11" s="353"/>
      <c r="S11" s="353"/>
      <c r="T11" s="353"/>
      <c r="U11" s="353">
        <f>15+1</f>
        <v>16</v>
      </c>
      <c r="V11" s="472">
        <f t="shared" si="10"/>
        <v>16</v>
      </c>
      <c r="W11" s="353"/>
      <c r="X11" s="353">
        <v>8</v>
      </c>
      <c r="Y11" s="353">
        <v>3</v>
      </c>
      <c r="Z11" s="353">
        <f>5+2</f>
        <v>7</v>
      </c>
      <c r="AA11" s="353">
        <f>3</f>
        <v>3</v>
      </c>
      <c r="AB11" s="472">
        <f t="shared" si="14"/>
        <v>21</v>
      </c>
      <c r="AC11" s="353">
        <v>5</v>
      </c>
      <c r="AD11" s="353">
        <v>3</v>
      </c>
      <c r="AE11" s="353">
        <v>2</v>
      </c>
      <c r="AF11" s="353">
        <v>5</v>
      </c>
      <c r="AG11" s="472">
        <f t="shared" si="1"/>
        <v>15</v>
      </c>
      <c r="AH11" s="353">
        <v>1</v>
      </c>
      <c r="AI11" s="353"/>
      <c r="AJ11" s="353"/>
      <c r="AK11" s="353"/>
      <c r="AL11" s="389">
        <f t="shared" si="11"/>
        <v>1</v>
      </c>
      <c r="AM11" s="353"/>
      <c r="AN11" s="353"/>
      <c r="AO11" s="353"/>
      <c r="AP11" s="353"/>
      <c r="AQ11" s="353"/>
      <c r="AR11" s="389">
        <f t="shared" si="8"/>
        <v>0</v>
      </c>
      <c r="AS11" s="353"/>
      <c r="AT11" s="353"/>
      <c r="AU11" s="353"/>
      <c r="AV11" s="353"/>
      <c r="AW11" s="389">
        <f t="shared" si="4"/>
        <v>0</v>
      </c>
      <c r="AX11" s="353"/>
      <c r="AY11" s="353"/>
      <c r="AZ11" s="353"/>
      <c r="BA11" s="353"/>
      <c r="BB11" s="389">
        <f t="shared" si="12"/>
        <v>0</v>
      </c>
      <c r="BC11" s="353"/>
      <c r="BD11" s="353"/>
      <c r="BE11" s="353"/>
      <c r="BF11" s="353"/>
      <c r="BG11" s="353"/>
      <c r="BH11" s="389">
        <f t="shared" si="5"/>
        <v>0</v>
      </c>
      <c r="BI11" s="353"/>
      <c r="BJ11" s="353"/>
      <c r="BK11" s="353"/>
      <c r="BL11" s="353"/>
      <c r="BM11" s="389">
        <f t="shared" si="2"/>
        <v>0</v>
      </c>
      <c r="BN11" s="353"/>
      <c r="BO11" s="353"/>
      <c r="BP11" s="353"/>
      <c r="BQ11" s="353"/>
      <c r="BR11" s="353"/>
      <c r="BS11" s="395">
        <f t="shared" si="6"/>
        <v>0</v>
      </c>
      <c r="BT11" s="655">
        <f>+IFERROR(AL12/AL11,0)</f>
        <v>76</v>
      </c>
      <c r="BU11" s="403">
        <f t="shared" si="3"/>
        <v>77</v>
      </c>
      <c r="BV11" s="645">
        <f>+IFERROR(BU12/BU11,0)</f>
        <v>41.694139212603126</v>
      </c>
      <c r="BW11" s="521">
        <v>15</v>
      </c>
      <c r="BX11" s="521">
        <f>+BW11-AG11</f>
        <v>0</v>
      </c>
      <c r="BY11" s="231"/>
      <c r="CA11" s="406" t="s">
        <v>307</v>
      </c>
      <c r="CB11" s="230">
        <f>Q7</f>
        <v>15</v>
      </c>
      <c r="CC11" s="230">
        <f>Q9</f>
        <v>17</v>
      </c>
      <c r="CD11" s="230">
        <f>Q11</f>
        <v>12</v>
      </c>
      <c r="CE11" s="230">
        <f>Q13</f>
        <v>10</v>
      </c>
      <c r="CF11" s="233"/>
      <c r="CG11" s="233"/>
      <c r="CH11" s="233"/>
    </row>
    <row r="12" spans="2:86" ht="18.5" customHeight="1" x14ac:dyDescent="0.2">
      <c r="B12" s="648"/>
      <c r="C12" s="650"/>
      <c r="D12" s="652"/>
      <c r="E12" s="375" t="s">
        <v>13</v>
      </c>
      <c r="F12" s="380">
        <v>9795</v>
      </c>
      <c r="G12" s="654"/>
      <c r="H12" s="363"/>
      <c r="I12" s="363"/>
      <c r="J12" s="363"/>
      <c r="K12" s="363">
        <f>452448.719370441/1000</f>
        <v>452.44871937044098</v>
      </c>
      <c r="L12" s="471">
        <f t="shared" si="0"/>
        <v>452.44871937044098</v>
      </c>
      <c r="M12" s="363"/>
      <c r="N12" s="363"/>
      <c r="O12" s="363"/>
      <c r="P12" s="363">
        <v>392</v>
      </c>
      <c r="Q12" s="471">
        <f t="shared" si="9"/>
        <v>392</v>
      </c>
      <c r="R12" s="363"/>
      <c r="S12" s="363"/>
      <c r="T12" s="363"/>
      <c r="U12" s="363">
        <f>623+400</f>
        <v>1023</v>
      </c>
      <c r="V12" s="471">
        <f t="shared" si="10"/>
        <v>1023</v>
      </c>
      <c r="W12" s="363"/>
      <c r="X12" s="363">
        <v>256</v>
      </c>
      <c r="Y12" s="363">
        <v>166</v>
      </c>
      <c r="Z12" s="363">
        <f>128+60</f>
        <v>188</v>
      </c>
      <c r="AA12" s="363">
        <f>78</f>
        <v>78</v>
      </c>
      <c r="AB12" s="471">
        <f t="shared" si="14"/>
        <v>688</v>
      </c>
      <c r="AC12" s="363">
        <v>138</v>
      </c>
      <c r="AD12" s="363">
        <v>282</v>
      </c>
      <c r="AE12" s="363">
        <v>71</v>
      </c>
      <c r="AF12" s="363">
        <v>88</v>
      </c>
      <c r="AG12" s="471">
        <f t="shared" si="1"/>
        <v>579</v>
      </c>
      <c r="AH12" s="363">
        <v>76</v>
      </c>
      <c r="AI12" s="363"/>
      <c r="AJ12" s="363"/>
      <c r="AK12" s="363"/>
      <c r="AL12" s="388">
        <f t="shared" si="11"/>
        <v>76</v>
      </c>
      <c r="AM12" s="363"/>
      <c r="AN12" s="363"/>
      <c r="AO12" s="363"/>
      <c r="AP12" s="363"/>
      <c r="AQ12" s="363"/>
      <c r="AR12" s="388">
        <f t="shared" si="8"/>
        <v>0</v>
      </c>
      <c r="AS12" s="363"/>
      <c r="AT12" s="363"/>
      <c r="AU12" s="363"/>
      <c r="AV12" s="363"/>
      <c r="AW12" s="388">
        <f t="shared" si="4"/>
        <v>0</v>
      </c>
      <c r="AX12" s="363"/>
      <c r="AY12" s="363"/>
      <c r="AZ12" s="363"/>
      <c r="BA12" s="363"/>
      <c r="BB12" s="388">
        <f t="shared" si="12"/>
        <v>0</v>
      </c>
      <c r="BC12" s="363"/>
      <c r="BD12" s="363"/>
      <c r="BE12" s="363"/>
      <c r="BF12" s="363"/>
      <c r="BG12" s="363"/>
      <c r="BH12" s="388">
        <f t="shared" si="5"/>
        <v>0</v>
      </c>
      <c r="BI12" s="363"/>
      <c r="BJ12" s="363"/>
      <c r="BK12" s="363"/>
      <c r="BL12" s="363"/>
      <c r="BM12" s="388">
        <f t="shared" si="2"/>
        <v>0</v>
      </c>
      <c r="BN12" s="363"/>
      <c r="BO12" s="363"/>
      <c r="BP12" s="363"/>
      <c r="BQ12" s="363"/>
      <c r="BR12" s="363"/>
      <c r="BS12" s="394">
        <f t="shared" si="6"/>
        <v>0</v>
      </c>
      <c r="BT12" s="656"/>
      <c r="BU12" s="402">
        <f t="shared" si="3"/>
        <v>3210.4487193704408</v>
      </c>
      <c r="BV12" s="646"/>
      <c r="BW12" s="521">
        <v>579</v>
      </c>
      <c r="BX12" s="521">
        <f>+BW12-AG12</f>
        <v>0</v>
      </c>
      <c r="BY12" s="231"/>
      <c r="CA12" s="406" t="s">
        <v>308</v>
      </c>
      <c r="CB12" s="230">
        <f>V7</f>
        <v>19</v>
      </c>
      <c r="CC12" s="230">
        <f>V9</f>
        <v>20</v>
      </c>
      <c r="CD12" s="230">
        <f>V11</f>
        <v>16</v>
      </c>
      <c r="CE12" s="230">
        <f>V13</f>
        <v>15</v>
      </c>
    </row>
    <row r="13" spans="2:86" ht="18.5" customHeight="1" x14ac:dyDescent="0.2">
      <c r="B13" s="647" t="s">
        <v>224</v>
      </c>
      <c r="C13" s="649">
        <v>6</v>
      </c>
      <c r="D13" s="651" t="s">
        <v>309</v>
      </c>
      <c r="E13" s="376" t="s">
        <v>0</v>
      </c>
      <c r="F13" s="381">
        <v>216</v>
      </c>
      <c r="G13" s="653">
        <f>+F14/F13</f>
        <v>41.782407407407405</v>
      </c>
      <c r="H13" s="353"/>
      <c r="I13" s="353"/>
      <c r="J13" s="353"/>
      <c r="K13" s="353">
        <v>27</v>
      </c>
      <c r="L13" s="472">
        <f t="shared" si="0"/>
        <v>27</v>
      </c>
      <c r="M13" s="353"/>
      <c r="N13" s="353"/>
      <c r="O13" s="353"/>
      <c r="P13" s="353">
        <v>10</v>
      </c>
      <c r="Q13" s="472">
        <f t="shared" si="9"/>
        <v>10</v>
      </c>
      <c r="R13" s="353"/>
      <c r="S13" s="353"/>
      <c r="T13" s="353"/>
      <c r="U13" s="353">
        <v>15</v>
      </c>
      <c r="V13" s="472">
        <f t="shared" si="10"/>
        <v>15</v>
      </c>
      <c r="W13" s="353"/>
      <c r="X13" s="353">
        <v>1</v>
      </c>
      <c r="Y13" s="353">
        <v>11</v>
      </c>
      <c r="Z13" s="353">
        <v>0</v>
      </c>
      <c r="AA13" s="353">
        <v>5</v>
      </c>
      <c r="AB13" s="472">
        <f t="shared" si="14"/>
        <v>17</v>
      </c>
      <c r="AC13" s="353">
        <v>4</v>
      </c>
      <c r="AD13" s="353">
        <v>3</v>
      </c>
      <c r="AE13" s="353">
        <v>2</v>
      </c>
      <c r="AF13" s="353">
        <v>1</v>
      </c>
      <c r="AG13" s="472">
        <f t="shared" si="1"/>
        <v>10</v>
      </c>
      <c r="AH13" s="353">
        <v>3</v>
      </c>
      <c r="AI13" s="353"/>
      <c r="AJ13" s="353"/>
      <c r="AK13" s="353"/>
      <c r="AL13" s="389">
        <f t="shared" si="11"/>
        <v>3</v>
      </c>
      <c r="AM13" s="353"/>
      <c r="AN13" s="353"/>
      <c r="AO13" s="353"/>
      <c r="AP13" s="353"/>
      <c r="AQ13" s="353"/>
      <c r="AR13" s="389">
        <f t="shared" si="8"/>
        <v>0</v>
      </c>
      <c r="AS13" s="353"/>
      <c r="AT13" s="353"/>
      <c r="AU13" s="353"/>
      <c r="AV13" s="353"/>
      <c r="AW13" s="389">
        <f t="shared" si="4"/>
        <v>0</v>
      </c>
      <c r="AX13" s="353"/>
      <c r="AY13" s="353"/>
      <c r="AZ13" s="353"/>
      <c r="BA13" s="353"/>
      <c r="BB13" s="389">
        <f t="shared" si="12"/>
        <v>0</v>
      </c>
      <c r="BC13" s="353"/>
      <c r="BD13" s="353"/>
      <c r="BE13" s="353"/>
      <c r="BF13" s="353"/>
      <c r="BG13" s="353"/>
      <c r="BH13" s="389">
        <f>+BC13+BD13+BE13+BF13+BG13</f>
        <v>0</v>
      </c>
      <c r="BI13" s="353"/>
      <c r="BJ13" s="353"/>
      <c r="BK13" s="353"/>
      <c r="BL13" s="353"/>
      <c r="BM13" s="389">
        <f t="shared" si="2"/>
        <v>0</v>
      </c>
      <c r="BN13" s="353"/>
      <c r="BO13" s="353"/>
      <c r="BP13" s="353"/>
      <c r="BQ13" s="353"/>
      <c r="BR13" s="353"/>
      <c r="BS13" s="395">
        <f t="shared" si="6"/>
        <v>0</v>
      </c>
      <c r="BT13" s="655">
        <f>+IFERROR(AL14/AL13,0)</f>
        <v>16.333333333333332</v>
      </c>
      <c r="BU13" s="403">
        <f t="shared" si="3"/>
        <v>82</v>
      </c>
      <c r="BV13" s="645">
        <f>+IFERROR(BU14/BU13,0)</f>
        <v>39.670731707317074</v>
      </c>
      <c r="BW13" s="521">
        <v>10</v>
      </c>
      <c r="BX13" s="521">
        <f>+BW13-AG13</f>
        <v>0</v>
      </c>
      <c r="BY13" s="231"/>
      <c r="CA13" s="406" t="s">
        <v>310</v>
      </c>
      <c r="CB13" s="230">
        <f>AB7</f>
        <v>26</v>
      </c>
      <c r="CC13" s="230">
        <f>AB9</f>
        <v>21</v>
      </c>
      <c r="CD13" s="230">
        <f>AB11</f>
        <v>21</v>
      </c>
      <c r="CE13" s="230">
        <f>AB13</f>
        <v>17</v>
      </c>
    </row>
    <row r="14" spans="2:86" ht="18.5" customHeight="1" x14ac:dyDescent="0.2">
      <c r="B14" s="648"/>
      <c r="C14" s="650"/>
      <c r="D14" s="652"/>
      <c r="E14" s="375" t="s">
        <v>13</v>
      </c>
      <c r="F14" s="380">
        <v>9025</v>
      </c>
      <c r="G14" s="654"/>
      <c r="H14" s="363"/>
      <c r="I14" s="363"/>
      <c r="J14" s="363"/>
      <c r="K14" s="363">
        <v>1645</v>
      </c>
      <c r="L14" s="471">
        <f t="shared" si="0"/>
        <v>1645</v>
      </c>
      <c r="M14" s="363"/>
      <c r="N14" s="363"/>
      <c r="O14" s="363"/>
      <c r="P14" s="363">
        <v>239</v>
      </c>
      <c r="Q14" s="471">
        <f t="shared" si="9"/>
        <v>239</v>
      </c>
      <c r="R14" s="363"/>
      <c r="S14" s="363"/>
      <c r="T14" s="363"/>
      <c r="U14" s="363">
        <v>422</v>
      </c>
      <c r="V14" s="471">
        <f t="shared" si="10"/>
        <v>422</v>
      </c>
      <c r="W14" s="363"/>
      <c r="X14" s="363">
        <v>64</v>
      </c>
      <c r="Y14" s="363">
        <v>323</v>
      </c>
      <c r="Z14" s="363">
        <v>0</v>
      </c>
      <c r="AA14" s="363">
        <v>85</v>
      </c>
      <c r="AB14" s="471">
        <f t="shared" si="14"/>
        <v>472</v>
      </c>
      <c r="AC14" s="363">
        <v>145</v>
      </c>
      <c r="AD14" s="363">
        <v>106</v>
      </c>
      <c r="AE14" s="363">
        <v>72</v>
      </c>
      <c r="AF14" s="363">
        <v>103</v>
      </c>
      <c r="AG14" s="471">
        <f t="shared" si="1"/>
        <v>426</v>
      </c>
      <c r="AH14" s="363">
        <v>49</v>
      </c>
      <c r="AI14" s="363"/>
      <c r="AJ14" s="363"/>
      <c r="AK14" s="363"/>
      <c r="AL14" s="388">
        <f t="shared" si="11"/>
        <v>49</v>
      </c>
      <c r="AM14" s="363"/>
      <c r="AN14" s="363"/>
      <c r="AO14" s="363"/>
      <c r="AP14" s="363"/>
      <c r="AQ14" s="363"/>
      <c r="AR14" s="388">
        <f t="shared" si="8"/>
        <v>0</v>
      </c>
      <c r="AS14" s="363"/>
      <c r="AT14" s="363"/>
      <c r="AU14" s="363"/>
      <c r="AV14" s="363"/>
      <c r="AW14" s="388">
        <f t="shared" si="4"/>
        <v>0</v>
      </c>
      <c r="AX14" s="363"/>
      <c r="AY14" s="363"/>
      <c r="AZ14" s="363"/>
      <c r="BA14" s="363"/>
      <c r="BB14" s="388">
        <f t="shared" si="12"/>
        <v>0</v>
      </c>
      <c r="BC14" s="363"/>
      <c r="BD14" s="363"/>
      <c r="BE14" s="363"/>
      <c r="BF14" s="363"/>
      <c r="BG14" s="363"/>
      <c r="BH14" s="388">
        <f>+BC14+BD14+BE14+BF14+BG14</f>
        <v>0</v>
      </c>
      <c r="BI14" s="363"/>
      <c r="BJ14" s="363"/>
      <c r="BK14" s="363"/>
      <c r="BL14" s="363"/>
      <c r="BM14" s="388">
        <f t="shared" si="2"/>
        <v>0</v>
      </c>
      <c r="BN14" s="363"/>
      <c r="BO14" s="363"/>
      <c r="BP14" s="363"/>
      <c r="BQ14" s="363"/>
      <c r="BR14" s="363"/>
      <c r="BS14" s="394">
        <f t="shared" si="6"/>
        <v>0</v>
      </c>
      <c r="BT14" s="656"/>
      <c r="BU14" s="402">
        <f t="shared" si="3"/>
        <v>3253</v>
      </c>
      <c r="BV14" s="646"/>
      <c r="BW14" s="521">
        <v>426</v>
      </c>
      <c r="BX14" s="521">
        <f>+BW14-AG14</f>
        <v>0</v>
      </c>
      <c r="BY14" s="231">
        <v>1323</v>
      </c>
      <c r="BZ14" s="231">
        <f>+BU14+BY14</f>
        <v>4576</v>
      </c>
      <c r="CA14" s="406" t="s">
        <v>311</v>
      </c>
      <c r="CB14" s="230">
        <f>AG7</f>
        <v>20</v>
      </c>
      <c r="CC14" s="230">
        <f>AG9</f>
        <v>18</v>
      </c>
      <c r="CD14" s="230">
        <f>AG11</f>
        <v>15</v>
      </c>
      <c r="CE14" s="230">
        <f>AG13</f>
        <v>10</v>
      </c>
    </row>
    <row r="15" spans="2:86" s="234" customFormat="1" ht="18.5" customHeight="1" x14ac:dyDescent="0.2">
      <c r="B15" s="372" t="s">
        <v>224</v>
      </c>
      <c r="C15" s="369">
        <v>7</v>
      </c>
      <c r="D15" s="370" t="s">
        <v>233</v>
      </c>
      <c r="E15" s="377" t="s">
        <v>13</v>
      </c>
      <c r="F15" s="382">
        <v>6790</v>
      </c>
      <c r="G15" s="385">
        <f>+F15/12</f>
        <v>565.83333333333337</v>
      </c>
      <c r="H15" s="366"/>
      <c r="I15" s="366"/>
      <c r="J15" s="366"/>
      <c r="K15" s="366">
        <v>941</v>
      </c>
      <c r="L15" s="473">
        <v>715</v>
      </c>
      <c r="M15" s="366"/>
      <c r="N15" s="366"/>
      <c r="O15" s="366"/>
      <c r="P15" s="366">
        <v>552</v>
      </c>
      <c r="Q15" s="473">
        <v>565</v>
      </c>
      <c r="R15" s="366"/>
      <c r="S15" s="366"/>
      <c r="T15" s="366"/>
      <c r="U15" s="366">
        <v>546</v>
      </c>
      <c r="V15" s="473">
        <f>+R15+S15+T15+U15</f>
        <v>546</v>
      </c>
      <c r="W15" s="366"/>
      <c r="X15" s="366"/>
      <c r="Y15" s="366"/>
      <c r="Z15" s="366">
        <v>585</v>
      </c>
      <c r="AA15" s="366">
        <v>585</v>
      </c>
      <c r="AB15" s="473">
        <f>+AA15</f>
        <v>585</v>
      </c>
      <c r="AC15" s="366">
        <v>569</v>
      </c>
      <c r="AD15" s="366">
        <v>0</v>
      </c>
      <c r="AE15" s="366">
        <f>494*1.1</f>
        <v>543.40000000000009</v>
      </c>
      <c r="AF15" s="366">
        <v>543</v>
      </c>
      <c r="AG15" s="473">
        <f>+AF15</f>
        <v>543</v>
      </c>
      <c r="AH15" s="366">
        <v>500</v>
      </c>
      <c r="AI15" s="366"/>
      <c r="AJ15" s="366"/>
      <c r="AK15" s="366"/>
      <c r="AL15" s="390">
        <f>+AH15</f>
        <v>500</v>
      </c>
      <c r="AM15" s="366"/>
      <c r="AN15" s="366"/>
      <c r="AO15" s="366"/>
      <c r="AP15" s="366"/>
      <c r="AQ15" s="366"/>
      <c r="AR15" s="390">
        <v>0</v>
      </c>
      <c r="AS15" s="366"/>
      <c r="AT15" s="366"/>
      <c r="AU15" s="366"/>
      <c r="AV15" s="366"/>
      <c r="AW15" s="390">
        <v>0</v>
      </c>
      <c r="AX15" s="366"/>
      <c r="AY15" s="366"/>
      <c r="AZ15" s="366"/>
      <c r="BA15" s="366"/>
      <c r="BB15" s="390">
        <v>0</v>
      </c>
      <c r="BC15" s="371"/>
      <c r="BD15" s="371"/>
      <c r="BE15" s="371"/>
      <c r="BF15" s="371"/>
      <c r="BG15" s="371"/>
      <c r="BH15" s="390">
        <v>0</v>
      </c>
      <c r="BI15" s="371"/>
      <c r="BJ15" s="371"/>
      <c r="BK15" s="371"/>
      <c r="BL15" s="371"/>
      <c r="BM15" s="390">
        <v>0</v>
      </c>
      <c r="BN15" s="371"/>
      <c r="BO15" s="371"/>
      <c r="BP15" s="371"/>
      <c r="BQ15" s="371"/>
      <c r="BR15" s="371"/>
      <c r="BS15" s="396">
        <v>0</v>
      </c>
      <c r="BT15" s="476">
        <f>+AL15</f>
        <v>500</v>
      </c>
      <c r="BU15" s="399">
        <f t="shared" si="3"/>
        <v>3454</v>
      </c>
      <c r="BV15" s="478">
        <f>+BU15/6</f>
        <v>575.66666666666663</v>
      </c>
      <c r="BW15" s="231"/>
      <c r="BX15" s="351"/>
      <c r="BY15" s="235"/>
      <c r="BZ15" s="235"/>
      <c r="CA15" s="406" t="s">
        <v>312</v>
      </c>
      <c r="CB15" s="230">
        <f>AL7</f>
        <v>13</v>
      </c>
      <c r="CC15" s="230">
        <f>AL9</f>
        <v>0</v>
      </c>
      <c r="CD15" s="230">
        <f>AL11</f>
        <v>1</v>
      </c>
      <c r="CE15" s="230">
        <f>AL13</f>
        <v>3</v>
      </c>
    </row>
    <row r="16" spans="2:86" ht="18.5" customHeight="1" x14ac:dyDescent="0.2">
      <c r="B16" s="373" t="s">
        <v>222</v>
      </c>
      <c r="C16" s="355">
        <v>8</v>
      </c>
      <c r="D16" s="356" t="s">
        <v>37</v>
      </c>
      <c r="E16" s="378" t="s">
        <v>38</v>
      </c>
      <c r="F16" s="383">
        <v>1.0577036465205985</v>
      </c>
      <c r="G16" s="386">
        <v>1.06</v>
      </c>
      <c r="H16" s="360"/>
      <c r="I16" s="360"/>
      <c r="J16" s="360"/>
      <c r="K16" s="360">
        <f>+IFERROR(K10/K8,0)</f>
        <v>0.56244166196681478</v>
      </c>
      <c r="L16" s="474">
        <f>+IFERROR(L10/L8,0)</f>
        <v>0.56244166196681478</v>
      </c>
      <c r="M16" s="360"/>
      <c r="N16" s="360"/>
      <c r="O16" s="360"/>
      <c r="P16" s="360">
        <f>+IFERROR(P10/P8,0)</f>
        <v>0.77854983176845383</v>
      </c>
      <c r="Q16" s="474">
        <f>+IFERROR(Q10/Q8,0)</f>
        <v>0.77854983176845383</v>
      </c>
      <c r="R16" s="360"/>
      <c r="S16" s="360"/>
      <c r="T16" s="360"/>
      <c r="U16" s="360">
        <f>+IFERROR(U10/U8,0)</f>
        <v>1.7234966358671433</v>
      </c>
      <c r="V16" s="474">
        <f>+IFERROR(V10/V8,0)</f>
        <v>1.7234966358671433</v>
      </c>
      <c r="W16" s="360"/>
      <c r="X16" s="360"/>
      <c r="Y16" s="360"/>
      <c r="Z16" s="360">
        <v>0</v>
      </c>
      <c r="AA16" s="360">
        <v>0</v>
      </c>
      <c r="AB16" s="474">
        <f>+IFERROR(AB10/AB8,0)</f>
        <v>0.97252747252747251</v>
      </c>
      <c r="AC16" s="360">
        <v>0</v>
      </c>
      <c r="AD16" s="360">
        <v>0</v>
      </c>
      <c r="AE16" s="360">
        <v>0</v>
      </c>
      <c r="AF16" s="360">
        <v>0</v>
      </c>
      <c r="AG16" s="474">
        <f>+IFERROR(AG10/AG8,0)</f>
        <v>0.79914529914529919</v>
      </c>
      <c r="AH16" s="360">
        <v>0</v>
      </c>
      <c r="AI16" s="360"/>
      <c r="AJ16" s="360"/>
      <c r="AK16" s="360"/>
      <c r="AL16" s="391">
        <f>+IFERROR(AL10/AL8,0)</f>
        <v>0</v>
      </c>
      <c r="AM16" s="360"/>
      <c r="AN16" s="360"/>
      <c r="AO16" s="360"/>
      <c r="AP16" s="360"/>
      <c r="AQ16" s="360"/>
      <c r="AR16" s="391">
        <f>+IFERROR(AR10/AR8,0)</f>
        <v>0</v>
      </c>
      <c r="AS16" s="360"/>
      <c r="AT16" s="360"/>
      <c r="AU16" s="360"/>
      <c r="AV16" s="360"/>
      <c r="AW16" s="391">
        <f>+IFERROR(AW10/AW8,0)</f>
        <v>0</v>
      </c>
      <c r="AX16" s="360"/>
      <c r="AY16" s="360"/>
      <c r="AZ16" s="360"/>
      <c r="BA16" s="360"/>
      <c r="BB16" s="391">
        <f>+IFERROR(BB10/BB8,0)</f>
        <v>0</v>
      </c>
      <c r="BC16" s="360"/>
      <c r="BD16" s="360"/>
      <c r="BE16" s="360"/>
      <c r="BF16" s="360"/>
      <c r="BG16" s="360"/>
      <c r="BH16" s="391">
        <f>+IFERROR(BH10/BH8,0)</f>
        <v>0</v>
      </c>
      <c r="BI16" s="361"/>
      <c r="BJ16" s="361"/>
      <c r="BK16" s="361"/>
      <c r="BL16" s="361"/>
      <c r="BM16" s="391">
        <f>+IFERROR(BM10/BM8,0)</f>
        <v>0</v>
      </c>
      <c r="BN16" s="361"/>
      <c r="BO16" s="361"/>
      <c r="BP16" s="361"/>
      <c r="BQ16" s="361"/>
      <c r="BR16" s="361"/>
      <c r="BS16" s="397">
        <f>+IFERROR(BS10/BS8,0)</f>
        <v>0</v>
      </c>
      <c r="BT16" s="477">
        <f>+AL16</f>
        <v>0</v>
      </c>
      <c r="BU16" s="400">
        <f>+AVERAGE(L16,Q16,V16,AB16,AG16)</f>
        <v>0.96723218025503654</v>
      </c>
      <c r="BV16" s="479">
        <f>+BU16</f>
        <v>0.96723218025503654</v>
      </c>
      <c r="BX16" s="237"/>
      <c r="CA16" s="406" t="s">
        <v>313</v>
      </c>
      <c r="CB16" s="230">
        <f>AR7</f>
        <v>0</v>
      </c>
      <c r="CC16" s="231">
        <f>AR9</f>
        <v>0</v>
      </c>
      <c r="CD16" s="231">
        <f>AR11</f>
        <v>0</v>
      </c>
      <c r="CE16" s="231">
        <f>AR13</f>
        <v>0</v>
      </c>
    </row>
    <row r="17" spans="2:85" ht="18.5" customHeight="1" x14ac:dyDescent="0.2">
      <c r="B17" s="373" t="s">
        <v>222</v>
      </c>
      <c r="C17" s="355">
        <v>9</v>
      </c>
      <c r="D17" s="356" t="s">
        <v>40</v>
      </c>
      <c r="E17" s="378" t="s">
        <v>38</v>
      </c>
      <c r="F17" s="383">
        <v>0.75</v>
      </c>
      <c r="G17" s="386">
        <v>0.75</v>
      </c>
      <c r="H17" s="361"/>
      <c r="I17" s="361"/>
      <c r="J17" s="361"/>
      <c r="K17" s="361">
        <v>0.42</v>
      </c>
      <c r="L17" s="474">
        <f>+K17</f>
        <v>0.42</v>
      </c>
      <c r="M17" s="361"/>
      <c r="N17" s="361"/>
      <c r="O17" s="361"/>
      <c r="P17" s="361">
        <v>0.69</v>
      </c>
      <c r="Q17" s="474">
        <f>+P17</f>
        <v>0.69</v>
      </c>
      <c r="R17" s="361"/>
      <c r="S17" s="361"/>
      <c r="T17" s="361"/>
      <c r="U17" s="361">
        <v>0.72</v>
      </c>
      <c r="V17" s="474">
        <f>+U17</f>
        <v>0.72</v>
      </c>
      <c r="W17" s="361"/>
      <c r="X17" s="361"/>
      <c r="Y17" s="361"/>
      <c r="Z17" s="361">
        <v>0</v>
      </c>
      <c r="AA17" s="361">
        <v>0</v>
      </c>
      <c r="AB17" s="474">
        <v>0.75</v>
      </c>
      <c r="AC17" s="361">
        <v>0</v>
      </c>
      <c r="AD17" s="361">
        <v>0</v>
      </c>
      <c r="AE17" s="361">
        <v>0</v>
      </c>
      <c r="AF17" s="361">
        <v>0</v>
      </c>
      <c r="AG17" s="474">
        <v>0.73</v>
      </c>
      <c r="AH17" s="361">
        <v>0</v>
      </c>
      <c r="AI17" s="361"/>
      <c r="AJ17" s="361"/>
      <c r="AK17" s="361"/>
      <c r="AL17" s="391">
        <v>0</v>
      </c>
      <c r="AM17" s="361"/>
      <c r="AN17" s="361"/>
      <c r="AO17" s="361"/>
      <c r="AP17" s="361"/>
      <c r="AQ17" s="361"/>
      <c r="AR17" s="391">
        <v>0</v>
      </c>
      <c r="AS17" s="361"/>
      <c r="AT17" s="361"/>
      <c r="AU17" s="361"/>
      <c r="AV17" s="361"/>
      <c r="AW17" s="391">
        <v>0</v>
      </c>
      <c r="AX17" s="361"/>
      <c r="AY17" s="361"/>
      <c r="AZ17" s="361"/>
      <c r="BA17" s="361"/>
      <c r="BB17" s="391">
        <v>0</v>
      </c>
      <c r="BC17" s="361"/>
      <c r="BD17" s="361"/>
      <c r="BE17" s="361"/>
      <c r="BF17" s="361"/>
      <c r="BG17" s="361"/>
      <c r="BH17" s="391">
        <v>0</v>
      </c>
      <c r="BI17" s="361"/>
      <c r="BJ17" s="361"/>
      <c r="BK17" s="361"/>
      <c r="BL17" s="361"/>
      <c r="BM17" s="391">
        <v>0</v>
      </c>
      <c r="BN17" s="361"/>
      <c r="BO17" s="361"/>
      <c r="BP17" s="361"/>
      <c r="BQ17" s="361"/>
      <c r="BR17" s="361"/>
      <c r="BS17" s="397">
        <v>0</v>
      </c>
      <c r="BT17" s="477">
        <f>+AL17</f>
        <v>0</v>
      </c>
      <c r="BU17" s="400">
        <f>+AVERAGE(L17,Q17,V17,AB17,AG17)</f>
        <v>0.66200000000000003</v>
      </c>
      <c r="BV17" s="479">
        <f>+BU17</f>
        <v>0.66200000000000003</v>
      </c>
      <c r="CA17" s="406" t="s">
        <v>314</v>
      </c>
      <c r="CB17" s="230">
        <f>AW7</f>
        <v>0</v>
      </c>
      <c r="CC17" s="230">
        <f>AW9</f>
        <v>0</v>
      </c>
      <c r="CD17" s="230">
        <f>AW11</f>
        <v>0</v>
      </c>
      <c r="CE17" s="230">
        <f>AW13</f>
        <v>0</v>
      </c>
    </row>
    <row r="18" spans="2:85" ht="18.5" customHeight="1" x14ac:dyDescent="0.2">
      <c r="B18" s="637" t="s">
        <v>222</v>
      </c>
      <c r="C18" s="639">
        <v>10</v>
      </c>
      <c r="D18" s="640" t="s">
        <v>290</v>
      </c>
      <c r="E18" s="378" t="s">
        <v>0</v>
      </c>
      <c r="F18" s="384">
        <v>9</v>
      </c>
      <c r="G18" s="642">
        <f>+F19/F18</f>
        <v>27.222222222222221</v>
      </c>
      <c r="H18" s="358"/>
      <c r="I18" s="358"/>
      <c r="J18" s="358"/>
      <c r="K18" s="358"/>
      <c r="L18" s="475">
        <f>+L20+L22</f>
        <v>0</v>
      </c>
      <c r="M18" s="358"/>
      <c r="N18" s="358"/>
      <c r="O18" s="358"/>
      <c r="P18" s="358"/>
      <c r="Q18" s="475">
        <f>+Q20+Q22</f>
        <v>0</v>
      </c>
      <c r="R18" s="358"/>
      <c r="S18" s="358"/>
      <c r="T18" s="358"/>
      <c r="U18" s="358">
        <f>+U20+U22</f>
        <v>6</v>
      </c>
      <c r="V18" s="475">
        <f>+V20+V22</f>
        <v>6</v>
      </c>
      <c r="W18" s="358"/>
      <c r="X18" s="357">
        <f t="shared" ref="X18:Z19" si="15">+X20+X22</f>
        <v>13</v>
      </c>
      <c r="Y18" s="357">
        <f t="shared" si="15"/>
        <v>10</v>
      </c>
      <c r="Z18" s="357">
        <f t="shared" si="15"/>
        <v>10</v>
      </c>
      <c r="AA18" s="357">
        <f t="shared" ref="AA18" si="16">+AA20+AA22</f>
        <v>21</v>
      </c>
      <c r="AB18" s="475">
        <f>+AA18</f>
        <v>21</v>
      </c>
      <c r="AC18" s="357">
        <f>+AC20+AC22</f>
        <v>18</v>
      </c>
      <c r="AD18" s="357">
        <f t="shared" ref="AD18:AF18" si="17">+AD20+AD22</f>
        <v>16</v>
      </c>
      <c r="AE18" s="357">
        <f t="shared" si="17"/>
        <v>19</v>
      </c>
      <c r="AF18" s="357">
        <f t="shared" si="17"/>
        <v>21</v>
      </c>
      <c r="AG18" s="475">
        <f>+AG20+AG22</f>
        <v>21</v>
      </c>
      <c r="AH18" s="358">
        <f>+AH20+AH22</f>
        <v>24</v>
      </c>
      <c r="AI18" s="358"/>
      <c r="AJ18" s="358"/>
      <c r="AK18" s="358"/>
      <c r="AL18" s="392">
        <f>+AL20+AL22</f>
        <v>24</v>
      </c>
      <c r="AM18" s="358"/>
      <c r="AN18" s="358"/>
      <c r="AO18" s="358"/>
      <c r="AP18" s="358"/>
      <c r="AQ18" s="358"/>
      <c r="AR18" s="392">
        <f>+AR20+AR22</f>
        <v>0</v>
      </c>
      <c r="AS18" s="358"/>
      <c r="AT18" s="358"/>
      <c r="AU18" s="358"/>
      <c r="AV18" s="358"/>
      <c r="AW18" s="392">
        <f>+AW20+AW22</f>
        <v>0</v>
      </c>
      <c r="AX18" s="358"/>
      <c r="AY18" s="358"/>
      <c r="AZ18" s="358"/>
      <c r="BA18" s="358"/>
      <c r="BB18" s="392">
        <f>+BB20+BB22</f>
        <v>0</v>
      </c>
      <c r="BC18" s="359"/>
      <c r="BD18" s="359"/>
      <c r="BE18" s="359"/>
      <c r="BF18" s="359"/>
      <c r="BG18" s="359"/>
      <c r="BH18" s="392">
        <f t="shared" ref="BH18:BS19" si="18">+BH20+BH22</f>
        <v>0</v>
      </c>
      <c r="BI18" s="358"/>
      <c r="BJ18" s="358"/>
      <c r="BK18" s="358"/>
      <c r="BL18" s="358"/>
      <c r="BM18" s="392">
        <f t="shared" si="18"/>
        <v>0</v>
      </c>
      <c r="BN18" s="358"/>
      <c r="BO18" s="358"/>
      <c r="BP18" s="358"/>
      <c r="BQ18" s="358"/>
      <c r="BR18" s="358"/>
      <c r="BS18" s="398">
        <f t="shared" si="18"/>
        <v>0</v>
      </c>
      <c r="BT18" s="643">
        <f>+IFERROR(AL19/AL18,0)</f>
        <v>33.958333333333336</v>
      </c>
      <c r="BU18" s="404">
        <f t="shared" ref="BU18:BU24" si="19">+AL18</f>
        <v>24</v>
      </c>
      <c r="BV18" s="636">
        <f>+IFERROR(BU19/BU18,0)</f>
        <v>33.958333333333336</v>
      </c>
      <c r="BW18" s="231"/>
      <c r="BX18" s="231"/>
      <c r="BY18" s="231"/>
      <c r="CA18" s="406" t="s">
        <v>315</v>
      </c>
      <c r="CB18" s="230">
        <f>BB7</f>
        <v>0</v>
      </c>
      <c r="CC18" s="230">
        <f>BB9</f>
        <v>0</v>
      </c>
      <c r="CD18" s="230">
        <f>BB11</f>
        <v>0</v>
      </c>
      <c r="CE18" s="230">
        <f>BB13</f>
        <v>0</v>
      </c>
    </row>
    <row r="19" spans="2:85" ht="18.5" customHeight="1" x14ac:dyDescent="0.2">
      <c r="B19" s="638"/>
      <c r="C19" s="639"/>
      <c r="D19" s="641"/>
      <c r="E19" s="378" t="s">
        <v>13</v>
      </c>
      <c r="F19" s="384">
        <v>245</v>
      </c>
      <c r="G19" s="642"/>
      <c r="H19" s="358"/>
      <c r="I19" s="358"/>
      <c r="J19" s="358"/>
      <c r="K19" s="358"/>
      <c r="L19" s="475">
        <f>+L21+L23</f>
        <v>0</v>
      </c>
      <c r="M19" s="358"/>
      <c r="N19" s="358"/>
      <c r="O19" s="358"/>
      <c r="P19" s="358"/>
      <c r="Q19" s="475">
        <f>+Q21+Q23</f>
        <v>0</v>
      </c>
      <c r="R19" s="358"/>
      <c r="S19" s="358"/>
      <c r="T19" s="358"/>
      <c r="U19" s="358">
        <f>+U21+U23</f>
        <v>235</v>
      </c>
      <c r="V19" s="475">
        <f>+V21+V23</f>
        <v>235</v>
      </c>
      <c r="W19" s="358"/>
      <c r="X19" s="357">
        <f t="shared" si="15"/>
        <v>648</v>
      </c>
      <c r="Y19" s="357">
        <f t="shared" si="15"/>
        <v>481</v>
      </c>
      <c r="Z19" s="357">
        <f t="shared" si="15"/>
        <v>493</v>
      </c>
      <c r="AA19" s="357">
        <f t="shared" ref="AA19" si="20">+AA21+AA23</f>
        <v>777</v>
      </c>
      <c r="AB19" s="475">
        <f>+AA19</f>
        <v>777</v>
      </c>
      <c r="AC19" s="357">
        <f>+AC21+AC23</f>
        <v>717</v>
      </c>
      <c r="AD19" s="357">
        <f t="shared" ref="AD19:AF19" si="21">+AD21+AD23</f>
        <v>517</v>
      </c>
      <c r="AE19" s="357">
        <f t="shared" si="21"/>
        <v>547</v>
      </c>
      <c r="AF19" s="357">
        <f t="shared" si="21"/>
        <v>706</v>
      </c>
      <c r="AG19" s="475">
        <f>+AG21+AG23</f>
        <v>706</v>
      </c>
      <c r="AH19" s="358">
        <f>+AH21+AH23</f>
        <v>815</v>
      </c>
      <c r="AI19" s="358"/>
      <c r="AJ19" s="358"/>
      <c r="AK19" s="358"/>
      <c r="AL19" s="392">
        <f>+AL21+AL23</f>
        <v>815</v>
      </c>
      <c r="AM19" s="358"/>
      <c r="AN19" s="358"/>
      <c r="AO19" s="358"/>
      <c r="AP19" s="358"/>
      <c r="AQ19" s="358"/>
      <c r="AR19" s="392">
        <f>+AR21+AR23</f>
        <v>0</v>
      </c>
      <c r="AS19" s="358"/>
      <c r="AT19" s="358"/>
      <c r="AU19" s="358"/>
      <c r="AV19" s="358"/>
      <c r="AW19" s="392">
        <f>+AW21+AW23</f>
        <v>0</v>
      </c>
      <c r="AX19" s="358"/>
      <c r="AY19" s="358"/>
      <c r="AZ19" s="358"/>
      <c r="BA19" s="358"/>
      <c r="BB19" s="392">
        <f>+BB21+BB23</f>
        <v>0</v>
      </c>
      <c r="BC19" s="359"/>
      <c r="BD19" s="359"/>
      <c r="BE19" s="359"/>
      <c r="BF19" s="359"/>
      <c r="BG19" s="359"/>
      <c r="BH19" s="392">
        <f t="shared" si="18"/>
        <v>0</v>
      </c>
      <c r="BI19" s="358"/>
      <c r="BJ19" s="358"/>
      <c r="BK19" s="358"/>
      <c r="BL19" s="358"/>
      <c r="BM19" s="392">
        <f t="shared" si="18"/>
        <v>0</v>
      </c>
      <c r="BN19" s="358"/>
      <c r="BO19" s="358"/>
      <c r="BP19" s="358"/>
      <c r="BQ19" s="358"/>
      <c r="BR19" s="358"/>
      <c r="BS19" s="398">
        <f t="shared" si="18"/>
        <v>0</v>
      </c>
      <c r="BT19" s="643"/>
      <c r="BU19" s="404">
        <f t="shared" si="19"/>
        <v>815</v>
      </c>
      <c r="BV19" s="636"/>
      <c r="BW19" s="231"/>
      <c r="BX19" s="231"/>
      <c r="BY19" s="231"/>
      <c r="CA19" s="406" t="s">
        <v>316</v>
      </c>
      <c r="CB19" s="230">
        <f>BH7</f>
        <v>0</v>
      </c>
      <c r="CC19" s="230">
        <f>BH9</f>
        <v>0</v>
      </c>
      <c r="CD19" s="230">
        <f>BH11</f>
        <v>0</v>
      </c>
      <c r="CE19" s="230">
        <f>BH13</f>
        <v>0</v>
      </c>
    </row>
    <row r="20" spans="2:85" ht="18.75" hidden="1" customHeight="1" outlineLevel="1" x14ac:dyDescent="0.2">
      <c r="B20" s="637" t="s">
        <v>222</v>
      </c>
      <c r="C20" s="644" t="s">
        <v>291</v>
      </c>
      <c r="D20" s="640" t="s">
        <v>317</v>
      </c>
      <c r="E20" s="378" t="s">
        <v>0</v>
      </c>
      <c r="F20" s="384">
        <v>3</v>
      </c>
      <c r="G20" s="642"/>
      <c r="H20" s="358"/>
      <c r="I20" s="358"/>
      <c r="J20" s="358"/>
      <c r="K20" s="358"/>
      <c r="L20" s="475">
        <f>+H20</f>
        <v>0</v>
      </c>
      <c r="M20" s="358"/>
      <c r="N20" s="358"/>
      <c r="O20" s="358"/>
      <c r="P20" s="358"/>
      <c r="Q20" s="475">
        <f t="shared" ref="Q20:Q27" si="22">+P20</f>
        <v>0</v>
      </c>
      <c r="R20" s="358"/>
      <c r="S20" s="358"/>
      <c r="T20" s="358"/>
      <c r="U20" s="358">
        <v>4</v>
      </c>
      <c r="V20" s="475">
        <f t="shared" ref="V20:V27" si="23">+U20</f>
        <v>4</v>
      </c>
      <c r="W20" s="358"/>
      <c r="X20" s="358">
        <v>11</v>
      </c>
      <c r="Y20" s="358">
        <v>8</v>
      </c>
      <c r="Z20" s="358">
        <v>9</v>
      </c>
      <c r="AA20" s="358">
        <v>21</v>
      </c>
      <c r="AB20" s="475">
        <f>+AA20</f>
        <v>21</v>
      </c>
      <c r="AC20" s="358">
        <v>18</v>
      </c>
      <c r="AD20" s="358">
        <v>16</v>
      </c>
      <c r="AE20" s="358">
        <v>16</v>
      </c>
      <c r="AF20" s="358">
        <v>16</v>
      </c>
      <c r="AG20" s="475">
        <f>+AF20</f>
        <v>16</v>
      </c>
      <c r="AH20" s="358">
        <v>21</v>
      </c>
      <c r="AI20" s="358"/>
      <c r="AJ20" s="358"/>
      <c r="AK20" s="358"/>
      <c r="AL20" s="481">
        <f>+AH20</f>
        <v>21</v>
      </c>
      <c r="AM20" s="358"/>
      <c r="AN20" s="358"/>
      <c r="AO20" s="358"/>
      <c r="AP20" s="358"/>
      <c r="AQ20" s="358"/>
      <c r="AR20" s="392">
        <f>+AQ20</f>
        <v>0</v>
      </c>
      <c r="AS20" s="358"/>
      <c r="AT20" s="358"/>
      <c r="AU20" s="358"/>
      <c r="AV20" s="358"/>
      <c r="AW20" s="392">
        <f>+AV20</f>
        <v>0</v>
      </c>
      <c r="AX20" s="358"/>
      <c r="AY20" s="358"/>
      <c r="AZ20" s="358"/>
      <c r="BA20" s="357"/>
      <c r="BB20" s="392">
        <f>+BA20</f>
        <v>0</v>
      </c>
      <c r="BC20" s="358"/>
      <c r="BD20" s="358"/>
      <c r="BE20" s="358"/>
      <c r="BF20" s="358"/>
      <c r="BG20" s="358"/>
      <c r="BH20" s="392">
        <f t="shared" ref="BH20:BH27" si="24">+BG20</f>
        <v>0</v>
      </c>
      <c r="BI20" s="357"/>
      <c r="BJ20" s="357"/>
      <c r="BK20" s="357"/>
      <c r="BL20" s="357"/>
      <c r="BM20" s="392">
        <f t="shared" ref="BM20:BM27" si="25">+BL20</f>
        <v>0</v>
      </c>
      <c r="BN20" s="357"/>
      <c r="BO20" s="357"/>
      <c r="BP20" s="357"/>
      <c r="BQ20" s="357"/>
      <c r="BR20" s="357"/>
      <c r="BS20" s="398">
        <f>+BR20</f>
        <v>0</v>
      </c>
      <c r="BT20" s="643">
        <f>+IFERROR(AL21/AL20,0)</f>
        <v>29.80952380952381</v>
      </c>
      <c r="BU20" s="522">
        <f t="shared" si="19"/>
        <v>21</v>
      </c>
      <c r="BV20" s="636">
        <f>+IFERROR(BU21/BU20,0)</f>
        <v>29.80952380952381</v>
      </c>
      <c r="BW20" s="231"/>
      <c r="CA20" s="406" t="s">
        <v>318</v>
      </c>
      <c r="CB20" s="230">
        <f>BM7</f>
        <v>0</v>
      </c>
      <c r="CC20" s="230">
        <f>BM9</f>
        <v>0</v>
      </c>
      <c r="CD20" s="230">
        <f>BM11</f>
        <v>0</v>
      </c>
      <c r="CE20" s="230">
        <f>BM13</f>
        <v>0</v>
      </c>
    </row>
    <row r="21" spans="2:85" ht="18.75" hidden="1" customHeight="1" outlineLevel="1" x14ac:dyDescent="0.2">
      <c r="B21" s="638"/>
      <c r="C21" s="644"/>
      <c r="D21" s="641"/>
      <c r="E21" s="378" t="s">
        <v>13</v>
      </c>
      <c r="F21" s="384">
        <v>86</v>
      </c>
      <c r="G21" s="642"/>
      <c r="H21" s="358"/>
      <c r="I21" s="358"/>
      <c r="J21" s="358"/>
      <c r="K21" s="358"/>
      <c r="L21" s="475">
        <f t="shared" ref="L21:L23" si="26">+H21</f>
        <v>0</v>
      </c>
      <c r="M21" s="358"/>
      <c r="N21" s="358"/>
      <c r="O21" s="358"/>
      <c r="P21" s="358"/>
      <c r="Q21" s="475">
        <f t="shared" si="22"/>
        <v>0</v>
      </c>
      <c r="R21" s="358"/>
      <c r="S21" s="358"/>
      <c r="T21" s="358"/>
      <c r="U21" s="358">
        <v>114</v>
      </c>
      <c r="V21" s="475">
        <f t="shared" si="23"/>
        <v>114</v>
      </c>
      <c r="W21" s="358"/>
      <c r="X21" s="358">
        <v>527</v>
      </c>
      <c r="Y21" s="358">
        <v>447</v>
      </c>
      <c r="Z21" s="358">
        <v>476</v>
      </c>
      <c r="AA21" s="358">
        <v>777</v>
      </c>
      <c r="AB21" s="475">
        <f t="shared" ref="AB21:AB23" si="27">+AA21</f>
        <v>777</v>
      </c>
      <c r="AC21" s="358">
        <v>717</v>
      </c>
      <c r="AD21" s="358">
        <v>517</v>
      </c>
      <c r="AE21" s="358">
        <v>399</v>
      </c>
      <c r="AF21" s="529">
        <v>436</v>
      </c>
      <c r="AG21" s="475">
        <f t="shared" ref="AG21:AG23" si="28">+AF21</f>
        <v>436</v>
      </c>
      <c r="AH21" s="358">
        <v>626</v>
      </c>
      <c r="AI21" s="358"/>
      <c r="AJ21" s="358"/>
      <c r="AK21" s="358"/>
      <c r="AL21" s="481">
        <f t="shared" ref="AL21:AL27" si="29">+AH21</f>
        <v>626</v>
      </c>
      <c r="AM21" s="358"/>
      <c r="AN21" s="358"/>
      <c r="AO21" s="358"/>
      <c r="AP21" s="358"/>
      <c r="AQ21" s="358"/>
      <c r="AR21" s="392">
        <f>+AQ21</f>
        <v>0</v>
      </c>
      <c r="AS21" s="358"/>
      <c r="AT21" s="358"/>
      <c r="AU21" s="358"/>
      <c r="AV21" s="358"/>
      <c r="AW21" s="392">
        <f>+AV21</f>
        <v>0</v>
      </c>
      <c r="AX21" s="358"/>
      <c r="AY21" s="358"/>
      <c r="AZ21" s="358"/>
      <c r="BA21" s="357"/>
      <c r="BB21" s="392">
        <f>+BA21</f>
        <v>0</v>
      </c>
      <c r="BC21" s="358"/>
      <c r="BD21" s="358"/>
      <c r="BE21" s="358"/>
      <c r="BF21" s="358"/>
      <c r="BG21" s="358"/>
      <c r="BH21" s="392">
        <f t="shared" si="24"/>
        <v>0</v>
      </c>
      <c r="BI21" s="357"/>
      <c r="BJ21" s="357"/>
      <c r="BK21" s="357"/>
      <c r="BL21" s="357"/>
      <c r="BM21" s="392">
        <f t="shared" si="25"/>
        <v>0</v>
      </c>
      <c r="BN21" s="357"/>
      <c r="BO21" s="357"/>
      <c r="BP21" s="357"/>
      <c r="BQ21" s="357"/>
      <c r="BR21" s="357"/>
      <c r="BS21" s="398">
        <f t="shared" ref="BS21:BS23" si="30">+BR21</f>
        <v>0</v>
      </c>
      <c r="BT21" s="643"/>
      <c r="BU21" s="522">
        <f t="shared" si="19"/>
        <v>626</v>
      </c>
      <c r="BV21" s="636"/>
      <c r="BW21" s="231"/>
      <c r="CA21" s="406" t="s">
        <v>319</v>
      </c>
      <c r="CB21" s="230">
        <f>BS7</f>
        <v>0</v>
      </c>
      <c r="CC21" s="230">
        <f>BS9</f>
        <v>0</v>
      </c>
      <c r="CD21" s="230">
        <f>BS11</f>
        <v>0</v>
      </c>
      <c r="CE21" s="230">
        <f>BS13</f>
        <v>0</v>
      </c>
      <c r="CG21" s="238"/>
    </row>
    <row r="22" spans="2:85" ht="18.75" hidden="1" customHeight="1" outlineLevel="1" x14ac:dyDescent="0.2">
      <c r="B22" s="637" t="s">
        <v>222</v>
      </c>
      <c r="C22" s="644" t="s">
        <v>293</v>
      </c>
      <c r="D22" s="640" t="s">
        <v>320</v>
      </c>
      <c r="E22" s="378" t="s">
        <v>0</v>
      </c>
      <c r="F22" s="384">
        <v>6</v>
      </c>
      <c r="G22" s="642"/>
      <c r="H22" s="358"/>
      <c r="I22" s="358"/>
      <c r="J22" s="358"/>
      <c r="K22" s="358"/>
      <c r="L22" s="475">
        <f t="shared" si="26"/>
        <v>0</v>
      </c>
      <c r="M22" s="358"/>
      <c r="N22" s="358"/>
      <c r="O22" s="358"/>
      <c r="P22" s="358"/>
      <c r="Q22" s="475">
        <f t="shared" si="22"/>
        <v>0</v>
      </c>
      <c r="R22" s="358"/>
      <c r="S22" s="358"/>
      <c r="T22" s="358"/>
      <c r="U22" s="358">
        <v>2</v>
      </c>
      <c r="V22" s="475">
        <f>+U22</f>
        <v>2</v>
      </c>
      <c r="W22" s="358"/>
      <c r="X22" s="358">
        <v>2</v>
      </c>
      <c r="Y22" s="358">
        <v>2</v>
      </c>
      <c r="Z22" s="358">
        <v>1</v>
      </c>
      <c r="AA22" s="358">
        <v>0</v>
      </c>
      <c r="AB22" s="475">
        <f t="shared" si="27"/>
        <v>0</v>
      </c>
      <c r="AC22" s="358">
        <v>0</v>
      </c>
      <c r="AD22" s="358">
        <v>0</v>
      </c>
      <c r="AE22" s="358">
        <v>3</v>
      </c>
      <c r="AF22" s="358">
        <v>5</v>
      </c>
      <c r="AG22" s="475">
        <f t="shared" si="28"/>
        <v>5</v>
      </c>
      <c r="AH22" s="358">
        <v>3</v>
      </c>
      <c r="AI22" s="358"/>
      <c r="AJ22" s="358"/>
      <c r="AK22" s="358"/>
      <c r="AL22" s="481">
        <f t="shared" si="29"/>
        <v>3</v>
      </c>
      <c r="AM22" s="358"/>
      <c r="AN22" s="358"/>
      <c r="AO22" s="358"/>
      <c r="AP22" s="358"/>
      <c r="AQ22" s="358"/>
      <c r="AR22" s="392">
        <f>+AQ22</f>
        <v>0</v>
      </c>
      <c r="AS22" s="358"/>
      <c r="AT22" s="358"/>
      <c r="AU22" s="358"/>
      <c r="AV22" s="358"/>
      <c r="AW22" s="392">
        <f>+AV22</f>
        <v>0</v>
      </c>
      <c r="AX22" s="358"/>
      <c r="AY22" s="358"/>
      <c r="AZ22" s="358"/>
      <c r="BA22" s="357"/>
      <c r="BB22" s="392">
        <f>+BA22</f>
        <v>0</v>
      </c>
      <c r="BC22" s="358"/>
      <c r="BD22" s="358"/>
      <c r="BE22" s="358"/>
      <c r="BF22" s="358"/>
      <c r="BG22" s="358"/>
      <c r="BH22" s="392">
        <f t="shared" si="24"/>
        <v>0</v>
      </c>
      <c r="BI22" s="357"/>
      <c r="BJ22" s="357"/>
      <c r="BK22" s="357"/>
      <c r="BL22" s="357"/>
      <c r="BM22" s="392">
        <f t="shared" si="25"/>
        <v>0</v>
      </c>
      <c r="BN22" s="357"/>
      <c r="BO22" s="357"/>
      <c r="BP22" s="357"/>
      <c r="BQ22" s="357"/>
      <c r="BR22" s="357"/>
      <c r="BS22" s="398">
        <f t="shared" si="30"/>
        <v>0</v>
      </c>
      <c r="BT22" s="643">
        <f>+IFERROR(AL23/AL22,0)</f>
        <v>63</v>
      </c>
      <c r="BU22" s="522">
        <f t="shared" si="19"/>
        <v>3</v>
      </c>
      <c r="BV22" s="636">
        <f>+IFERROR(BU23/BU22,0)</f>
        <v>63</v>
      </c>
      <c r="BW22" s="231"/>
    </row>
    <row r="23" spans="2:85" ht="18.75" hidden="1" customHeight="1" outlineLevel="1" x14ac:dyDescent="0.2">
      <c r="B23" s="637"/>
      <c r="C23" s="644"/>
      <c r="D23" s="640"/>
      <c r="E23" s="378" t="s">
        <v>13</v>
      </c>
      <c r="F23" s="384">
        <v>159</v>
      </c>
      <c r="G23" s="642"/>
      <c r="H23" s="358"/>
      <c r="I23" s="358"/>
      <c r="J23" s="358"/>
      <c r="K23" s="358"/>
      <c r="L23" s="475">
        <f t="shared" si="26"/>
        <v>0</v>
      </c>
      <c r="M23" s="358"/>
      <c r="N23" s="358"/>
      <c r="O23" s="358"/>
      <c r="P23" s="358"/>
      <c r="Q23" s="475">
        <f t="shared" si="22"/>
        <v>0</v>
      </c>
      <c r="R23" s="358"/>
      <c r="S23" s="358"/>
      <c r="T23" s="358"/>
      <c r="U23" s="358">
        <f>103+18</f>
        <v>121</v>
      </c>
      <c r="V23" s="475">
        <f>+U23</f>
        <v>121</v>
      </c>
      <c r="W23" s="358"/>
      <c r="X23" s="358">
        <f>18+103</f>
        <v>121</v>
      </c>
      <c r="Y23" s="358">
        <f>17+17</f>
        <v>34</v>
      </c>
      <c r="Z23" s="358">
        <v>17</v>
      </c>
      <c r="AA23" s="358">
        <v>0</v>
      </c>
      <c r="AB23" s="475">
        <f t="shared" si="27"/>
        <v>0</v>
      </c>
      <c r="AC23" s="358">
        <v>0</v>
      </c>
      <c r="AD23" s="358">
        <v>0</v>
      </c>
      <c r="AE23" s="358">
        <v>148</v>
      </c>
      <c r="AF23" s="358">
        <v>270</v>
      </c>
      <c r="AG23" s="475">
        <f t="shared" si="28"/>
        <v>270</v>
      </c>
      <c r="AH23" s="358">
        <v>189</v>
      </c>
      <c r="AI23" s="358"/>
      <c r="AJ23" s="358"/>
      <c r="AK23" s="358"/>
      <c r="AL23" s="481">
        <f t="shared" si="29"/>
        <v>189</v>
      </c>
      <c r="AM23" s="358"/>
      <c r="AN23" s="358"/>
      <c r="AO23" s="358"/>
      <c r="AP23" s="358"/>
      <c r="AQ23" s="358"/>
      <c r="AR23" s="392">
        <f>+AQ23</f>
        <v>0</v>
      </c>
      <c r="AS23" s="358"/>
      <c r="AT23" s="358"/>
      <c r="AU23" s="358"/>
      <c r="AV23" s="358"/>
      <c r="AW23" s="392">
        <f>+AV23</f>
        <v>0</v>
      </c>
      <c r="AX23" s="358"/>
      <c r="AY23" s="358"/>
      <c r="AZ23" s="358"/>
      <c r="BA23" s="357"/>
      <c r="BB23" s="392">
        <f>+BA23</f>
        <v>0</v>
      </c>
      <c r="BC23" s="358"/>
      <c r="BD23" s="358"/>
      <c r="BE23" s="358"/>
      <c r="BF23" s="358"/>
      <c r="BG23" s="358"/>
      <c r="BH23" s="392">
        <f t="shared" si="24"/>
        <v>0</v>
      </c>
      <c r="BI23" s="357"/>
      <c r="BJ23" s="357"/>
      <c r="BK23" s="357"/>
      <c r="BL23" s="357"/>
      <c r="BM23" s="392">
        <f t="shared" si="25"/>
        <v>0</v>
      </c>
      <c r="BN23" s="357"/>
      <c r="BO23" s="357"/>
      <c r="BP23" s="357"/>
      <c r="BQ23" s="357"/>
      <c r="BR23" s="357"/>
      <c r="BS23" s="398">
        <f t="shared" si="30"/>
        <v>0</v>
      </c>
      <c r="BT23" s="643"/>
      <c r="BU23" s="522">
        <f t="shared" si="19"/>
        <v>189</v>
      </c>
      <c r="BV23" s="636"/>
      <c r="BW23" s="231"/>
      <c r="BY23" s="239"/>
    </row>
    <row r="24" spans="2:85" ht="18.5" customHeight="1" collapsed="1" x14ac:dyDescent="0.2">
      <c r="B24" s="637" t="s">
        <v>222</v>
      </c>
      <c r="C24" s="639">
        <v>11</v>
      </c>
      <c r="D24" s="640" t="s">
        <v>321</v>
      </c>
      <c r="E24" s="378" t="s">
        <v>0</v>
      </c>
      <c r="F24" s="384">
        <v>26</v>
      </c>
      <c r="G24" s="642">
        <f>+F25/F24</f>
        <v>56.230769230769234</v>
      </c>
      <c r="H24" s="358"/>
      <c r="I24" s="358"/>
      <c r="J24" s="358"/>
      <c r="K24" s="358"/>
      <c r="L24" s="475">
        <f>+H24</f>
        <v>0</v>
      </c>
      <c r="M24" s="359"/>
      <c r="N24" s="359"/>
      <c r="O24" s="359"/>
      <c r="P24" s="359"/>
      <c r="Q24" s="475">
        <f t="shared" si="22"/>
        <v>0</v>
      </c>
      <c r="R24" s="359"/>
      <c r="S24" s="359"/>
      <c r="T24" s="359"/>
      <c r="U24" s="359">
        <v>17</v>
      </c>
      <c r="V24" s="475">
        <f t="shared" si="23"/>
        <v>17</v>
      </c>
      <c r="W24" s="358"/>
      <c r="X24" s="357">
        <v>22</v>
      </c>
      <c r="Y24" s="357">
        <v>15</v>
      </c>
      <c r="Z24" s="357">
        <v>21</v>
      </c>
      <c r="AA24" s="357">
        <v>16</v>
      </c>
      <c r="AB24" s="475">
        <f>+AA24</f>
        <v>16</v>
      </c>
      <c r="AC24" s="357">
        <v>20</v>
      </c>
      <c r="AD24" s="357">
        <v>20</v>
      </c>
      <c r="AE24" s="357">
        <v>21</v>
      </c>
      <c r="AF24" s="357">
        <v>25</v>
      </c>
      <c r="AG24" s="475">
        <f>+AF24</f>
        <v>25</v>
      </c>
      <c r="AH24" s="359">
        <v>23</v>
      </c>
      <c r="AI24" s="359"/>
      <c r="AJ24" s="359"/>
      <c r="AK24" s="359"/>
      <c r="AL24" s="392">
        <f t="shared" si="29"/>
        <v>23</v>
      </c>
      <c r="AM24" s="359"/>
      <c r="AN24" s="359"/>
      <c r="AO24" s="359"/>
      <c r="AP24" s="359"/>
      <c r="AQ24" s="359"/>
      <c r="AR24" s="392"/>
      <c r="AS24" s="359"/>
      <c r="AT24" s="359"/>
      <c r="AU24" s="359"/>
      <c r="AV24" s="359"/>
      <c r="AW24" s="392"/>
      <c r="AX24" s="359"/>
      <c r="AY24" s="359"/>
      <c r="AZ24" s="359"/>
      <c r="BA24" s="359"/>
      <c r="BB24" s="392"/>
      <c r="BC24" s="359"/>
      <c r="BD24" s="359"/>
      <c r="BE24" s="359"/>
      <c r="BF24" s="358"/>
      <c r="BG24" s="358"/>
      <c r="BH24" s="392">
        <f t="shared" si="24"/>
        <v>0</v>
      </c>
      <c r="BI24" s="358"/>
      <c r="BJ24" s="358"/>
      <c r="BK24" s="358"/>
      <c r="BL24" s="358"/>
      <c r="BM24" s="392">
        <f t="shared" si="25"/>
        <v>0</v>
      </c>
      <c r="BN24" s="358"/>
      <c r="BO24" s="358"/>
      <c r="BP24" s="358"/>
      <c r="BQ24" s="358"/>
      <c r="BR24" s="358"/>
      <c r="BS24" s="398">
        <f>+BR24</f>
        <v>0</v>
      </c>
      <c r="BT24" s="643">
        <f>+IFERROR(AL25/AL24,0)</f>
        <v>65.956521739130437</v>
      </c>
      <c r="BU24" s="404">
        <f t="shared" si="19"/>
        <v>23</v>
      </c>
      <c r="BV24" s="636">
        <f>+IFERROR(BU25/BU24,0)</f>
        <v>65.956521739130437</v>
      </c>
    </row>
    <row r="25" spans="2:85" ht="18.5" customHeight="1" x14ac:dyDescent="0.2">
      <c r="B25" s="638"/>
      <c r="C25" s="639"/>
      <c r="D25" s="641"/>
      <c r="E25" s="378" t="s">
        <v>13</v>
      </c>
      <c r="F25" s="384">
        <v>1462</v>
      </c>
      <c r="G25" s="642"/>
      <c r="H25" s="358"/>
      <c r="I25" s="358"/>
      <c r="J25" s="358"/>
      <c r="K25" s="358"/>
      <c r="L25" s="475">
        <f>+H25</f>
        <v>0</v>
      </c>
      <c r="M25" s="359"/>
      <c r="N25" s="359"/>
      <c r="O25" s="359"/>
      <c r="P25" s="359"/>
      <c r="Q25" s="475">
        <f t="shared" si="22"/>
        <v>0</v>
      </c>
      <c r="R25" s="359"/>
      <c r="S25" s="359"/>
      <c r="T25" s="359"/>
      <c r="U25" s="359">
        <v>741</v>
      </c>
      <c r="V25" s="475">
        <f t="shared" si="23"/>
        <v>741</v>
      </c>
      <c r="W25" s="358"/>
      <c r="X25" s="357">
        <v>891</v>
      </c>
      <c r="Y25" s="357">
        <v>726</v>
      </c>
      <c r="Z25" s="357">
        <v>914</v>
      </c>
      <c r="AA25" s="357">
        <v>847</v>
      </c>
      <c r="AB25" s="475">
        <f>+AA25</f>
        <v>847</v>
      </c>
      <c r="AC25" s="357">
        <v>1298</v>
      </c>
      <c r="AD25" s="357">
        <v>1475</v>
      </c>
      <c r="AE25" s="357">
        <v>1505</v>
      </c>
      <c r="AF25" s="357">
        <v>1490</v>
      </c>
      <c r="AG25" s="475">
        <f t="shared" ref="AG25:AG27" si="31">+AF25</f>
        <v>1490</v>
      </c>
      <c r="AH25" s="359">
        <v>1517</v>
      </c>
      <c r="AI25" s="359"/>
      <c r="AJ25" s="359"/>
      <c r="AK25" s="359"/>
      <c r="AL25" s="392">
        <f t="shared" si="29"/>
        <v>1517</v>
      </c>
      <c r="AM25" s="359"/>
      <c r="AN25" s="359"/>
      <c r="AO25" s="359"/>
      <c r="AP25" s="359"/>
      <c r="AQ25" s="359"/>
      <c r="AR25" s="392"/>
      <c r="AS25" s="359"/>
      <c r="AT25" s="359"/>
      <c r="AU25" s="359"/>
      <c r="AV25" s="359"/>
      <c r="AW25" s="392"/>
      <c r="AX25" s="359"/>
      <c r="AY25" s="359"/>
      <c r="AZ25" s="359"/>
      <c r="BA25" s="359"/>
      <c r="BB25" s="392"/>
      <c r="BC25" s="359"/>
      <c r="BD25" s="359"/>
      <c r="BE25" s="359"/>
      <c r="BF25" s="358"/>
      <c r="BG25" s="358"/>
      <c r="BH25" s="392">
        <f t="shared" si="24"/>
        <v>0</v>
      </c>
      <c r="BI25" s="358"/>
      <c r="BJ25" s="358"/>
      <c r="BK25" s="358"/>
      <c r="BL25" s="358"/>
      <c r="BM25" s="392">
        <f t="shared" si="25"/>
        <v>0</v>
      </c>
      <c r="BN25" s="358"/>
      <c r="BO25" s="358"/>
      <c r="BP25" s="358"/>
      <c r="BQ25" s="358"/>
      <c r="BR25" s="358"/>
      <c r="BS25" s="398">
        <f t="shared" ref="BS25:BS27" si="32">+BR25</f>
        <v>0</v>
      </c>
      <c r="BT25" s="643"/>
      <c r="BU25" s="404">
        <f t="shared" ref="BU25:BU27" si="33">+AL25</f>
        <v>1517</v>
      </c>
      <c r="BV25" s="636"/>
    </row>
    <row r="26" spans="2:85" ht="18.75" hidden="1" customHeight="1" outlineLevel="1" x14ac:dyDescent="0.2">
      <c r="B26" s="637" t="s">
        <v>224</v>
      </c>
      <c r="C26" s="644" t="s">
        <v>295</v>
      </c>
      <c r="D26" s="640" t="s">
        <v>32</v>
      </c>
      <c r="E26" s="378" t="s">
        <v>0</v>
      </c>
      <c r="F26" s="384">
        <v>11</v>
      </c>
      <c r="G26" s="642"/>
      <c r="H26" s="358"/>
      <c r="I26" s="358"/>
      <c r="J26" s="358"/>
      <c r="K26" s="358"/>
      <c r="L26" s="475">
        <f>+H26</f>
        <v>0</v>
      </c>
      <c r="M26" s="359"/>
      <c r="N26" s="359"/>
      <c r="O26" s="359"/>
      <c r="P26" s="359"/>
      <c r="Q26" s="475">
        <f t="shared" si="22"/>
        <v>0</v>
      </c>
      <c r="R26" s="359"/>
      <c r="S26" s="359"/>
      <c r="T26" s="359"/>
      <c r="U26" s="359">
        <v>0</v>
      </c>
      <c r="V26" s="475">
        <f t="shared" si="23"/>
        <v>0</v>
      </c>
      <c r="W26" s="358"/>
      <c r="X26" s="358">
        <v>0</v>
      </c>
      <c r="Y26" s="358">
        <v>0</v>
      </c>
      <c r="Z26" s="358">
        <v>0</v>
      </c>
      <c r="AA26" s="358">
        <v>0</v>
      </c>
      <c r="AB26" s="475">
        <f>+AA26</f>
        <v>0</v>
      </c>
      <c r="AC26" s="358">
        <v>1</v>
      </c>
      <c r="AD26" s="358">
        <v>0</v>
      </c>
      <c r="AE26" s="358">
        <v>5</v>
      </c>
      <c r="AF26" s="358">
        <v>7</v>
      </c>
      <c r="AG26" s="475">
        <f t="shared" si="31"/>
        <v>7</v>
      </c>
      <c r="AH26" s="359">
        <v>2</v>
      </c>
      <c r="AI26" s="359"/>
      <c r="AJ26" s="359"/>
      <c r="AK26" s="359"/>
      <c r="AL26" s="481">
        <f t="shared" si="29"/>
        <v>2</v>
      </c>
      <c r="AM26" s="359"/>
      <c r="AN26" s="359"/>
      <c r="AO26" s="359"/>
      <c r="AP26" s="359"/>
      <c r="AQ26" s="359"/>
      <c r="AR26" s="392">
        <f>+AQ26</f>
        <v>0</v>
      </c>
      <c r="AS26" s="359"/>
      <c r="AT26" s="359"/>
      <c r="AU26" s="359"/>
      <c r="AV26" s="359"/>
      <c r="AW26" s="392">
        <f>+AV26</f>
        <v>0</v>
      </c>
      <c r="AX26" s="359"/>
      <c r="AY26" s="359"/>
      <c r="AZ26" s="359"/>
      <c r="BA26" s="359"/>
      <c r="BB26" s="392">
        <f>+BA26</f>
        <v>0</v>
      </c>
      <c r="BC26" s="359"/>
      <c r="BD26" s="359"/>
      <c r="BE26" s="359"/>
      <c r="BF26" s="358"/>
      <c r="BG26" s="358"/>
      <c r="BH26" s="392">
        <f t="shared" si="24"/>
        <v>0</v>
      </c>
      <c r="BI26" s="358"/>
      <c r="BJ26" s="358"/>
      <c r="BK26" s="358"/>
      <c r="BL26" s="358"/>
      <c r="BM26" s="392">
        <f t="shared" si="25"/>
        <v>0</v>
      </c>
      <c r="BN26" s="358"/>
      <c r="BO26" s="358"/>
      <c r="BP26" s="358"/>
      <c r="BQ26" s="358"/>
      <c r="BR26" s="358"/>
      <c r="BS26" s="398">
        <f t="shared" si="32"/>
        <v>0</v>
      </c>
      <c r="BT26" s="643">
        <f>+IFERROR(AL27/AL26,0)</f>
        <v>36</v>
      </c>
      <c r="BU26" s="522">
        <f t="shared" si="33"/>
        <v>2</v>
      </c>
      <c r="BV26" s="636">
        <f>+IFERROR(BU27/BU26,0)</f>
        <v>36</v>
      </c>
      <c r="BW26" s="231"/>
      <c r="BX26" s="231"/>
    </row>
    <row r="27" spans="2:85" ht="18.75" hidden="1" customHeight="1" outlineLevel="1" x14ac:dyDescent="0.2">
      <c r="B27" s="638"/>
      <c r="C27" s="644"/>
      <c r="D27" s="641"/>
      <c r="E27" s="378" t="s">
        <v>35</v>
      </c>
      <c r="F27" s="384">
        <v>822</v>
      </c>
      <c r="G27" s="642"/>
      <c r="H27" s="358"/>
      <c r="I27" s="358"/>
      <c r="J27" s="358"/>
      <c r="K27" s="358"/>
      <c r="L27" s="475">
        <f>+H27</f>
        <v>0</v>
      </c>
      <c r="M27" s="359"/>
      <c r="N27" s="359"/>
      <c r="O27" s="359"/>
      <c r="P27" s="359"/>
      <c r="Q27" s="475">
        <f t="shared" si="22"/>
        <v>0</v>
      </c>
      <c r="R27" s="359"/>
      <c r="S27" s="359"/>
      <c r="T27" s="359"/>
      <c r="U27" s="359">
        <v>0</v>
      </c>
      <c r="V27" s="475">
        <f t="shared" si="23"/>
        <v>0</v>
      </c>
      <c r="W27" s="358"/>
      <c r="X27" s="358">
        <v>0</v>
      </c>
      <c r="Y27" s="358">
        <v>0</v>
      </c>
      <c r="Z27" s="358">
        <v>0</v>
      </c>
      <c r="AA27" s="358">
        <v>0</v>
      </c>
      <c r="AB27" s="475">
        <f>+AA27</f>
        <v>0</v>
      </c>
      <c r="AC27" s="358">
        <v>31</v>
      </c>
      <c r="AD27" s="358">
        <v>0</v>
      </c>
      <c r="AE27" s="358">
        <v>636</v>
      </c>
      <c r="AF27" s="358">
        <v>805</v>
      </c>
      <c r="AG27" s="475">
        <f t="shared" si="31"/>
        <v>805</v>
      </c>
      <c r="AH27" s="359">
        <v>72</v>
      </c>
      <c r="AI27" s="359"/>
      <c r="AJ27" s="359"/>
      <c r="AK27" s="359"/>
      <c r="AL27" s="481">
        <f t="shared" si="29"/>
        <v>72</v>
      </c>
      <c r="AM27" s="359"/>
      <c r="AN27" s="359"/>
      <c r="AO27" s="359"/>
      <c r="AP27" s="359"/>
      <c r="AQ27" s="359"/>
      <c r="AR27" s="392">
        <f>+AQ27</f>
        <v>0</v>
      </c>
      <c r="AS27" s="359"/>
      <c r="AT27" s="359"/>
      <c r="AU27" s="359"/>
      <c r="AV27" s="359"/>
      <c r="AW27" s="392">
        <f>+AV27</f>
        <v>0</v>
      </c>
      <c r="AX27" s="359"/>
      <c r="AY27" s="359"/>
      <c r="AZ27" s="359"/>
      <c r="BA27" s="359"/>
      <c r="BB27" s="392">
        <f>+BA27</f>
        <v>0</v>
      </c>
      <c r="BC27" s="359"/>
      <c r="BD27" s="359"/>
      <c r="BE27" s="359"/>
      <c r="BF27" s="358"/>
      <c r="BG27" s="358"/>
      <c r="BH27" s="392">
        <f t="shared" si="24"/>
        <v>0</v>
      </c>
      <c r="BI27" s="358"/>
      <c r="BJ27" s="358"/>
      <c r="BK27" s="358"/>
      <c r="BL27" s="358"/>
      <c r="BM27" s="392">
        <f t="shared" si="25"/>
        <v>0</v>
      </c>
      <c r="BN27" s="358"/>
      <c r="BO27" s="358"/>
      <c r="BP27" s="358"/>
      <c r="BQ27" s="358"/>
      <c r="BR27" s="358"/>
      <c r="BS27" s="398">
        <f t="shared" si="32"/>
        <v>0</v>
      </c>
      <c r="BT27" s="643"/>
      <c r="BU27" s="522">
        <f t="shared" si="33"/>
        <v>72</v>
      </c>
      <c r="BV27" s="636"/>
      <c r="BW27" s="231"/>
      <c r="BX27" s="240"/>
    </row>
    <row r="28" spans="2:85" collapsed="1" x14ac:dyDescent="0.2"/>
    <row r="30" spans="2:85" x14ac:dyDescent="0.2">
      <c r="BU30" s="231"/>
    </row>
    <row r="31" spans="2:85" x14ac:dyDescent="0.2">
      <c r="AB31" s="231"/>
      <c r="BU31" s="237"/>
    </row>
    <row r="32" spans="2:85" x14ac:dyDescent="0.2">
      <c r="L32" s="231"/>
      <c r="M32" s="231"/>
      <c r="N32" s="231"/>
      <c r="O32" s="231"/>
      <c r="P32" s="231"/>
      <c r="Q32" s="231"/>
      <c r="R32" s="231"/>
      <c r="S32" s="231"/>
      <c r="T32" s="231"/>
      <c r="U32" s="231"/>
      <c r="V32" s="231"/>
      <c r="W32" s="231"/>
      <c r="X32" s="231"/>
      <c r="Y32" s="231"/>
      <c r="Z32" s="231"/>
      <c r="AA32" s="231"/>
      <c r="AB32" s="231"/>
      <c r="AC32" s="231"/>
      <c r="AD32" s="231"/>
      <c r="AE32" s="231"/>
      <c r="AF32" s="231"/>
      <c r="AG32" s="231"/>
      <c r="AH32" s="231"/>
      <c r="AI32" s="231"/>
      <c r="AJ32" s="231"/>
      <c r="AK32" s="231"/>
      <c r="AL32" s="231"/>
      <c r="AM32" s="231"/>
      <c r="AN32" s="231"/>
      <c r="AO32" s="231"/>
      <c r="AP32" s="231"/>
      <c r="AQ32" s="231"/>
      <c r="AR32" s="231"/>
      <c r="AS32" s="231"/>
      <c r="AT32" s="231"/>
      <c r="AU32" s="231"/>
      <c r="AV32" s="231"/>
      <c r="AW32" s="231"/>
      <c r="AX32" s="231"/>
      <c r="AY32" s="231"/>
      <c r="AZ32" s="231"/>
      <c r="BA32" s="231"/>
      <c r="BT32" s="231"/>
      <c r="BU32" s="231"/>
      <c r="BV32" s="231"/>
    </row>
    <row r="33" spans="12:83" x14ac:dyDescent="0.15">
      <c r="L33" s="231"/>
      <c r="M33" s="231"/>
      <c r="N33" s="231"/>
      <c r="O33" s="231"/>
      <c r="P33" s="231"/>
      <c r="Q33" s="231"/>
      <c r="R33" s="231"/>
      <c r="S33" s="231"/>
      <c r="T33" s="231"/>
      <c r="U33" s="231"/>
      <c r="V33" s="231"/>
      <c r="W33" s="231"/>
      <c r="X33" s="231"/>
      <c r="Y33" s="231"/>
      <c r="Z33" s="231"/>
      <c r="AA33" s="231"/>
      <c r="AB33" s="231"/>
      <c r="AC33" s="231"/>
      <c r="AD33" s="231"/>
      <c r="AE33" s="231"/>
      <c r="AF33" s="231"/>
      <c r="AG33" s="231"/>
      <c r="AH33" s="231"/>
      <c r="AI33" s="231"/>
      <c r="AJ33" s="231"/>
      <c r="AK33" s="231"/>
      <c r="AL33" s="231"/>
      <c r="AM33" s="231"/>
      <c r="AN33" s="231"/>
      <c r="AO33" s="231"/>
      <c r="AP33" s="231"/>
      <c r="AQ33" s="231"/>
      <c r="AR33" s="231"/>
      <c r="AS33" s="231"/>
      <c r="AT33" s="231"/>
      <c r="AU33" s="231"/>
      <c r="AV33" s="231"/>
      <c r="AW33" s="231"/>
      <c r="AX33" s="231"/>
      <c r="AY33" s="231"/>
      <c r="AZ33" s="231"/>
      <c r="BA33" s="231"/>
      <c r="BB33" s="231"/>
      <c r="BC33" s="231"/>
      <c r="BD33" s="231"/>
      <c r="BE33" s="231"/>
      <c r="BF33" s="231"/>
      <c r="BG33" s="231"/>
      <c r="BH33" s="231"/>
      <c r="BI33" s="231"/>
      <c r="BJ33" s="231"/>
      <c r="BK33" s="231"/>
      <c r="BL33" s="231"/>
      <c r="BM33" s="231"/>
      <c r="BN33" s="231"/>
      <c r="BO33" s="340" t="s">
        <v>296</v>
      </c>
      <c r="BP33" s="341" t="s">
        <v>297</v>
      </c>
      <c r="BQ33" s="341"/>
      <c r="BR33" s="348"/>
      <c r="BS33" s="349"/>
      <c r="BT33" s="349"/>
      <c r="BU33" s="350"/>
      <c r="BV33" s="349"/>
      <c r="BW33" s="349"/>
    </row>
    <row r="34" spans="12:83" x14ac:dyDescent="0.15">
      <c r="BO34" s="340" t="s">
        <v>298</v>
      </c>
      <c r="BP34" s="341" t="s">
        <v>299</v>
      </c>
      <c r="BQ34" s="341"/>
      <c r="BR34" s="348"/>
      <c r="BS34" s="349"/>
      <c r="BT34" s="349"/>
      <c r="BU34" s="350"/>
      <c r="BV34" s="349"/>
      <c r="BW34" s="349"/>
      <c r="CE34" s="231"/>
    </row>
    <row r="35" spans="12:83" x14ac:dyDescent="0.2">
      <c r="CC35" s="231"/>
      <c r="CD35" s="231"/>
      <c r="CE35" s="231"/>
    </row>
  </sheetData>
  <mergeCells count="66">
    <mergeCell ref="BV5:BV6"/>
    <mergeCell ref="B3:B4"/>
    <mergeCell ref="C3:C4"/>
    <mergeCell ref="D3:D4"/>
    <mergeCell ref="G3:G4"/>
    <mergeCell ref="BT3:BT4"/>
    <mergeCell ref="BV3:BV4"/>
    <mergeCell ref="B5:B6"/>
    <mergeCell ref="C5:C6"/>
    <mergeCell ref="D5:D6"/>
    <mergeCell ref="G5:G6"/>
    <mergeCell ref="BT5:BT6"/>
    <mergeCell ref="BV9:BV10"/>
    <mergeCell ref="B7:B8"/>
    <mergeCell ref="C7:C8"/>
    <mergeCell ref="D7:D8"/>
    <mergeCell ref="G7:G8"/>
    <mergeCell ref="BT7:BT8"/>
    <mergeCell ref="BV7:BV8"/>
    <mergeCell ref="B9:B10"/>
    <mergeCell ref="C9:C10"/>
    <mergeCell ref="D9:D10"/>
    <mergeCell ref="G9:G10"/>
    <mergeCell ref="BT9:BT10"/>
    <mergeCell ref="BV13:BV14"/>
    <mergeCell ref="B11:B12"/>
    <mergeCell ref="C11:C12"/>
    <mergeCell ref="D11:D12"/>
    <mergeCell ref="G11:G12"/>
    <mergeCell ref="BT11:BT12"/>
    <mergeCell ref="BV11:BV12"/>
    <mergeCell ref="B13:B14"/>
    <mergeCell ref="C13:C14"/>
    <mergeCell ref="D13:D14"/>
    <mergeCell ref="G13:G14"/>
    <mergeCell ref="BT13:BT14"/>
    <mergeCell ref="B18:B19"/>
    <mergeCell ref="C18:C19"/>
    <mergeCell ref="D18:D19"/>
    <mergeCell ref="BT18:BT19"/>
    <mergeCell ref="BV18:BV19"/>
    <mergeCell ref="G18:G19"/>
    <mergeCell ref="BV20:BV21"/>
    <mergeCell ref="B22:B23"/>
    <mergeCell ref="C22:C23"/>
    <mergeCell ref="D22:D23"/>
    <mergeCell ref="G22:G23"/>
    <mergeCell ref="BT22:BT23"/>
    <mergeCell ref="BV22:BV23"/>
    <mergeCell ref="B20:B21"/>
    <mergeCell ref="C20:C21"/>
    <mergeCell ref="D20:D21"/>
    <mergeCell ref="G20:G21"/>
    <mergeCell ref="BT20:BT21"/>
    <mergeCell ref="BV26:BV27"/>
    <mergeCell ref="B24:B25"/>
    <mergeCell ref="C24:C25"/>
    <mergeCell ref="D24:D25"/>
    <mergeCell ref="G24:G25"/>
    <mergeCell ref="BT24:BT25"/>
    <mergeCell ref="BV24:BV25"/>
    <mergeCell ref="B26:B27"/>
    <mergeCell ref="C26:C27"/>
    <mergeCell ref="D26:D27"/>
    <mergeCell ref="G26:G27"/>
    <mergeCell ref="BT26:BT27"/>
  </mergeCells>
  <phoneticPr fontId="20" type="noConversion"/>
  <pageMargins left="0.7" right="0.7" top="0.75" bottom="0.75" header="0.3" footer="0.3"/>
  <ignoredErrors>
    <ignoredError sqref="AB18:AB19" formula="1"/>
  </ignoredError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1C42-D23F-419E-AB2A-423C9344465D}">
  <dimension ref="A1:F9"/>
  <sheetViews>
    <sheetView workbookViewId="0">
      <selection sqref="A1:F1"/>
    </sheetView>
  </sheetViews>
  <sheetFormatPr baseColWidth="10" defaultColWidth="11.5" defaultRowHeight="15" x14ac:dyDescent="0.2"/>
  <cols>
    <col min="1" max="1" width="2.1640625" bestFit="1" customWidth="1"/>
    <col min="2" max="2" width="14" customWidth="1"/>
    <col min="3" max="4" width="27.5" customWidth="1"/>
    <col min="5" max="5" width="21.83203125" customWidth="1"/>
    <col min="6" max="6" width="14" customWidth="1"/>
  </cols>
  <sheetData>
    <row r="1" spans="1:6" x14ac:dyDescent="0.2">
      <c r="A1" s="314" t="s">
        <v>0</v>
      </c>
      <c r="B1" s="314" t="s">
        <v>267</v>
      </c>
      <c r="C1" s="314" t="s">
        <v>322</v>
      </c>
      <c r="D1" s="314" t="s">
        <v>323</v>
      </c>
      <c r="E1" s="314" t="s">
        <v>42</v>
      </c>
      <c r="F1" s="314" t="s">
        <v>324</v>
      </c>
    </row>
    <row r="2" spans="1:6" x14ac:dyDescent="0.2">
      <c r="A2">
        <v>1</v>
      </c>
      <c r="B2" s="160">
        <v>46023</v>
      </c>
      <c r="E2" t="s">
        <v>325</v>
      </c>
    </row>
    <row r="3" spans="1:6" x14ac:dyDescent="0.2">
      <c r="A3">
        <v>2</v>
      </c>
      <c r="B3" s="160">
        <v>46023</v>
      </c>
      <c r="E3" t="s">
        <v>326</v>
      </c>
    </row>
    <row r="4" spans="1:6" x14ac:dyDescent="0.2">
      <c r="A4">
        <v>3</v>
      </c>
      <c r="B4" s="160">
        <v>46023</v>
      </c>
      <c r="E4" t="s">
        <v>327</v>
      </c>
    </row>
    <row r="5" spans="1:6" x14ac:dyDescent="0.2">
      <c r="A5">
        <v>4</v>
      </c>
      <c r="B5" s="160">
        <v>46023</v>
      </c>
      <c r="E5" t="s">
        <v>328</v>
      </c>
    </row>
    <row r="6" spans="1:6" x14ac:dyDescent="0.2">
      <c r="A6">
        <v>5</v>
      </c>
      <c r="B6" s="160">
        <v>46023</v>
      </c>
      <c r="E6" t="s">
        <v>329</v>
      </c>
    </row>
    <row r="7" spans="1:6" x14ac:dyDescent="0.2">
      <c r="A7">
        <v>6</v>
      </c>
      <c r="B7" s="160">
        <v>46023</v>
      </c>
      <c r="E7" t="s">
        <v>330</v>
      </c>
    </row>
    <row r="8" spans="1:6" x14ac:dyDescent="0.2">
      <c r="A8">
        <v>7</v>
      </c>
      <c r="B8" s="160">
        <v>46023</v>
      </c>
      <c r="E8" t="s">
        <v>331</v>
      </c>
    </row>
    <row r="9" spans="1:6" x14ac:dyDescent="0.2">
      <c r="F9" s="314" t="s">
        <v>249</v>
      </c>
    </row>
  </sheetData>
  <phoneticPr fontId="2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B3164-BAAE-422C-861F-C15AFA865EB8}">
  <dimension ref="A1:R118"/>
  <sheetViews>
    <sheetView showGridLines="0" topLeftCell="A76" zoomScale="80" zoomScaleNormal="80" workbookViewId="0">
      <selection activeCell="A65" sqref="A65:O102"/>
    </sheetView>
  </sheetViews>
  <sheetFormatPr baseColWidth="10" defaultColWidth="10.83203125" defaultRowHeight="15" x14ac:dyDescent="0.2"/>
  <cols>
    <col min="1" max="1" width="1.5" style="415" customWidth="1"/>
    <col min="2" max="2" width="34.5" style="415" customWidth="1"/>
    <col min="3" max="3" width="10" style="415" customWidth="1"/>
    <col min="4" max="9" width="13.1640625" style="415" customWidth="1"/>
    <col min="10" max="10" width="14.83203125" style="415" customWidth="1"/>
    <col min="11" max="17" width="13.1640625" style="415" customWidth="1"/>
    <col min="18" max="16384" width="10.83203125" style="415"/>
  </cols>
  <sheetData>
    <row r="1" spans="1:18" ht="8" customHeight="1" x14ac:dyDescent="0.2"/>
    <row r="2" spans="1:18" ht="24" customHeight="1" x14ac:dyDescent="0.2">
      <c r="B2" s="416" t="s">
        <v>332</v>
      </c>
    </row>
    <row r="3" spans="1:18" ht="16.25" customHeight="1" x14ac:dyDescent="0.2">
      <c r="B3" s="417" t="s">
        <v>333</v>
      </c>
    </row>
    <row r="4" spans="1:18" ht="14" customHeight="1" x14ac:dyDescent="0.2">
      <c r="B4" s="418" t="s">
        <v>334</v>
      </c>
    </row>
    <row r="5" spans="1:18" ht="8" customHeight="1" thickBot="1" x14ac:dyDescent="0.25"/>
    <row r="6" spans="1:18" ht="18" customHeight="1" thickTop="1" x14ac:dyDescent="0.2">
      <c r="B6" s="665" t="s">
        <v>335</v>
      </c>
      <c r="C6" s="666"/>
      <c r="D6" s="665" t="s">
        <v>286</v>
      </c>
      <c r="E6" s="666"/>
      <c r="F6" s="666"/>
      <c r="G6" s="665" t="s">
        <v>336</v>
      </c>
      <c r="H6" s="666"/>
      <c r="I6" s="666"/>
      <c r="J6" s="665" t="s">
        <v>337</v>
      </c>
      <c r="K6" s="666"/>
      <c r="L6" s="666"/>
      <c r="M6" s="665" t="s">
        <v>338</v>
      </c>
      <c r="N6" s="672"/>
      <c r="O6" s="673"/>
    </row>
    <row r="7" spans="1:18" ht="4.25" customHeight="1" x14ac:dyDescent="0.2">
      <c r="B7" s="667"/>
      <c r="C7" s="668"/>
      <c r="D7" s="667"/>
      <c r="E7" s="668"/>
      <c r="F7" s="668"/>
      <c r="G7" s="667"/>
      <c r="H7" s="668"/>
      <c r="I7" s="668"/>
      <c r="J7" s="667"/>
      <c r="K7" s="668"/>
      <c r="L7" s="668"/>
      <c r="M7" s="667"/>
      <c r="N7" s="668"/>
      <c r="O7" s="674"/>
    </row>
    <row r="8" spans="1:18" ht="30" customHeight="1" x14ac:dyDescent="0.2">
      <c r="B8" s="669" t="str">
        <f>TEXT(E37,"#.##0")&amp;" kUS$  ("&amp;E36&amp;" #)"</f>
        <v>4.051 kUS$  (34 #)</v>
      </c>
      <c r="C8" s="668"/>
      <c r="D8" s="669" t="str">
        <f>TEXT(E39,"#.##0")&amp;" kUS$  ("&amp;E38&amp;" #)"</f>
        <v>3.591 kUS$  (96 #)</v>
      </c>
      <c r="E8" s="668"/>
      <c r="F8" s="668"/>
      <c r="G8" s="669" t="str">
        <f>TEXT(E41,"#.##0")&amp;" kUS$  ("&amp;E40&amp;" #)"</f>
        <v>3.598 kUS$  (86 #)</v>
      </c>
      <c r="H8" s="668"/>
      <c r="I8" s="668"/>
      <c r="J8" s="669" t="str">
        <f>TEXT(E43,"#.##0")&amp;" kUS$  ("&amp;E42&amp;" #)"</f>
        <v>3.134 kUS$  (76 #)</v>
      </c>
      <c r="K8" s="668"/>
      <c r="L8" s="668"/>
      <c r="M8" s="669" t="str">
        <f>TEXT(E45,"#.##0")&amp;" kUS$  ("&amp;E44&amp;" #)"</f>
        <v>3.204 kUS$  (79 #)</v>
      </c>
      <c r="N8" s="668"/>
      <c r="O8" s="674"/>
    </row>
    <row r="9" spans="1:18" ht="16.25" customHeight="1" x14ac:dyDescent="0.2">
      <c r="B9" s="670" t="str">
        <f>"vs "&amp;TEXT(D37,"#.##0")&amp;" kUS$ en 2025"</f>
        <v>vs 5.020 kUS$ en 2025</v>
      </c>
      <c r="C9" s="668"/>
      <c r="D9" s="670" t="str">
        <f>"vs "&amp;TEXT(D39,"#.##0")&amp;" kUS$ en 2025"</f>
        <v>vs 3.847 kUS$ en 2025</v>
      </c>
      <c r="E9" s="668"/>
      <c r="F9" s="668"/>
      <c r="G9" s="670" t="str">
        <f>"vs "&amp;TEXT(D41,"#.##0")&amp;" kUS$ en 2025"</f>
        <v>vs 3.689 kUS$ en 2025</v>
      </c>
      <c r="H9" s="668"/>
      <c r="I9" s="668"/>
      <c r="J9" s="670" t="str">
        <f>"vs "&amp;TEXT(D43,"#.##0")&amp;" kUS$ en 2025"</f>
        <v>vs 3.552 kUS$ en 2025</v>
      </c>
      <c r="K9" s="668"/>
      <c r="L9" s="668"/>
      <c r="M9" s="670" t="str">
        <f>"vs "&amp;TEXT(D45,"#.##0")&amp;" kUS$ en 2025"</f>
        <v>vs 3.665 kUS$ en 2025</v>
      </c>
      <c r="N9" s="668"/>
      <c r="O9" s="674"/>
    </row>
    <row r="10" spans="1:18" ht="20" customHeight="1" x14ac:dyDescent="0.2">
      <c r="B10" s="671" t="str">
        <f>IF(G37&lt;0,"▼ ","▲ ")&amp;TEXT(ABS(G37),"0,0%")</f>
        <v>▼ 19,3%</v>
      </c>
      <c r="C10" s="668"/>
      <c r="D10" s="671" t="str">
        <f>IF(G39&lt;0,"▼ ","▲ ")&amp;TEXT(ABS(G39),"0,0%")</f>
        <v>▼ 6,7%</v>
      </c>
      <c r="E10" s="668"/>
      <c r="F10" s="668"/>
      <c r="G10" s="671" t="str">
        <f>IF(G41&lt;0,"▼ ","▲ ")&amp;TEXT(ABS(G41),"0,0%")</f>
        <v>▼ 2,5%</v>
      </c>
      <c r="H10" s="668"/>
      <c r="I10" s="668"/>
      <c r="J10" s="671" t="str">
        <f>IF(G43&lt;0,"▼ ","▲ ")&amp;TEXT(ABS(G43),"0,0%")</f>
        <v>▼ 11,8%</v>
      </c>
      <c r="K10" s="668"/>
      <c r="L10" s="668"/>
      <c r="M10" s="671" t="str">
        <f>IF(G45&lt;0,"▼ ","▲ ")&amp;TEXT(ABS(G45),"0,0%")</f>
        <v>▼ 12,6%</v>
      </c>
      <c r="N10" s="668"/>
      <c r="O10" s="674"/>
    </row>
    <row r="11" spans="1:18" ht="12" customHeight="1" x14ac:dyDescent="0.2">
      <c r="A11" s="419"/>
      <c r="B11" s="420"/>
      <c r="C11" s="420"/>
      <c r="D11" s="420"/>
      <c r="E11" s="420"/>
      <c r="F11" s="420"/>
      <c r="G11" s="420"/>
      <c r="H11" s="420"/>
      <c r="I11" s="420"/>
      <c r="J11" s="420"/>
      <c r="K11" s="420"/>
      <c r="L11" s="420"/>
      <c r="M11" s="420"/>
      <c r="N11" s="420"/>
      <c r="O11" s="420"/>
      <c r="P11" s="419"/>
      <c r="Q11" s="419"/>
    </row>
    <row r="12" spans="1:18" ht="10.5" customHeight="1" x14ac:dyDescent="0.2">
      <c r="A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</row>
    <row r="13" spans="1:18" ht="16" x14ac:dyDescent="0.2">
      <c r="A13" s="419"/>
      <c r="B13" s="421" t="s">
        <v>339</v>
      </c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</row>
    <row r="14" spans="1:18" x14ac:dyDescent="0.2">
      <c r="A14" s="419"/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</row>
    <row r="15" spans="1:18" ht="18" customHeight="1" thickBot="1" x14ac:dyDescent="0.25">
      <c r="A15" s="419"/>
      <c r="B15" s="422" t="s">
        <v>340</v>
      </c>
      <c r="C15" s="422" t="s">
        <v>2</v>
      </c>
      <c r="D15" s="423" t="s">
        <v>341</v>
      </c>
      <c r="E15" s="423" t="s">
        <v>342</v>
      </c>
      <c r="F15" s="424" t="s">
        <v>343</v>
      </c>
      <c r="G15" s="425" t="s">
        <v>344</v>
      </c>
      <c r="H15" s="425" t="s">
        <v>345</v>
      </c>
      <c r="I15" s="424" t="s">
        <v>343</v>
      </c>
      <c r="J15" s="425" t="s">
        <v>346</v>
      </c>
      <c r="K15" s="425" t="s">
        <v>347</v>
      </c>
      <c r="L15" s="424" t="s">
        <v>343</v>
      </c>
      <c r="M15" s="423" t="s">
        <v>348</v>
      </c>
      <c r="N15" s="423" t="s">
        <v>349</v>
      </c>
      <c r="O15" s="424" t="s">
        <v>343</v>
      </c>
      <c r="P15" s="534" t="s">
        <v>350</v>
      </c>
      <c r="Q15" s="534" t="s">
        <v>351</v>
      </c>
      <c r="R15" s="530" t="s">
        <v>343</v>
      </c>
    </row>
    <row r="16" spans="1:18" ht="18" customHeight="1" x14ac:dyDescent="0.2">
      <c r="A16" s="419"/>
      <c r="B16" s="426" t="s">
        <v>220</v>
      </c>
      <c r="C16" s="427" t="s">
        <v>0</v>
      </c>
      <c r="D16" s="428">
        <f>'KPI´s de negocio 2025'!R3</f>
        <v>8</v>
      </c>
      <c r="E16" s="428">
        <f>'KPI´s de negocio 2026'!L3</f>
        <v>13</v>
      </c>
      <c r="F16" s="429">
        <f t="shared" ref="F16:F29" si="0">IFERROR((E16-D16)/D16,"-")</f>
        <v>0.625</v>
      </c>
      <c r="G16" s="428">
        <f>'KPI´s de negocio 2025'!W3</f>
        <v>10</v>
      </c>
      <c r="H16" s="428">
        <f>'KPI´s de negocio 2026'!Q3</f>
        <v>16</v>
      </c>
      <c r="I16" s="429">
        <f t="shared" ref="I16:I29" si="1">IFERROR((H16-G16)/G16,"-")</f>
        <v>0.6</v>
      </c>
      <c r="J16" s="428">
        <f>'KPI´s de negocio 2025'!AB3</f>
        <v>11</v>
      </c>
      <c r="K16" s="428">
        <f>'KPI´s de negocio 2026'!V3</f>
        <v>21</v>
      </c>
      <c r="L16" s="429">
        <f t="shared" ref="L16:L29" si="2">IFERROR((K16-J16)/J16,"-")</f>
        <v>0.90909090909090906</v>
      </c>
      <c r="M16" s="428">
        <f>'KPI´s de negocio 2025'!AH3</f>
        <v>18</v>
      </c>
      <c r="N16" s="428">
        <f>'KPI´s de negocio 2026'!AB3</f>
        <v>19</v>
      </c>
      <c r="O16" s="429">
        <f t="shared" ref="O16:O29" si="3">IFERROR((N16-M16)/M16,"-")</f>
        <v>5.5555555555555552E-2</v>
      </c>
      <c r="P16" s="428">
        <f>'KPI´s de negocio 2025'!AM3</f>
        <v>8</v>
      </c>
      <c r="Q16" s="428">
        <f>'KPI´s de negocio 2026'!AG3</f>
        <v>14</v>
      </c>
      <c r="R16" s="429">
        <f t="shared" ref="R16:R29" si="4">IFERROR((Q16-P16)/P16,"-")</f>
        <v>0.75</v>
      </c>
    </row>
    <row r="17" spans="1:18" ht="18" customHeight="1" x14ac:dyDescent="0.2">
      <c r="A17" s="419"/>
      <c r="B17" s="430" t="s">
        <v>220</v>
      </c>
      <c r="C17" s="431" t="s">
        <v>13</v>
      </c>
      <c r="D17" s="432">
        <f>'KPI´s de negocio 2025'!R4</f>
        <v>2212</v>
      </c>
      <c r="E17" s="432">
        <f>'KPI´s de negocio 2026'!L4</f>
        <v>2370</v>
      </c>
      <c r="F17" s="433">
        <f t="shared" si="0"/>
        <v>7.1428571428571425E-2</v>
      </c>
      <c r="G17" s="432">
        <f>'KPI´s de negocio 2025'!W4</f>
        <v>2571</v>
      </c>
      <c r="H17" s="432">
        <f>'KPI´s de negocio 2026'!Q4</f>
        <v>4175</v>
      </c>
      <c r="I17" s="433">
        <f t="shared" si="1"/>
        <v>0.6238817580707896</v>
      </c>
      <c r="J17" s="432">
        <f>'KPI´s de negocio 2025'!AB4</f>
        <v>6130</v>
      </c>
      <c r="K17" s="432">
        <f>'KPI´s de negocio 2026'!V4</f>
        <v>3958</v>
      </c>
      <c r="L17" s="433">
        <f t="shared" si="2"/>
        <v>-0.35432300163132135</v>
      </c>
      <c r="M17" s="432">
        <f>'KPI´s de negocio 2025'!AH4</f>
        <v>4378</v>
      </c>
      <c r="N17" s="432">
        <f>'KPI´s de negocio 2026'!AB4</f>
        <v>3190</v>
      </c>
      <c r="O17" s="433">
        <f t="shared" si="3"/>
        <v>-0.271356783919598</v>
      </c>
      <c r="P17" s="432">
        <f>'KPI´s de negocio 2025'!AM4</f>
        <v>3026</v>
      </c>
      <c r="Q17" s="432">
        <f>'KPI´s de negocio 2026'!AG4</f>
        <v>2514.6849999999999</v>
      </c>
      <c r="R17" s="433">
        <f t="shared" si="4"/>
        <v>-0.16897389292795773</v>
      </c>
    </row>
    <row r="18" spans="1:18" ht="18" customHeight="1" x14ac:dyDescent="0.2">
      <c r="A18" s="419"/>
      <c r="B18" s="434" t="s">
        <v>221</v>
      </c>
      <c r="C18" s="435" t="s">
        <v>0</v>
      </c>
      <c r="D18" s="436">
        <f>'KPI´s de negocio 2025'!R5</f>
        <v>8</v>
      </c>
      <c r="E18" s="436">
        <f>'KPI´s de negocio 2026'!L5</f>
        <v>6</v>
      </c>
      <c r="F18" s="433">
        <f t="shared" si="0"/>
        <v>-0.25</v>
      </c>
      <c r="G18" s="436">
        <f>'KPI´s de negocio 2025'!W5</f>
        <v>6</v>
      </c>
      <c r="H18" s="436">
        <f>'KPI´s de negocio 2026'!Q5</f>
        <v>4</v>
      </c>
      <c r="I18" s="433">
        <f t="shared" si="1"/>
        <v>-0.33333333333333331</v>
      </c>
      <c r="J18" s="436">
        <f>'KPI´s de negocio 2025'!AB5</f>
        <v>8</v>
      </c>
      <c r="K18" s="436">
        <f>'KPI´s de negocio 2026'!V5</f>
        <v>11</v>
      </c>
      <c r="L18" s="433">
        <f t="shared" si="2"/>
        <v>0.375</v>
      </c>
      <c r="M18" s="436">
        <f>'KPI´s de negocio 2025'!AH5</f>
        <v>7</v>
      </c>
      <c r="N18" s="436">
        <f>'KPI´s de negocio 2026'!AB5</f>
        <v>7</v>
      </c>
      <c r="O18" s="433">
        <f t="shared" si="3"/>
        <v>0</v>
      </c>
      <c r="P18" s="436">
        <f>'KPI´s de negocio 2025'!AM5</f>
        <v>4</v>
      </c>
      <c r="Q18" s="436">
        <f>'KPI´s de negocio 2026'!AG5</f>
        <v>6</v>
      </c>
      <c r="R18" s="433">
        <f t="shared" si="4"/>
        <v>0.5</v>
      </c>
    </row>
    <row r="19" spans="1:18" ht="18" customHeight="1" x14ac:dyDescent="0.2">
      <c r="A19" s="419"/>
      <c r="B19" s="430" t="s">
        <v>221</v>
      </c>
      <c r="C19" s="431" t="s">
        <v>13</v>
      </c>
      <c r="D19" s="432">
        <f>'KPI´s de negocio 2025'!R6</f>
        <v>1056</v>
      </c>
      <c r="E19" s="432">
        <f>'KPI´s de negocio 2026'!L6</f>
        <v>804</v>
      </c>
      <c r="F19" s="433">
        <f t="shared" si="0"/>
        <v>-0.23863636363636365</v>
      </c>
      <c r="G19" s="432">
        <f>'KPI´s de negocio 2025'!W6</f>
        <v>1246</v>
      </c>
      <c r="H19" s="432">
        <f>'KPI´s de negocio 2026'!Q6</f>
        <v>371</v>
      </c>
      <c r="I19" s="433">
        <f t="shared" si="1"/>
        <v>-0.702247191011236</v>
      </c>
      <c r="J19" s="432">
        <f>'KPI´s de negocio 2025'!AB6</f>
        <v>736</v>
      </c>
      <c r="K19" s="432">
        <f>'KPI´s de negocio 2026'!V6</f>
        <v>1406</v>
      </c>
      <c r="L19" s="433">
        <f t="shared" si="2"/>
        <v>0.91032608695652173</v>
      </c>
      <c r="M19" s="432">
        <f>'KPI´s de negocio 2025'!AH6</f>
        <v>1014</v>
      </c>
      <c r="N19" s="432">
        <f>'KPI´s de negocio 2026'!AB6</f>
        <v>1060</v>
      </c>
      <c r="O19" s="433">
        <f t="shared" si="3"/>
        <v>4.5364891518737675E-2</v>
      </c>
      <c r="P19" s="432">
        <f>'KPI´s de negocio 2025'!AM6</f>
        <v>968</v>
      </c>
      <c r="Q19" s="432">
        <f>'KPI´s de negocio 2026'!AG6</f>
        <v>409.92</v>
      </c>
      <c r="R19" s="433">
        <f t="shared" si="4"/>
        <v>-0.5765289256198346</v>
      </c>
    </row>
    <row r="20" spans="1:18" ht="18" customHeight="1" x14ac:dyDescent="0.2">
      <c r="A20" s="419"/>
      <c r="B20" s="434" t="s">
        <v>286</v>
      </c>
      <c r="C20" s="435" t="s">
        <v>0</v>
      </c>
      <c r="D20" s="436">
        <f>'KPI´s de negocio 2025'!R7</f>
        <v>21</v>
      </c>
      <c r="E20" s="436">
        <f>'KPI´s de negocio 2026'!L7</f>
        <v>16</v>
      </c>
      <c r="F20" s="433">
        <f t="shared" si="0"/>
        <v>-0.23809523809523808</v>
      </c>
      <c r="G20" s="436">
        <f>'KPI´s de negocio 2025'!W7</f>
        <v>21</v>
      </c>
      <c r="H20" s="436">
        <f>'KPI´s de negocio 2026'!Q7</f>
        <v>15</v>
      </c>
      <c r="I20" s="433">
        <f t="shared" si="1"/>
        <v>-0.2857142857142857</v>
      </c>
      <c r="J20" s="436">
        <f>'KPI´s de negocio 2025'!AB7</f>
        <v>22</v>
      </c>
      <c r="K20" s="436">
        <f>'KPI´s de negocio 2026'!V7</f>
        <v>19</v>
      </c>
      <c r="L20" s="433">
        <f t="shared" si="2"/>
        <v>-0.13636363636363635</v>
      </c>
      <c r="M20" s="436">
        <f>'KPI´s de negocio 2025'!AH7</f>
        <v>13</v>
      </c>
      <c r="N20" s="436">
        <f>'KPI´s de negocio 2026'!AB7</f>
        <v>26</v>
      </c>
      <c r="O20" s="433">
        <f t="shared" si="3"/>
        <v>1</v>
      </c>
      <c r="P20" s="436">
        <f>'KPI´s de negocio 2025'!AM7</f>
        <v>17</v>
      </c>
      <c r="Q20" s="436">
        <f>'KPI´s de negocio 2026'!AG7</f>
        <v>20</v>
      </c>
      <c r="R20" s="433">
        <f t="shared" si="4"/>
        <v>0.17647058823529413</v>
      </c>
    </row>
    <row r="21" spans="1:18" ht="18" customHeight="1" x14ac:dyDescent="0.2">
      <c r="A21" s="419"/>
      <c r="B21" s="430" t="s">
        <v>286</v>
      </c>
      <c r="C21" s="431" t="s">
        <v>13</v>
      </c>
      <c r="D21" s="432">
        <f>'KPI´s de negocio 2025'!R8</f>
        <v>718</v>
      </c>
      <c r="E21" s="432">
        <f>'KPI´s de negocio 2026'!L8</f>
        <v>567.61568620000003</v>
      </c>
      <c r="F21" s="433">
        <f t="shared" si="0"/>
        <v>-0.20944890501392754</v>
      </c>
      <c r="G21" s="432">
        <f>'KPI´s de negocio 2025'!W8</f>
        <v>873</v>
      </c>
      <c r="H21" s="432">
        <f>'KPI´s de negocio 2026'!Q8</f>
        <v>778.37021507472195</v>
      </c>
      <c r="I21" s="433">
        <f t="shared" si="1"/>
        <v>-0.10839608811601151</v>
      </c>
      <c r="J21" s="432">
        <f>'KPI´s de negocio 2025'!AB8</f>
        <v>811</v>
      </c>
      <c r="K21" s="432">
        <f>'KPI´s de negocio 2026'!V8</f>
        <v>814.62300000000005</v>
      </c>
      <c r="L21" s="433">
        <f t="shared" si="2"/>
        <v>4.4673242909988257E-3</v>
      </c>
      <c r="M21" s="432">
        <f>'KPI´s de negocio 2025'!AH8</f>
        <v>611</v>
      </c>
      <c r="N21" s="432">
        <f>'KPI´s de negocio 2026'!AB8</f>
        <v>728</v>
      </c>
      <c r="O21" s="433">
        <f t="shared" si="3"/>
        <v>0.19148936170212766</v>
      </c>
      <c r="P21" s="432">
        <f>'KPI´s de negocio 2025'!AM8</f>
        <v>834</v>
      </c>
      <c r="Q21" s="432">
        <f>'KPI´s de negocio 2026'!AG8</f>
        <v>702</v>
      </c>
      <c r="R21" s="433">
        <f t="shared" si="4"/>
        <v>-0.15827338129496402</v>
      </c>
    </row>
    <row r="22" spans="1:18" ht="18" customHeight="1" x14ac:dyDescent="0.2">
      <c r="A22" s="419"/>
      <c r="B22" s="434" t="s">
        <v>23</v>
      </c>
      <c r="C22" s="435" t="s">
        <v>0</v>
      </c>
      <c r="D22" s="436">
        <f>'KPI´s de negocio 2025'!R9</f>
        <v>19</v>
      </c>
      <c r="E22" s="436">
        <f>'KPI´s de negocio 2026'!L9</f>
        <v>10</v>
      </c>
      <c r="F22" s="433">
        <f t="shared" si="0"/>
        <v>-0.47368421052631576</v>
      </c>
      <c r="G22" s="436">
        <f>'KPI´s de negocio 2025'!W9</f>
        <v>20</v>
      </c>
      <c r="H22" s="436">
        <f>'KPI´s de negocio 2026'!Q9</f>
        <v>17</v>
      </c>
      <c r="I22" s="433">
        <f t="shared" si="1"/>
        <v>-0.15</v>
      </c>
      <c r="J22" s="436">
        <f>'KPI´s de negocio 2025'!AB9</f>
        <v>17</v>
      </c>
      <c r="K22" s="436">
        <f>'KPI´s de negocio 2026'!V9</f>
        <v>20</v>
      </c>
      <c r="L22" s="433">
        <f t="shared" si="2"/>
        <v>0.17647058823529413</v>
      </c>
      <c r="M22" s="436">
        <f>'KPI´s de negocio 2025'!AH9</f>
        <v>15</v>
      </c>
      <c r="N22" s="436">
        <f>'KPI´s de negocio 2026'!AB9</f>
        <v>21</v>
      </c>
      <c r="O22" s="433">
        <f t="shared" si="3"/>
        <v>0.4</v>
      </c>
      <c r="P22" s="436">
        <f>'KPI´s de negocio 2025'!AM9</f>
        <v>16</v>
      </c>
      <c r="Q22" s="436">
        <f>'KPI´s de negocio 2026'!AG9</f>
        <v>18</v>
      </c>
      <c r="R22" s="433">
        <f t="shared" si="4"/>
        <v>0.125</v>
      </c>
    </row>
    <row r="23" spans="1:18" ht="18" customHeight="1" x14ac:dyDescent="0.2">
      <c r="A23" s="419"/>
      <c r="B23" s="430" t="s">
        <v>23</v>
      </c>
      <c r="C23" s="431" t="s">
        <v>13</v>
      </c>
      <c r="D23" s="432">
        <f>'KPI´s de negocio 2025'!R10</f>
        <v>669</v>
      </c>
      <c r="E23" s="432">
        <f>'KPI´s de negocio 2026'!L10</f>
        <v>319.250709904762</v>
      </c>
      <c r="F23" s="433">
        <f t="shared" si="0"/>
        <v>-0.52279415559826303</v>
      </c>
      <c r="G23" s="432">
        <f>'KPI´s de negocio 2025'!W10</f>
        <v>892</v>
      </c>
      <c r="H23" s="432">
        <f>'KPI´s de negocio 2026'!Q10</f>
        <v>606</v>
      </c>
      <c r="I23" s="433">
        <f t="shared" si="1"/>
        <v>-0.32062780269058294</v>
      </c>
      <c r="J23" s="432">
        <f>'KPI´s de negocio 2025'!AB10</f>
        <v>694</v>
      </c>
      <c r="K23" s="432">
        <f>'KPI´s de negocio 2026'!V10</f>
        <v>1404</v>
      </c>
      <c r="L23" s="433">
        <f t="shared" si="2"/>
        <v>1.0230547550432276</v>
      </c>
      <c r="M23" s="432">
        <f>'KPI´s de negocio 2025'!AH10</f>
        <v>704</v>
      </c>
      <c r="N23" s="432">
        <f>'KPI´s de negocio 2026'!AB10</f>
        <v>708</v>
      </c>
      <c r="O23" s="433">
        <f t="shared" si="3"/>
        <v>5.681818181818182E-3</v>
      </c>
      <c r="P23" s="432">
        <f>'KPI´s de negocio 2025'!AM10</f>
        <v>730</v>
      </c>
      <c r="Q23" s="432">
        <f>'KPI´s de negocio 2026'!AG10</f>
        <v>561</v>
      </c>
      <c r="R23" s="433">
        <f t="shared" si="4"/>
        <v>-0.23150684931506849</v>
      </c>
    </row>
    <row r="24" spans="1:18" ht="18" customHeight="1" x14ac:dyDescent="0.2">
      <c r="A24" s="419"/>
      <c r="B24" s="434" t="s">
        <v>24</v>
      </c>
      <c r="C24" s="435" t="s">
        <v>0</v>
      </c>
      <c r="D24" s="436">
        <f>'KPI´s de negocio 2025'!R11</f>
        <v>22</v>
      </c>
      <c r="E24" s="436">
        <f>'KPI´s de negocio 2026'!L11</f>
        <v>12</v>
      </c>
      <c r="F24" s="433">
        <f t="shared" si="0"/>
        <v>-0.45454545454545453</v>
      </c>
      <c r="G24" s="436">
        <f>'KPI´s de negocio 2025'!W11</f>
        <v>9</v>
      </c>
      <c r="H24" s="436">
        <f>'KPI´s de negocio 2026'!Q11</f>
        <v>12</v>
      </c>
      <c r="I24" s="433">
        <f t="shared" si="1"/>
        <v>0.33333333333333331</v>
      </c>
      <c r="J24" s="436">
        <f>'KPI´s de negocio 2025'!AB11</f>
        <v>17</v>
      </c>
      <c r="K24" s="436">
        <f>'KPI´s de negocio 2026'!V11</f>
        <v>16</v>
      </c>
      <c r="L24" s="433">
        <f t="shared" si="2"/>
        <v>-5.8823529411764705E-2</v>
      </c>
      <c r="M24" s="436">
        <f>'KPI´s de negocio 2025'!AH11</f>
        <v>16</v>
      </c>
      <c r="N24" s="436">
        <f>'KPI´s de negocio 2026'!AB11</f>
        <v>21</v>
      </c>
      <c r="O24" s="433">
        <f t="shared" si="3"/>
        <v>0.3125</v>
      </c>
      <c r="P24" s="436">
        <f>'KPI´s de negocio 2025'!AM11</f>
        <v>21</v>
      </c>
      <c r="Q24" s="436">
        <f>'KPI´s de negocio 2026'!AG11</f>
        <v>15</v>
      </c>
      <c r="R24" s="433">
        <f t="shared" si="4"/>
        <v>-0.2857142857142857</v>
      </c>
    </row>
    <row r="25" spans="1:18" ht="18" customHeight="1" x14ac:dyDescent="0.2">
      <c r="A25" s="419"/>
      <c r="B25" s="430" t="s">
        <v>24</v>
      </c>
      <c r="C25" s="431" t="s">
        <v>13</v>
      </c>
      <c r="D25" s="432">
        <f>'KPI´s de negocio 2025'!R12</f>
        <v>823</v>
      </c>
      <c r="E25" s="432">
        <f>'KPI´s de negocio 2026'!L12</f>
        <v>452.44871937044098</v>
      </c>
      <c r="F25" s="433">
        <f t="shared" si="0"/>
        <v>-0.45024456941623209</v>
      </c>
      <c r="G25" s="432">
        <f>'KPI´s de negocio 2025'!W12</f>
        <v>313</v>
      </c>
      <c r="H25" s="432">
        <f>'KPI´s de negocio 2026'!Q12</f>
        <v>392</v>
      </c>
      <c r="I25" s="433">
        <f t="shared" si="1"/>
        <v>0.25239616613418531</v>
      </c>
      <c r="J25" s="432">
        <f>'KPI´s de negocio 2025'!AB12</f>
        <v>798</v>
      </c>
      <c r="K25" s="432">
        <f>'KPI´s de negocio 2026'!V12</f>
        <v>1023</v>
      </c>
      <c r="L25" s="433">
        <f t="shared" si="2"/>
        <v>0.28195488721804512</v>
      </c>
      <c r="M25" s="432">
        <f>'KPI´s de negocio 2025'!AH12</f>
        <v>702</v>
      </c>
      <c r="N25" s="432">
        <f>'KPI´s de negocio 2026'!AB12</f>
        <v>688</v>
      </c>
      <c r="O25" s="433">
        <f t="shared" si="3"/>
        <v>-1.9943019943019943E-2</v>
      </c>
      <c r="P25" s="432">
        <f>'KPI´s de negocio 2025'!AM12</f>
        <v>916</v>
      </c>
      <c r="Q25" s="432">
        <f>'KPI´s de negocio 2026'!AG12</f>
        <v>579</v>
      </c>
      <c r="R25" s="433">
        <f t="shared" si="4"/>
        <v>-0.36790393013100436</v>
      </c>
    </row>
    <row r="26" spans="1:18" ht="18" customHeight="1" x14ac:dyDescent="0.2">
      <c r="A26" s="419"/>
      <c r="B26" s="437" t="s">
        <v>352</v>
      </c>
      <c r="C26" s="435" t="s">
        <v>0</v>
      </c>
      <c r="D26" s="438">
        <f>'KPI´s de negocio 2025'!R13</f>
        <v>22</v>
      </c>
      <c r="E26" s="438">
        <f>'KPI´s de negocio 2026'!L13</f>
        <v>27</v>
      </c>
      <c r="F26" s="439">
        <f t="shared" si="0"/>
        <v>0.22727272727272727</v>
      </c>
      <c r="G26" s="438">
        <f>'KPI´s de negocio 2025'!W13</f>
        <v>20</v>
      </c>
      <c r="H26" s="438">
        <f>'KPI´s de negocio 2026'!Q13</f>
        <v>10</v>
      </c>
      <c r="I26" s="439">
        <f t="shared" si="1"/>
        <v>-0.5</v>
      </c>
      <c r="J26" s="438">
        <f>'KPI´s de negocio 2025'!AB13</f>
        <v>16</v>
      </c>
      <c r="K26" s="438">
        <f>'KPI´s de negocio 2026'!V13</f>
        <v>15</v>
      </c>
      <c r="L26" s="439">
        <f t="shared" si="2"/>
        <v>-6.25E-2</v>
      </c>
      <c r="M26" s="438">
        <f>'KPI´s de negocio 2025'!AH13</f>
        <v>12</v>
      </c>
      <c r="N26" s="438">
        <f>'KPI´s de negocio 2026'!AB13</f>
        <v>17</v>
      </c>
      <c r="O26" s="439">
        <f t="shared" si="3"/>
        <v>0.41666666666666669</v>
      </c>
      <c r="P26" s="438">
        <f>'KPI´s de negocio 2025'!AM13</f>
        <v>20</v>
      </c>
      <c r="Q26" s="438">
        <f>'KPI´s de negocio 2026'!AG13</f>
        <v>10</v>
      </c>
      <c r="R26" s="439">
        <f t="shared" si="4"/>
        <v>-0.5</v>
      </c>
    </row>
    <row r="27" spans="1:18" ht="18" customHeight="1" x14ac:dyDescent="0.2">
      <c r="A27" s="419"/>
      <c r="B27" s="440" t="s">
        <v>352</v>
      </c>
      <c r="C27" s="431" t="s">
        <v>13</v>
      </c>
      <c r="D27" s="441">
        <f>'KPI´s de negocio 2025'!R14</f>
        <v>724</v>
      </c>
      <c r="E27" s="441">
        <f>'KPI´s de negocio 2026'!L14</f>
        <v>1645</v>
      </c>
      <c r="F27" s="439">
        <f t="shared" si="0"/>
        <v>1.2720994475138121</v>
      </c>
      <c r="G27" s="441">
        <f>'KPI´s de negocio 2025'!W14</f>
        <v>932</v>
      </c>
      <c r="H27" s="441">
        <f>'KPI´s de negocio 2026'!Q14</f>
        <v>239</v>
      </c>
      <c r="I27" s="439">
        <f t="shared" si="1"/>
        <v>-0.74356223175965663</v>
      </c>
      <c r="J27" s="441">
        <f>'KPI´s de negocio 2025'!AB14</f>
        <v>780</v>
      </c>
      <c r="K27" s="441">
        <f>'KPI´s de negocio 2026'!V14</f>
        <v>422</v>
      </c>
      <c r="L27" s="439">
        <f t="shared" si="2"/>
        <v>-0.45897435897435895</v>
      </c>
      <c r="M27" s="441">
        <f>'KPI´s de negocio 2025'!AH14</f>
        <v>601</v>
      </c>
      <c r="N27" s="441">
        <f>'KPI´s de negocio 2026'!AB14</f>
        <v>472</v>
      </c>
      <c r="O27" s="439">
        <f t="shared" si="3"/>
        <v>-0.21464226289517471</v>
      </c>
      <c r="P27" s="441">
        <f>'KPI´s de negocio 2025'!AM14</f>
        <v>628</v>
      </c>
      <c r="Q27" s="441">
        <f>'KPI´s de negocio 2026'!AG14</f>
        <v>426</v>
      </c>
      <c r="R27" s="439">
        <f t="shared" si="4"/>
        <v>-0.321656050955414</v>
      </c>
    </row>
    <row r="28" spans="1:18" ht="18" customHeight="1" x14ac:dyDescent="0.2">
      <c r="A28" s="419"/>
      <c r="B28" s="442" t="s">
        <v>233</v>
      </c>
      <c r="C28" s="443" t="s">
        <v>13</v>
      </c>
      <c r="D28" s="444">
        <f>'KPI´s de negocio 2025'!R15</f>
        <v>477</v>
      </c>
      <c r="E28" s="444">
        <f>'KPI´s de negocio 2026'!L15</f>
        <v>715</v>
      </c>
      <c r="F28" s="445">
        <f t="shared" si="0"/>
        <v>0.49895178197064988</v>
      </c>
      <c r="G28" s="444">
        <f>'KPI´s de negocio 2025'!W15</f>
        <v>500</v>
      </c>
      <c r="H28" s="444">
        <f>'KPI´s de negocio 2026'!Q15</f>
        <v>565</v>
      </c>
      <c r="I28" s="445">
        <f t="shared" si="1"/>
        <v>0.13</v>
      </c>
      <c r="J28" s="444">
        <f>'KPI´s de negocio 2025'!AB15</f>
        <v>536</v>
      </c>
      <c r="K28" s="444">
        <f>'KPI´s de negocio 2026'!V15</f>
        <v>546</v>
      </c>
      <c r="L28" s="445">
        <f t="shared" si="2"/>
        <v>1.8656716417910446E-2</v>
      </c>
      <c r="M28" s="444">
        <f>'KPI´s de negocio 2025'!AH15</f>
        <v>518</v>
      </c>
      <c r="N28" s="444">
        <f>'KPI´s de negocio 2026'!AB15</f>
        <v>585</v>
      </c>
      <c r="O28" s="445">
        <f t="shared" si="3"/>
        <v>0.12934362934362933</v>
      </c>
      <c r="P28" s="444">
        <f>'KPI´s de negocio 2025'!AM15</f>
        <v>534</v>
      </c>
      <c r="Q28" s="444">
        <f>'KPI´s de negocio 2026'!AG15</f>
        <v>543</v>
      </c>
      <c r="R28" s="445">
        <f t="shared" si="4"/>
        <v>1.6853932584269662E-2</v>
      </c>
    </row>
    <row r="29" spans="1:18" ht="18" customHeight="1" thickBot="1" x14ac:dyDescent="0.25">
      <c r="A29" s="419"/>
      <c r="B29" s="446" t="s">
        <v>37</v>
      </c>
      <c r="C29" s="447" t="s">
        <v>38</v>
      </c>
      <c r="D29" s="448">
        <f>'KPI´s de negocio 2025'!R16</f>
        <v>0.93175487465181062</v>
      </c>
      <c r="E29" s="448">
        <f>'KPI´s de negocio 2026'!L16</f>
        <v>0.56244166196681478</v>
      </c>
      <c r="F29" s="449">
        <f t="shared" si="0"/>
        <v>-0.39636305935400151</v>
      </c>
      <c r="G29" s="448">
        <f>'KPI´s de negocio 2025'!W16</f>
        <v>1.0217640320733103</v>
      </c>
      <c r="H29" s="448">
        <f>'KPI´s de negocio 2026'!Q16</f>
        <v>0.77854983176845383</v>
      </c>
      <c r="I29" s="449">
        <f t="shared" si="1"/>
        <v>-0.23803362877369927</v>
      </c>
      <c r="J29" s="448">
        <f>'KPI´s de negocio 2025'!AB16</f>
        <v>0.8557336621454994</v>
      </c>
      <c r="K29" s="448">
        <f>'KPI´s de negocio 2026'!V16</f>
        <v>1.7234966358671433</v>
      </c>
      <c r="L29" s="449">
        <f t="shared" si="2"/>
        <v>1.0140573079081459</v>
      </c>
      <c r="M29" s="448">
        <f>'KPI´s de negocio 2025'!AH16</f>
        <v>1.1522094926350246</v>
      </c>
      <c r="N29" s="448">
        <f>'KPI´s de negocio 2026'!AB16</f>
        <v>0.97252747252747251</v>
      </c>
      <c r="O29" s="449">
        <f t="shared" si="3"/>
        <v>-0.15594561688311692</v>
      </c>
      <c r="P29" s="448">
        <f>'KPI´s de negocio 2025'!AM16</f>
        <v>0.87529976019184652</v>
      </c>
      <c r="Q29" s="448">
        <f>'KPI´s de negocio 2026'!AG16</f>
        <v>0.79914529914529919</v>
      </c>
      <c r="R29" s="449">
        <f t="shared" si="4"/>
        <v>-8.7003863716192426E-2</v>
      </c>
    </row>
    <row r="30" spans="1:18" x14ac:dyDescent="0.2">
      <c r="A30" s="419"/>
      <c r="B30" s="419"/>
      <c r="C30" s="419"/>
      <c r="D30" s="419"/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/>
      <c r="Q30"/>
      <c r="R30"/>
    </row>
    <row r="31" spans="1:18" ht="16" x14ac:dyDescent="0.2">
      <c r="A31" s="419"/>
      <c r="B31" s="421" t="s">
        <v>353</v>
      </c>
      <c r="C31" s="419"/>
      <c r="D31" s="419"/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</row>
    <row r="32" spans="1:18" x14ac:dyDescent="0.2">
      <c r="A32" s="419"/>
      <c r="B32" s="419"/>
      <c r="C32" s="419"/>
      <c r="D32" s="419"/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</row>
    <row r="33" spans="1:17" ht="18" customHeight="1" thickBot="1" x14ac:dyDescent="0.25">
      <c r="A33" s="419"/>
      <c r="B33" s="422" t="s">
        <v>340</v>
      </c>
      <c r="C33" s="422" t="s">
        <v>2</v>
      </c>
      <c r="D33" s="423" t="s">
        <v>217</v>
      </c>
      <c r="E33" s="423" t="s">
        <v>302</v>
      </c>
      <c r="F33" s="424" t="s">
        <v>354</v>
      </c>
      <c r="G33" s="424" t="s">
        <v>343</v>
      </c>
      <c r="H33" s="450" t="s">
        <v>355</v>
      </c>
      <c r="I33" s="450" t="s">
        <v>356</v>
      </c>
      <c r="J33" s="419"/>
      <c r="K33" s="419"/>
      <c r="L33" s="419"/>
      <c r="M33" s="419"/>
      <c r="N33" s="419"/>
      <c r="O33" s="419"/>
      <c r="P33" s="419"/>
      <c r="Q33" s="419"/>
    </row>
    <row r="34" spans="1:17" ht="18" customHeight="1" x14ac:dyDescent="0.2">
      <c r="A34" s="419"/>
      <c r="B34" s="426" t="s">
        <v>220</v>
      </c>
      <c r="C34" s="427" t="s">
        <v>0</v>
      </c>
      <c r="D34" s="428">
        <f t="shared" ref="D34:D46" si="5">D16+G16+J16+M16+P16</f>
        <v>55</v>
      </c>
      <c r="E34" s="428">
        <f t="shared" ref="E34:E46" si="6">E16+H16+K16+N16+Q16</f>
        <v>83</v>
      </c>
      <c r="F34" s="451">
        <f t="shared" ref="F34:F47" si="7">E34-D34</f>
        <v>28</v>
      </c>
      <c r="G34" s="429">
        <f t="shared" ref="G34:G47" si="8">IFERROR((E34-D34)/D34,"-")</f>
        <v>0.50909090909090904</v>
      </c>
      <c r="H34" s="452">
        <f t="shared" ref="H34:H46" si="9">D34/5</f>
        <v>11</v>
      </c>
      <c r="I34" s="452">
        <f t="shared" ref="I34:I46" si="10">E34/5</f>
        <v>16.600000000000001</v>
      </c>
      <c r="J34" s="419"/>
      <c r="K34" s="419"/>
      <c r="L34" s="419"/>
      <c r="M34" s="419"/>
      <c r="N34" s="419"/>
      <c r="O34" s="419"/>
      <c r="P34" s="419"/>
      <c r="Q34" s="419"/>
    </row>
    <row r="35" spans="1:17" ht="18" customHeight="1" x14ac:dyDescent="0.2">
      <c r="A35" s="419"/>
      <c r="B35" s="430" t="s">
        <v>220</v>
      </c>
      <c r="C35" s="431" t="s">
        <v>13</v>
      </c>
      <c r="D35" s="432">
        <f t="shared" si="5"/>
        <v>18317</v>
      </c>
      <c r="E35" s="432">
        <f t="shared" si="6"/>
        <v>16207.684999999999</v>
      </c>
      <c r="F35" s="453">
        <f t="shared" si="7"/>
        <v>-2109.3150000000005</v>
      </c>
      <c r="G35" s="433">
        <f t="shared" si="8"/>
        <v>-0.11515613910574879</v>
      </c>
      <c r="H35" s="432">
        <f t="shared" si="9"/>
        <v>3663.4</v>
      </c>
      <c r="I35" s="432">
        <f t="shared" si="10"/>
        <v>3241.5369999999998</v>
      </c>
      <c r="J35" s="419"/>
      <c r="K35" s="419"/>
      <c r="L35" s="419"/>
      <c r="M35" s="419"/>
      <c r="N35" s="419"/>
      <c r="O35" s="419"/>
      <c r="P35" s="419"/>
      <c r="Q35" s="419"/>
    </row>
    <row r="36" spans="1:17" ht="18" customHeight="1" x14ac:dyDescent="0.2">
      <c r="A36" s="419"/>
      <c r="B36" s="434" t="s">
        <v>221</v>
      </c>
      <c r="C36" s="435" t="s">
        <v>0</v>
      </c>
      <c r="D36" s="436">
        <f t="shared" si="5"/>
        <v>33</v>
      </c>
      <c r="E36" s="436">
        <f t="shared" si="6"/>
        <v>34</v>
      </c>
      <c r="F36" s="453">
        <f t="shared" si="7"/>
        <v>1</v>
      </c>
      <c r="G36" s="433">
        <f t="shared" si="8"/>
        <v>3.0303030303030304E-2</v>
      </c>
      <c r="H36" s="454">
        <f t="shared" si="9"/>
        <v>6.6</v>
      </c>
      <c r="I36" s="454">
        <f t="shared" si="10"/>
        <v>6.8</v>
      </c>
      <c r="J36" s="419"/>
      <c r="K36" s="419"/>
      <c r="L36" s="419"/>
      <c r="M36" s="419"/>
      <c r="N36" s="419"/>
      <c r="O36" s="419"/>
      <c r="P36" s="419"/>
      <c r="Q36" s="419"/>
    </row>
    <row r="37" spans="1:17" ht="18" customHeight="1" x14ac:dyDescent="0.2">
      <c r="A37" s="419"/>
      <c r="B37" s="430" t="s">
        <v>221</v>
      </c>
      <c r="C37" s="431" t="s">
        <v>13</v>
      </c>
      <c r="D37" s="432">
        <f t="shared" si="5"/>
        <v>5020</v>
      </c>
      <c r="E37" s="432">
        <f t="shared" si="6"/>
        <v>4050.92</v>
      </c>
      <c r="F37" s="453">
        <f t="shared" si="7"/>
        <v>-969.07999999999993</v>
      </c>
      <c r="G37" s="433">
        <f t="shared" si="8"/>
        <v>-0.19304382470119522</v>
      </c>
      <c r="H37" s="432">
        <f t="shared" si="9"/>
        <v>1004</v>
      </c>
      <c r="I37" s="432">
        <f t="shared" si="10"/>
        <v>810.18399999999997</v>
      </c>
      <c r="J37" s="419"/>
      <c r="K37" s="419"/>
      <c r="L37" s="419"/>
      <c r="M37" s="419"/>
      <c r="N37" s="419"/>
      <c r="O37" s="419"/>
      <c r="P37" s="419"/>
      <c r="Q37" s="419"/>
    </row>
    <row r="38" spans="1:17" ht="18" customHeight="1" x14ac:dyDescent="0.2">
      <c r="A38" s="419"/>
      <c r="B38" s="434" t="s">
        <v>286</v>
      </c>
      <c r="C38" s="435" t="s">
        <v>0</v>
      </c>
      <c r="D38" s="436">
        <f t="shared" si="5"/>
        <v>94</v>
      </c>
      <c r="E38" s="436">
        <f t="shared" si="6"/>
        <v>96</v>
      </c>
      <c r="F38" s="453">
        <f t="shared" si="7"/>
        <v>2</v>
      </c>
      <c r="G38" s="433">
        <f t="shared" si="8"/>
        <v>2.1276595744680851E-2</v>
      </c>
      <c r="H38" s="454">
        <f t="shared" si="9"/>
        <v>18.8</v>
      </c>
      <c r="I38" s="454">
        <f t="shared" si="10"/>
        <v>19.2</v>
      </c>
      <c r="J38" s="419"/>
      <c r="K38" s="419"/>
      <c r="L38" s="419"/>
      <c r="M38" s="419"/>
      <c r="N38" s="419"/>
      <c r="O38" s="419"/>
      <c r="P38" s="419"/>
      <c r="Q38" s="419"/>
    </row>
    <row r="39" spans="1:17" ht="18" customHeight="1" x14ac:dyDescent="0.2">
      <c r="A39" s="419"/>
      <c r="B39" s="430" t="s">
        <v>286</v>
      </c>
      <c r="C39" s="431" t="s">
        <v>13</v>
      </c>
      <c r="D39" s="432">
        <f t="shared" si="5"/>
        <v>3847</v>
      </c>
      <c r="E39" s="432">
        <f t="shared" si="6"/>
        <v>3590.608901274722</v>
      </c>
      <c r="F39" s="453">
        <f t="shared" si="7"/>
        <v>-256.39109872527797</v>
      </c>
      <c r="G39" s="433">
        <f t="shared" si="8"/>
        <v>-6.6647023323441121E-2</v>
      </c>
      <c r="H39" s="432">
        <f t="shared" si="9"/>
        <v>769.4</v>
      </c>
      <c r="I39" s="432">
        <f t="shared" si="10"/>
        <v>718.12178025494438</v>
      </c>
      <c r="J39" s="419"/>
      <c r="K39" s="419"/>
      <c r="L39" s="419"/>
      <c r="M39" s="419"/>
      <c r="N39" s="419"/>
      <c r="O39" s="419"/>
      <c r="P39" s="419"/>
      <c r="Q39" s="419"/>
    </row>
    <row r="40" spans="1:17" ht="18" customHeight="1" x14ac:dyDescent="0.2">
      <c r="A40" s="419"/>
      <c r="B40" s="434" t="s">
        <v>23</v>
      </c>
      <c r="C40" s="435" t="s">
        <v>0</v>
      </c>
      <c r="D40" s="436">
        <f t="shared" si="5"/>
        <v>87</v>
      </c>
      <c r="E40" s="436">
        <f t="shared" si="6"/>
        <v>86</v>
      </c>
      <c r="F40" s="453">
        <f t="shared" si="7"/>
        <v>-1</v>
      </c>
      <c r="G40" s="433">
        <f t="shared" si="8"/>
        <v>-1.1494252873563218E-2</v>
      </c>
      <c r="H40" s="454">
        <f t="shared" si="9"/>
        <v>17.399999999999999</v>
      </c>
      <c r="I40" s="454">
        <f t="shared" si="10"/>
        <v>17.2</v>
      </c>
      <c r="J40" s="419"/>
      <c r="K40" s="419"/>
      <c r="L40" s="419"/>
      <c r="M40" s="419"/>
      <c r="N40" s="419"/>
      <c r="O40" s="419"/>
      <c r="P40" s="419"/>
      <c r="Q40" s="419"/>
    </row>
    <row r="41" spans="1:17" ht="18" customHeight="1" x14ac:dyDescent="0.2">
      <c r="A41" s="419"/>
      <c r="B41" s="430" t="s">
        <v>23</v>
      </c>
      <c r="C41" s="431" t="s">
        <v>13</v>
      </c>
      <c r="D41" s="432">
        <f t="shared" si="5"/>
        <v>3689</v>
      </c>
      <c r="E41" s="432">
        <f t="shared" si="6"/>
        <v>3598.2507099047621</v>
      </c>
      <c r="F41" s="453">
        <f t="shared" si="7"/>
        <v>-90.749290095237939</v>
      </c>
      <c r="G41" s="433">
        <f t="shared" si="8"/>
        <v>-2.4599970207437771E-2</v>
      </c>
      <c r="H41" s="432">
        <f t="shared" si="9"/>
        <v>737.8</v>
      </c>
      <c r="I41" s="432">
        <f t="shared" si="10"/>
        <v>719.65014198095241</v>
      </c>
      <c r="J41" s="419"/>
      <c r="K41" s="419"/>
      <c r="L41" s="419"/>
      <c r="M41" s="419"/>
      <c r="N41" s="419"/>
      <c r="O41" s="419"/>
      <c r="P41" s="419"/>
      <c r="Q41" s="419"/>
    </row>
    <row r="42" spans="1:17" ht="18" customHeight="1" x14ac:dyDescent="0.2">
      <c r="A42" s="419"/>
      <c r="B42" s="434" t="s">
        <v>24</v>
      </c>
      <c r="C42" s="435" t="s">
        <v>0</v>
      </c>
      <c r="D42" s="436">
        <f t="shared" si="5"/>
        <v>85</v>
      </c>
      <c r="E42" s="436">
        <f t="shared" si="6"/>
        <v>76</v>
      </c>
      <c r="F42" s="453">
        <f t="shared" si="7"/>
        <v>-9</v>
      </c>
      <c r="G42" s="433">
        <f t="shared" si="8"/>
        <v>-0.10588235294117647</v>
      </c>
      <c r="H42" s="454">
        <f t="shared" si="9"/>
        <v>17</v>
      </c>
      <c r="I42" s="454">
        <f t="shared" si="10"/>
        <v>15.2</v>
      </c>
      <c r="J42" s="419"/>
      <c r="K42" s="419"/>
      <c r="L42" s="419"/>
      <c r="M42" s="419"/>
      <c r="N42" s="419"/>
      <c r="O42" s="419"/>
      <c r="P42" s="419"/>
      <c r="Q42" s="419"/>
    </row>
    <row r="43" spans="1:17" ht="18" customHeight="1" x14ac:dyDescent="0.2">
      <c r="A43" s="419"/>
      <c r="B43" s="430" t="s">
        <v>24</v>
      </c>
      <c r="C43" s="431" t="s">
        <v>13</v>
      </c>
      <c r="D43" s="432">
        <f t="shared" si="5"/>
        <v>3552</v>
      </c>
      <c r="E43" s="432">
        <f t="shared" si="6"/>
        <v>3134.4487193704408</v>
      </c>
      <c r="F43" s="453">
        <f t="shared" si="7"/>
        <v>-417.55128062955919</v>
      </c>
      <c r="G43" s="433">
        <f t="shared" si="8"/>
        <v>-0.11755385152859212</v>
      </c>
      <c r="H43" s="432">
        <f t="shared" si="9"/>
        <v>710.4</v>
      </c>
      <c r="I43" s="432">
        <f t="shared" si="10"/>
        <v>626.88974387408814</v>
      </c>
      <c r="J43" s="419"/>
      <c r="K43" s="419"/>
      <c r="L43" s="419"/>
      <c r="M43" s="419"/>
      <c r="N43" s="419"/>
      <c r="O43" s="419"/>
      <c r="P43" s="419"/>
      <c r="Q43" s="419"/>
    </row>
    <row r="44" spans="1:17" ht="18" customHeight="1" x14ac:dyDescent="0.2">
      <c r="A44" s="419"/>
      <c r="B44" s="437" t="s">
        <v>352</v>
      </c>
      <c r="C44" s="435" t="s">
        <v>0</v>
      </c>
      <c r="D44" s="438">
        <f t="shared" si="5"/>
        <v>90</v>
      </c>
      <c r="E44" s="438">
        <f t="shared" si="6"/>
        <v>79</v>
      </c>
      <c r="F44" s="455">
        <f t="shared" si="7"/>
        <v>-11</v>
      </c>
      <c r="G44" s="439">
        <f t="shared" si="8"/>
        <v>-0.12222222222222222</v>
      </c>
      <c r="H44" s="456">
        <f t="shared" si="9"/>
        <v>18</v>
      </c>
      <c r="I44" s="456">
        <f t="shared" si="10"/>
        <v>15.8</v>
      </c>
      <c r="J44" s="419"/>
      <c r="K44" s="419"/>
      <c r="L44" s="419"/>
      <c r="M44" s="419"/>
      <c r="N44" s="419"/>
      <c r="O44" s="419"/>
      <c r="P44" s="419"/>
      <c r="Q44" s="419"/>
    </row>
    <row r="45" spans="1:17" ht="18" customHeight="1" x14ac:dyDescent="0.2">
      <c r="A45" s="419"/>
      <c r="B45" s="440" t="s">
        <v>352</v>
      </c>
      <c r="C45" s="431" t="s">
        <v>13</v>
      </c>
      <c r="D45" s="441">
        <f t="shared" si="5"/>
        <v>3665</v>
      </c>
      <c r="E45" s="441">
        <f t="shared" si="6"/>
        <v>3204</v>
      </c>
      <c r="F45" s="455">
        <f t="shared" si="7"/>
        <v>-461</v>
      </c>
      <c r="G45" s="439">
        <f t="shared" si="8"/>
        <v>-0.12578444747612552</v>
      </c>
      <c r="H45" s="441">
        <f t="shared" si="9"/>
        <v>733</v>
      </c>
      <c r="I45" s="441">
        <f t="shared" si="10"/>
        <v>640.79999999999995</v>
      </c>
      <c r="J45" s="419"/>
      <c r="K45" s="419"/>
      <c r="L45" s="419"/>
      <c r="M45" s="419"/>
      <c r="N45" s="419"/>
      <c r="O45" s="419"/>
      <c r="P45" s="419"/>
      <c r="Q45" s="419"/>
    </row>
    <row r="46" spans="1:17" ht="18" customHeight="1" x14ac:dyDescent="0.2">
      <c r="A46" s="419"/>
      <c r="B46" s="442" t="s">
        <v>233</v>
      </c>
      <c r="C46" s="443" t="s">
        <v>13</v>
      </c>
      <c r="D46" s="444">
        <f t="shared" si="5"/>
        <v>2565</v>
      </c>
      <c r="E46" s="444">
        <f t="shared" si="6"/>
        <v>2954</v>
      </c>
      <c r="F46" s="457">
        <f t="shared" si="7"/>
        <v>389</v>
      </c>
      <c r="G46" s="445">
        <f t="shared" si="8"/>
        <v>0.15165692007797271</v>
      </c>
      <c r="H46" s="444">
        <f t="shared" si="9"/>
        <v>513</v>
      </c>
      <c r="I46" s="444">
        <f t="shared" si="10"/>
        <v>590.79999999999995</v>
      </c>
      <c r="J46" s="419"/>
      <c r="K46" s="419"/>
      <c r="L46" s="419"/>
      <c r="M46" s="419"/>
      <c r="N46" s="419"/>
      <c r="O46" s="419"/>
      <c r="P46" s="419"/>
      <c r="Q46" s="419"/>
    </row>
    <row r="47" spans="1:17" ht="18" customHeight="1" thickBot="1" x14ac:dyDescent="0.25">
      <c r="A47" s="419"/>
      <c r="B47" s="446" t="s">
        <v>37</v>
      </c>
      <c r="C47" s="447" t="s">
        <v>38</v>
      </c>
      <c r="D47" s="448">
        <f>AVERAGE(D29,G29,J29,M29,P29)</f>
        <v>0.96735236433949834</v>
      </c>
      <c r="E47" s="448">
        <f>AVERAGE(E29,H29,K29,N29,Q29)</f>
        <v>0.96723218025503654</v>
      </c>
      <c r="F47" s="458">
        <f t="shared" si="7"/>
        <v>-1.2018408446179407E-4</v>
      </c>
      <c r="G47" s="449">
        <f t="shared" si="8"/>
        <v>-1.2424023436780965E-4</v>
      </c>
      <c r="H47" s="459"/>
      <c r="I47" s="459"/>
      <c r="J47" s="419"/>
      <c r="K47" s="419"/>
      <c r="L47" s="419"/>
      <c r="M47" s="419"/>
      <c r="N47" s="419"/>
      <c r="O47" s="419"/>
      <c r="P47" s="419"/>
      <c r="Q47" s="419"/>
    </row>
    <row r="48" spans="1:17" x14ac:dyDescent="0.2">
      <c r="A48" s="419"/>
      <c r="B48" s="419"/>
      <c r="C48" s="419"/>
      <c r="D48" s="419"/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</row>
    <row r="49" spans="1:17" ht="16" x14ac:dyDescent="0.2">
      <c r="A49" s="419"/>
      <c r="B49" s="421" t="s">
        <v>357</v>
      </c>
      <c r="C49" s="419"/>
      <c r="D49" s="419"/>
      <c r="E49" s="419"/>
      <c r="F49" s="419"/>
      <c r="G49" s="419"/>
      <c r="H49" s="419"/>
      <c r="I49" s="419"/>
      <c r="J49" s="419"/>
      <c r="K49" s="419"/>
      <c r="L49" s="419"/>
      <c r="M49" s="419"/>
      <c r="N49" s="419"/>
      <c r="O49" s="419"/>
      <c r="P49" s="419"/>
      <c r="Q49" s="419"/>
    </row>
    <row r="50" spans="1:17" x14ac:dyDescent="0.2">
      <c r="A50" s="419"/>
      <c r="B50" s="419"/>
      <c r="C50" s="419"/>
      <c r="D50" s="419"/>
      <c r="E50" s="419"/>
      <c r="F50" s="419"/>
      <c r="G50" s="419"/>
      <c r="H50" s="419"/>
      <c r="I50" s="419"/>
      <c r="J50" s="419"/>
      <c r="K50" s="419"/>
      <c r="L50" s="419"/>
      <c r="M50" s="419"/>
      <c r="N50" s="419"/>
      <c r="O50" s="419"/>
      <c r="P50" s="419"/>
      <c r="Q50" s="419"/>
    </row>
    <row r="51" spans="1:17" ht="18" customHeight="1" thickBot="1" x14ac:dyDescent="0.25">
      <c r="A51" s="419"/>
      <c r="B51" s="422" t="s">
        <v>358</v>
      </c>
      <c r="C51" s="422" t="s">
        <v>359</v>
      </c>
      <c r="D51" s="423" t="s">
        <v>10</v>
      </c>
      <c r="E51" s="423" t="s">
        <v>360</v>
      </c>
      <c r="F51" s="424" t="s">
        <v>361</v>
      </c>
      <c r="G51" s="423" t="s">
        <v>362</v>
      </c>
      <c r="H51" s="423" t="s">
        <v>363</v>
      </c>
      <c r="I51" s="424" t="s">
        <v>364</v>
      </c>
      <c r="J51" s="450" t="s">
        <v>365</v>
      </c>
      <c r="K51" s="419"/>
    </row>
    <row r="52" spans="1:17" ht="18" customHeight="1" x14ac:dyDescent="0.2">
      <c r="A52" s="419"/>
      <c r="B52" s="426" t="s">
        <v>220</v>
      </c>
      <c r="C52" s="427">
        <v>2025</v>
      </c>
      <c r="D52" s="428">
        <f>AVERAGE(D17,G17,J17,M17,P17)</f>
        <v>3663.4</v>
      </c>
      <c r="E52" s="428">
        <f>STDEV(D17,G17,J17,M17,P17)</f>
        <v>1604.7544360430977</v>
      </c>
      <c r="F52" s="429">
        <f t="shared" ref="F52:F63" si="11">IFERROR(E52/D52,"-")</f>
        <v>0.43805056396874426</v>
      </c>
      <c r="G52" s="428">
        <f>MIN(D17,G17,J17,M17,P17)</f>
        <v>2212</v>
      </c>
      <c r="H52" s="428">
        <f>MAX(D17,G17,J17,M17,P17)</f>
        <v>6130</v>
      </c>
      <c r="I52" s="451">
        <f t="shared" ref="I52:I63" si="12">H52-G52</f>
        <v>3918</v>
      </c>
      <c r="J52" s="428">
        <f>(P17-D17)/4</f>
        <v>203.5</v>
      </c>
      <c r="K52" s="419"/>
    </row>
    <row r="53" spans="1:17" ht="18" customHeight="1" x14ac:dyDescent="0.2">
      <c r="A53" s="419"/>
      <c r="B53" s="463"/>
      <c r="C53" s="464">
        <v>2026</v>
      </c>
      <c r="D53" s="432">
        <f>AVERAGE(E17,H17,K17,N17,Q17)</f>
        <v>3241.5369999999998</v>
      </c>
      <c r="E53" s="432">
        <f>STDEV(E17,H17,K17,N17,Q17)</f>
        <v>817.80484184492252</v>
      </c>
      <c r="F53" s="433">
        <f t="shared" si="11"/>
        <v>0.25228922015849969</v>
      </c>
      <c r="G53" s="432">
        <f>MIN(E17,H17,K17,N17,Q17)</f>
        <v>2370</v>
      </c>
      <c r="H53" s="432">
        <f>MAX(E17,H17,K17,N17,Q17)</f>
        <v>4175</v>
      </c>
      <c r="I53" s="453">
        <f t="shared" si="12"/>
        <v>1805</v>
      </c>
      <c r="J53" s="432">
        <f>(Q17-E17)/4</f>
        <v>36.171249999999986</v>
      </c>
      <c r="K53" s="419"/>
    </row>
    <row r="54" spans="1:17" ht="18" customHeight="1" x14ac:dyDescent="0.2">
      <c r="A54" s="419"/>
      <c r="B54" s="434" t="s">
        <v>366</v>
      </c>
      <c r="C54" s="435">
        <v>2025</v>
      </c>
      <c r="D54" s="436">
        <f>AVERAGE(D19,G19,J19,M19,P19)</f>
        <v>1004</v>
      </c>
      <c r="E54" s="436">
        <f>STDEV(D19,G19,J19,M19,P19)</f>
        <v>183.3630278982107</v>
      </c>
      <c r="F54" s="433">
        <f t="shared" si="11"/>
        <v>0.18263249790658437</v>
      </c>
      <c r="G54" s="436">
        <f>MIN(D19,G19,J19,M19,P19)</f>
        <v>736</v>
      </c>
      <c r="H54" s="436">
        <f>MAX(D19,G19,J19,M19,P19)</f>
        <v>1246</v>
      </c>
      <c r="I54" s="453">
        <f t="shared" si="12"/>
        <v>510</v>
      </c>
      <c r="J54" s="436">
        <f>(P19-D19)/4</f>
        <v>-22</v>
      </c>
      <c r="K54" s="419"/>
    </row>
    <row r="55" spans="1:17" ht="18" customHeight="1" x14ac:dyDescent="0.2">
      <c r="A55" s="419"/>
      <c r="B55" s="463"/>
      <c r="C55" s="464">
        <v>2026</v>
      </c>
      <c r="D55" s="432">
        <f>AVERAGE(E19,H19,K19,N19,Q19)</f>
        <v>810.18399999999997</v>
      </c>
      <c r="E55" s="432">
        <f>STDEV(E19,H19,K19,N19,Q19)</f>
        <v>438.90113838995688</v>
      </c>
      <c r="F55" s="433">
        <f t="shared" si="11"/>
        <v>0.54173019757235008</v>
      </c>
      <c r="G55" s="432">
        <f>MIN(E19,H19,K19,N19,Q19)</f>
        <v>371</v>
      </c>
      <c r="H55" s="432">
        <f>MAX(E19,H19,K19,N19,Q19)</f>
        <v>1406</v>
      </c>
      <c r="I55" s="453">
        <f t="shared" si="12"/>
        <v>1035</v>
      </c>
      <c r="J55" s="432">
        <f>(Q19-E19)/4</f>
        <v>-98.52</v>
      </c>
      <c r="K55" s="419"/>
    </row>
    <row r="56" spans="1:17" ht="18" customHeight="1" x14ac:dyDescent="0.2">
      <c r="A56" s="419"/>
      <c r="B56" s="434" t="s">
        <v>23</v>
      </c>
      <c r="C56" s="435">
        <v>2025</v>
      </c>
      <c r="D56" s="436">
        <f>AVERAGE(D23,G23,J23,M23,P23)</f>
        <v>737.8</v>
      </c>
      <c r="E56" s="436">
        <f>STDEV(D23,G23,J23,M23,P23)</f>
        <v>88.928060813221123</v>
      </c>
      <c r="F56" s="433">
        <f t="shared" si="11"/>
        <v>0.1205313917229888</v>
      </c>
      <c r="G56" s="436">
        <f>MIN(D23,G23,J23,M23,P23)</f>
        <v>669</v>
      </c>
      <c r="H56" s="436">
        <f>MAX(D23,G23,J23,M23,P23)</f>
        <v>892</v>
      </c>
      <c r="I56" s="453">
        <f t="shared" si="12"/>
        <v>223</v>
      </c>
      <c r="J56" s="436">
        <f>(P23-D23)/4</f>
        <v>15.25</v>
      </c>
      <c r="K56" s="419"/>
    </row>
    <row r="57" spans="1:17" ht="18" customHeight="1" x14ac:dyDescent="0.2">
      <c r="A57" s="419"/>
      <c r="B57" s="463"/>
      <c r="C57" s="464">
        <v>2026</v>
      </c>
      <c r="D57" s="432">
        <f>AVERAGE(E23,H23,K23,N23,Q23)</f>
        <v>719.65014198095241</v>
      </c>
      <c r="E57" s="432">
        <f>STDEV(E23,H23,K23,N23,Q23)</f>
        <v>408.31249720914411</v>
      </c>
      <c r="F57" s="433">
        <f t="shared" si="11"/>
        <v>0.56737638664976631</v>
      </c>
      <c r="G57" s="432">
        <f>MIN(E23,H23,K23,N23,Q23)</f>
        <v>319.250709904762</v>
      </c>
      <c r="H57" s="432">
        <f>MAX(E23,H23,K23,N23,Q23)</f>
        <v>1404</v>
      </c>
      <c r="I57" s="453">
        <f t="shared" si="12"/>
        <v>1084.7492900952379</v>
      </c>
      <c r="J57" s="432">
        <f>(Q23-E23)/4</f>
        <v>60.437322523809499</v>
      </c>
      <c r="K57" s="419"/>
    </row>
    <row r="58" spans="1:17" ht="18" customHeight="1" x14ac:dyDescent="0.2">
      <c r="A58" s="419"/>
      <c r="B58" s="434" t="s">
        <v>24</v>
      </c>
      <c r="C58" s="435">
        <v>2025</v>
      </c>
      <c r="D58" s="436">
        <f>AVERAGE(D25,G25,J25,M25,P25)</f>
        <v>710.4</v>
      </c>
      <c r="E58" s="436">
        <f>STDEV(D25,G25,J25,M25,P25)</f>
        <v>234.85165530606773</v>
      </c>
      <c r="F58" s="433">
        <f t="shared" si="11"/>
        <v>0.3305907310051629</v>
      </c>
      <c r="G58" s="436">
        <f>MIN(D25,G25,J25,M25,P25)</f>
        <v>313</v>
      </c>
      <c r="H58" s="436">
        <f>MAX(D25,G25,J25,M25,P25)</f>
        <v>916</v>
      </c>
      <c r="I58" s="453">
        <f t="shared" si="12"/>
        <v>603</v>
      </c>
      <c r="J58" s="436">
        <f>(P25-D25)/4</f>
        <v>23.25</v>
      </c>
      <c r="K58" s="419"/>
    </row>
    <row r="59" spans="1:17" ht="18" customHeight="1" x14ac:dyDescent="0.2">
      <c r="A59" s="419"/>
      <c r="B59" s="463"/>
      <c r="C59" s="464">
        <v>2026</v>
      </c>
      <c r="D59" s="432">
        <f>AVERAGE(E25,H25,K25,N25,Q25)</f>
        <v>626.88974387408814</v>
      </c>
      <c r="E59" s="432">
        <f>STDEV(E25,H25,K25,N25,Q25)</f>
        <v>249.26596678415262</v>
      </c>
      <c r="F59" s="433">
        <f t="shared" si="11"/>
        <v>0.39762329695127074</v>
      </c>
      <c r="G59" s="432">
        <f>MIN(E25,H25,K25,N25,Q25)</f>
        <v>392</v>
      </c>
      <c r="H59" s="432">
        <f>MAX(E25,H25,K25,N25,Q25)</f>
        <v>1023</v>
      </c>
      <c r="I59" s="453">
        <f t="shared" si="12"/>
        <v>631</v>
      </c>
      <c r="J59" s="432">
        <f>(Q25-E25)/4</f>
        <v>31.637820157389754</v>
      </c>
      <c r="K59" s="419"/>
    </row>
    <row r="60" spans="1:17" ht="18" customHeight="1" x14ac:dyDescent="0.2">
      <c r="A60" s="419"/>
      <c r="B60" s="437" t="s">
        <v>284</v>
      </c>
      <c r="C60" s="435">
        <v>2025</v>
      </c>
      <c r="D60" s="438">
        <f>AVERAGE(D27,G27,J27,M27,P27)</f>
        <v>733</v>
      </c>
      <c r="E60" s="436">
        <f>STDEV(D27,G27,J27,M27,P27)</f>
        <v>132.60844618650805</v>
      </c>
      <c r="F60" s="433">
        <f t="shared" si="11"/>
        <v>0.18091193204162079</v>
      </c>
      <c r="G60" s="436">
        <f>MIN(D27,G27,J27,M27,P27)</f>
        <v>601</v>
      </c>
      <c r="H60" s="436">
        <f>MAX(D27,G27,J27,M27,P27)</f>
        <v>932</v>
      </c>
      <c r="I60" s="453">
        <f t="shared" si="12"/>
        <v>331</v>
      </c>
      <c r="J60" s="436">
        <f>(P27-D27)/4</f>
        <v>-24</v>
      </c>
      <c r="K60" s="419"/>
    </row>
    <row r="61" spans="1:17" ht="18" customHeight="1" x14ac:dyDescent="0.2">
      <c r="A61" s="419"/>
      <c r="B61" s="463"/>
      <c r="C61" s="464">
        <v>2026</v>
      </c>
      <c r="D61" s="441">
        <f>AVERAGE(E27,H27,K27,N27,Q27)</f>
        <v>640.79999999999995</v>
      </c>
      <c r="E61" s="432">
        <f>STDEV(E27,H27,K27,N27,Q27)</f>
        <v>568.41155864391078</v>
      </c>
      <c r="F61" s="433">
        <f t="shared" si="11"/>
        <v>0.88703426754667736</v>
      </c>
      <c r="G61" s="432">
        <f>MIN(E27,H27,K27,N27,Q27)</f>
        <v>239</v>
      </c>
      <c r="H61" s="432">
        <f>MAX(E27,H27,K27,N27,Q27)</f>
        <v>1645</v>
      </c>
      <c r="I61" s="453">
        <f t="shared" si="12"/>
        <v>1406</v>
      </c>
      <c r="J61" s="432">
        <f>(Q27-E27)/4</f>
        <v>-304.75</v>
      </c>
      <c r="K61" s="419"/>
    </row>
    <row r="62" spans="1:17" ht="18" customHeight="1" x14ac:dyDescent="0.2">
      <c r="A62" s="419"/>
      <c r="B62" s="442" t="s">
        <v>233</v>
      </c>
      <c r="C62" s="443">
        <v>2025</v>
      </c>
      <c r="D62" s="444">
        <f>AVERAGE(D28,G28,J28,M28,P28)</f>
        <v>513</v>
      </c>
      <c r="E62" s="444">
        <f>STDEV(D28,G28,J28,M28,P28)</f>
        <v>24.79919353527449</v>
      </c>
      <c r="F62" s="445">
        <f t="shared" si="11"/>
        <v>4.8341507866032148E-2</v>
      </c>
      <c r="G62" s="444">
        <f>MIN(D28,G28,J28,M28,P28)</f>
        <v>477</v>
      </c>
      <c r="H62" s="444">
        <f>MAX(D28,G28,J28,M28,P28)</f>
        <v>536</v>
      </c>
      <c r="I62" s="457">
        <f t="shared" si="12"/>
        <v>59</v>
      </c>
      <c r="J62" s="444">
        <f>(P28-D28)/4</f>
        <v>14.25</v>
      </c>
      <c r="K62" s="419"/>
    </row>
    <row r="63" spans="1:17" ht="18" customHeight="1" thickBot="1" x14ac:dyDescent="0.25">
      <c r="A63" s="419"/>
      <c r="B63" s="459"/>
      <c r="C63" s="467">
        <v>2026</v>
      </c>
      <c r="D63" s="468">
        <f>AVERAGE(E28,H28,K28,N28,Q28)</f>
        <v>590.79999999999995</v>
      </c>
      <c r="E63" s="468">
        <f>STDEV(E28,H28,K28,N28,Q28)</f>
        <v>71.443684115532648</v>
      </c>
      <c r="F63" s="449">
        <f t="shared" si="11"/>
        <v>0.12092702118404308</v>
      </c>
      <c r="G63" s="468">
        <f>MIN(E28,H28,K28,N28,Q28)</f>
        <v>543</v>
      </c>
      <c r="H63" s="468">
        <f>MAX(E28,H28,K28,N28,Q28)</f>
        <v>715</v>
      </c>
      <c r="I63" s="469">
        <f t="shared" si="12"/>
        <v>172</v>
      </c>
      <c r="J63" s="468">
        <f>(Q28-E28)/4</f>
        <v>-43</v>
      </c>
      <c r="K63" s="419"/>
    </row>
    <row r="64" spans="1:17" x14ac:dyDescent="0.2">
      <c r="A64" s="419"/>
      <c r="B64" s="419"/>
      <c r="C64" s="419"/>
      <c r="D64" s="419"/>
      <c r="E64" s="419"/>
      <c r="F64" s="419"/>
      <c r="G64" s="419"/>
      <c r="H64" s="419"/>
      <c r="I64" s="419"/>
      <c r="J64" s="419"/>
      <c r="K64" s="419"/>
      <c r="L64" s="419"/>
      <c r="M64" s="419"/>
      <c r="N64" s="419"/>
      <c r="O64" s="419"/>
      <c r="P64" s="419"/>
      <c r="Q64" s="419"/>
    </row>
    <row r="65" spans="1:17" ht="16" x14ac:dyDescent="0.2">
      <c r="A65" s="419"/>
      <c r="B65" s="421" t="s">
        <v>367</v>
      </c>
      <c r="C65" s="419"/>
      <c r="D65" s="419"/>
      <c r="E65" s="419"/>
      <c r="F65" s="419"/>
      <c r="G65" s="419"/>
      <c r="H65" s="419"/>
      <c r="I65" s="419"/>
      <c r="J65" s="419"/>
      <c r="K65" s="419"/>
      <c r="L65" s="419"/>
      <c r="M65" s="419"/>
      <c r="N65" s="419"/>
      <c r="O65" s="419"/>
      <c r="P65" s="419"/>
      <c r="Q65" s="419"/>
    </row>
    <row r="66" spans="1:17" x14ac:dyDescent="0.2">
      <c r="A66" s="419"/>
      <c r="B66" s="419"/>
      <c r="C66" s="419"/>
      <c r="D66" s="419"/>
      <c r="E66" s="419"/>
      <c r="F66" s="419"/>
      <c r="G66" s="419"/>
      <c r="H66" s="419"/>
      <c r="I66" s="419"/>
      <c r="J66" s="419"/>
      <c r="K66" s="419"/>
      <c r="L66" s="419"/>
      <c r="M66" s="419"/>
      <c r="N66" s="419"/>
      <c r="O66" s="419"/>
      <c r="P66" s="419"/>
      <c r="Q66" s="419"/>
    </row>
    <row r="67" spans="1:17" x14ac:dyDescent="0.2">
      <c r="A67" s="419"/>
      <c r="B67" s="419"/>
      <c r="C67" s="419"/>
      <c r="D67" s="419"/>
      <c r="E67" s="419"/>
      <c r="F67" s="419"/>
      <c r="G67" s="419"/>
      <c r="H67" s="419"/>
      <c r="I67" s="419"/>
      <c r="J67" s="419"/>
      <c r="K67" s="419"/>
      <c r="L67" s="419"/>
      <c r="M67" s="419"/>
      <c r="N67" s="419"/>
      <c r="O67" s="419"/>
      <c r="P67" s="419"/>
      <c r="Q67" s="419"/>
    </row>
    <row r="68" spans="1:17" x14ac:dyDescent="0.2">
      <c r="A68" s="419"/>
      <c r="B68" s="419"/>
      <c r="C68" s="419"/>
      <c r="D68" s="419"/>
      <c r="E68" s="419"/>
      <c r="F68" s="419"/>
      <c r="G68" s="419"/>
      <c r="H68" s="419"/>
      <c r="I68" s="419"/>
      <c r="J68" s="419"/>
      <c r="K68" s="419"/>
      <c r="L68" s="419"/>
      <c r="M68" s="419"/>
      <c r="N68" s="419"/>
      <c r="O68" s="419"/>
      <c r="P68" s="419"/>
      <c r="Q68" s="419"/>
    </row>
    <row r="69" spans="1:17" x14ac:dyDescent="0.2">
      <c r="A69" s="419"/>
      <c r="B69" s="419"/>
      <c r="C69" s="419"/>
      <c r="D69" s="419"/>
      <c r="E69" s="419"/>
      <c r="F69" s="419"/>
      <c r="G69" s="419"/>
      <c r="H69" s="419"/>
      <c r="I69" s="419"/>
      <c r="J69" s="419"/>
      <c r="K69" s="419"/>
      <c r="L69" s="419"/>
      <c r="M69" s="419"/>
      <c r="N69" s="419"/>
      <c r="O69" s="419"/>
      <c r="P69" s="419"/>
      <c r="Q69" s="419"/>
    </row>
    <row r="70" spans="1:17" x14ac:dyDescent="0.2">
      <c r="A70" s="419"/>
      <c r="B70" s="419"/>
      <c r="C70" s="419"/>
      <c r="D70" s="419"/>
      <c r="E70" s="419"/>
      <c r="F70" s="419"/>
      <c r="G70" s="419"/>
      <c r="H70" s="419"/>
      <c r="I70" s="419"/>
      <c r="J70" s="419"/>
      <c r="K70" s="419"/>
      <c r="L70" s="419"/>
      <c r="M70" s="419"/>
      <c r="N70" s="419"/>
      <c r="O70" s="419"/>
      <c r="P70" s="419"/>
      <c r="Q70" s="419"/>
    </row>
    <row r="106" spans="2:16" x14ac:dyDescent="0.2">
      <c r="B106" s="460" t="s">
        <v>368</v>
      </c>
      <c r="E106" s="461"/>
      <c r="F106" s="461"/>
      <c r="H106" s="461"/>
      <c r="I106" s="461"/>
      <c r="J106" s="462"/>
    </row>
    <row r="107" spans="2:16" x14ac:dyDescent="0.2">
      <c r="B107" s="460" t="s">
        <v>45</v>
      </c>
      <c r="C107" s="460" t="s">
        <v>369</v>
      </c>
      <c r="D107" s="460" t="s">
        <v>370</v>
      </c>
      <c r="E107" s="460"/>
      <c r="F107" s="465" t="s">
        <v>45</v>
      </c>
      <c r="G107" s="465" t="s">
        <v>371</v>
      </c>
      <c r="H107" s="465" t="s">
        <v>372</v>
      </c>
      <c r="J107" s="460" t="s">
        <v>45</v>
      </c>
      <c r="K107" s="460" t="s">
        <v>373</v>
      </c>
      <c r="L107" s="460" t="s">
        <v>374</v>
      </c>
      <c r="N107" s="460" t="s">
        <v>45</v>
      </c>
      <c r="O107" s="460" t="s">
        <v>375</v>
      </c>
      <c r="P107" s="460" t="s">
        <v>376</v>
      </c>
    </row>
    <row r="108" spans="2:16" x14ac:dyDescent="0.2">
      <c r="B108" s="461" t="s">
        <v>305</v>
      </c>
      <c r="C108" s="461">
        <f>D19</f>
        <v>1056</v>
      </c>
      <c r="D108" s="461">
        <f>E19</f>
        <v>804</v>
      </c>
      <c r="E108" s="461"/>
      <c r="F108" s="462" t="s">
        <v>305</v>
      </c>
      <c r="G108" s="466">
        <f>D29</f>
        <v>0.93175487465181062</v>
      </c>
      <c r="H108" s="466">
        <f>E29</f>
        <v>0.56244166196681478</v>
      </c>
      <c r="J108" s="461" t="s">
        <v>305</v>
      </c>
      <c r="K108" s="461">
        <f>D27</f>
        <v>724</v>
      </c>
      <c r="L108" s="461">
        <f>E27</f>
        <v>1645</v>
      </c>
      <c r="N108" s="462" t="s">
        <v>305</v>
      </c>
      <c r="O108" s="462">
        <f>D28</f>
        <v>477</v>
      </c>
      <c r="P108" s="462">
        <f>E28</f>
        <v>715</v>
      </c>
    </row>
    <row r="109" spans="2:16" x14ac:dyDescent="0.2">
      <c r="B109" s="461" t="s">
        <v>307</v>
      </c>
      <c r="C109" s="461">
        <f>G19</f>
        <v>1246</v>
      </c>
      <c r="D109" s="461">
        <f>H19</f>
        <v>371</v>
      </c>
      <c r="E109" s="461"/>
      <c r="F109" s="462" t="s">
        <v>307</v>
      </c>
      <c r="G109" s="466">
        <f>G29</f>
        <v>1.0217640320733103</v>
      </c>
      <c r="H109" s="466">
        <f>H29</f>
        <v>0.77854983176845383</v>
      </c>
      <c r="J109" s="461" t="s">
        <v>307</v>
      </c>
      <c r="K109" s="461">
        <f>G27</f>
        <v>932</v>
      </c>
      <c r="L109" s="461">
        <f>H27</f>
        <v>239</v>
      </c>
      <c r="N109" s="462" t="s">
        <v>307</v>
      </c>
      <c r="O109" s="462">
        <f>G28</f>
        <v>500</v>
      </c>
      <c r="P109" s="462">
        <f>H28</f>
        <v>565</v>
      </c>
    </row>
    <row r="110" spans="2:16" x14ac:dyDescent="0.2">
      <c r="B110" s="461" t="s">
        <v>308</v>
      </c>
      <c r="C110" s="461">
        <f>J19</f>
        <v>736</v>
      </c>
      <c r="D110" s="461">
        <f>K19</f>
        <v>1406</v>
      </c>
      <c r="E110" s="461"/>
      <c r="F110" s="462" t="s">
        <v>308</v>
      </c>
      <c r="G110" s="466">
        <f>J29</f>
        <v>0.8557336621454994</v>
      </c>
      <c r="H110" s="466">
        <f>K29</f>
        <v>1.7234966358671433</v>
      </c>
      <c r="J110" s="461" t="s">
        <v>308</v>
      </c>
      <c r="K110" s="461">
        <f>J27</f>
        <v>780</v>
      </c>
      <c r="L110" s="461">
        <f>K27</f>
        <v>422</v>
      </c>
      <c r="N110" s="462" t="s">
        <v>308</v>
      </c>
      <c r="O110" s="462">
        <f>J28</f>
        <v>536</v>
      </c>
      <c r="P110" s="462">
        <f>K28</f>
        <v>546</v>
      </c>
    </row>
    <row r="111" spans="2:16" x14ac:dyDescent="0.2">
      <c r="B111" s="461" t="s">
        <v>310</v>
      </c>
      <c r="C111" s="461">
        <f>M19</f>
        <v>1014</v>
      </c>
      <c r="D111" s="461">
        <f>N19</f>
        <v>1060</v>
      </c>
      <c r="E111" s="461"/>
      <c r="F111" s="462" t="s">
        <v>310</v>
      </c>
      <c r="G111" s="466">
        <f>M29</f>
        <v>1.1522094926350246</v>
      </c>
      <c r="H111" s="466">
        <f>N29</f>
        <v>0.97252747252747251</v>
      </c>
      <c r="J111" s="461" t="s">
        <v>310</v>
      </c>
      <c r="K111" s="461">
        <f>M27</f>
        <v>601</v>
      </c>
      <c r="L111" s="461">
        <f>N27</f>
        <v>472</v>
      </c>
      <c r="N111" s="462" t="s">
        <v>310</v>
      </c>
      <c r="O111" s="462">
        <f>M28</f>
        <v>518</v>
      </c>
      <c r="P111" s="462">
        <f>N28</f>
        <v>585</v>
      </c>
    </row>
    <row r="112" spans="2:16" x14ac:dyDescent="0.2">
      <c r="B112" s="461" t="s">
        <v>311</v>
      </c>
      <c r="C112" s="532">
        <f>P19</f>
        <v>968</v>
      </c>
      <c r="D112" s="535">
        <f>Q19</f>
        <v>409.92</v>
      </c>
      <c r="E112"/>
      <c r="F112" s="462" t="s">
        <v>311</v>
      </c>
      <c r="G112" s="533">
        <f>P29</f>
        <v>0.87529976019184652</v>
      </c>
      <c r="H112" s="533">
        <f>Q29</f>
        <v>0.79914529914529919</v>
      </c>
      <c r="J112" s="461" t="s">
        <v>311</v>
      </c>
      <c r="K112" s="532">
        <f>P27</f>
        <v>628</v>
      </c>
      <c r="L112" s="532">
        <f>Q27</f>
        <v>426</v>
      </c>
      <c r="N112" s="462" t="s">
        <v>311</v>
      </c>
      <c r="O112" s="531">
        <f>P28</f>
        <v>534</v>
      </c>
      <c r="P112" s="531">
        <f>Q28</f>
        <v>543</v>
      </c>
    </row>
    <row r="113" spans="5:7" x14ac:dyDescent="0.2">
      <c r="E113" s="461"/>
      <c r="F113" s="461"/>
      <c r="G113" s="461"/>
    </row>
    <row r="114" spans="5:7" x14ac:dyDescent="0.2">
      <c r="E114" s="461"/>
      <c r="F114" s="461"/>
      <c r="G114" s="461"/>
    </row>
    <row r="115" spans="5:7" x14ac:dyDescent="0.2">
      <c r="E115" s="461"/>
      <c r="F115" s="461"/>
      <c r="G115" s="461"/>
    </row>
    <row r="116" spans="5:7" x14ac:dyDescent="0.2">
      <c r="E116" s="461"/>
      <c r="F116" s="461"/>
      <c r="G116" s="461"/>
    </row>
    <row r="117" spans="5:7" x14ac:dyDescent="0.2">
      <c r="E117" s="461"/>
      <c r="F117" s="461"/>
      <c r="G117" s="461"/>
    </row>
    <row r="118" spans="5:7" x14ac:dyDescent="0.2">
      <c r="E118"/>
      <c r="F118"/>
      <c r="G118"/>
    </row>
  </sheetData>
  <mergeCells count="25">
    <mergeCell ref="M6:O6"/>
    <mergeCell ref="M7:O7"/>
    <mergeCell ref="M8:O8"/>
    <mergeCell ref="M9:O9"/>
    <mergeCell ref="M10:O10"/>
    <mergeCell ref="G6:I6"/>
    <mergeCell ref="G7:I7"/>
    <mergeCell ref="G8:I8"/>
    <mergeCell ref="G9:I9"/>
    <mergeCell ref="G10:I10"/>
    <mergeCell ref="J6:L6"/>
    <mergeCell ref="J7:L7"/>
    <mergeCell ref="J8:L8"/>
    <mergeCell ref="J9:L9"/>
    <mergeCell ref="J10:L10"/>
    <mergeCell ref="B6:C6"/>
    <mergeCell ref="B7:C7"/>
    <mergeCell ref="B8:C8"/>
    <mergeCell ref="B9:C9"/>
    <mergeCell ref="B10:C10"/>
    <mergeCell ref="D6:F6"/>
    <mergeCell ref="D7:F7"/>
    <mergeCell ref="D8:F8"/>
    <mergeCell ref="D9:F9"/>
    <mergeCell ref="D10:F10"/>
  </mergeCells>
  <conditionalFormatting sqref="B10">
    <cfRule type="containsText" dxfId="21" priority="54" operator="containsText" text="▼">
      <formula>NOT(ISERROR(SEARCH("▼",B10)))</formula>
    </cfRule>
    <cfRule type="containsText" dxfId="20" priority="55" operator="containsText" text="▲">
      <formula>NOT(ISERROR(SEARCH("▲",B10)))</formula>
    </cfRule>
  </conditionalFormatting>
  <conditionalFormatting sqref="D10">
    <cfRule type="containsText" dxfId="19" priority="57" operator="containsText" text="▲">
      <formula>NOT(ISERROR(SEARCH("▲",D10)))</formula>
    </cfRule>
    <cfRule type="containsText" dxfId="18" priority="56" operator="containsText" text="▼">
      <formula>NOT(ISERROR(SEARCH("▼",D10)))</formula>
    </cfRule>
  </conditionalFormatting>
  <conditionalFormatting sqref="F16:F29">
    <cfRule type="iconSet" priority="41">
      <iconSet iconSet="3Arrows">
        <cfvo type="percent" val="0"/>
        <cfvo type="num" val="0" gte="0"/>
        <cfvo type="num" val="0.05" gte="0"/>
      </iconSet>
    </cfRule>
  </conditionalFormatting>
  <conditionalFormatting sqref="F28">
    <cfRule type="cellIs" dxfId="17" priority="52" operator="greaterThan">
      <formula>0</formula>
    </cfRule>
    <cfRule type="cellIs" dxfId="16" priority="53" operator="lessThan">
      <formula>0</formula>
    </cfRule>
  </conditionalFormatting>
  <conditionalFormatting sqref="G10">
    <cfRule type="containsText" dxfId="15" priority="58" operator="containsText" text="▼">
      <formula>NOT(ISERROR(SEARCH("▼",G10)))</formula>
    </cfRule>
    <cfRule type="containsText" dxfId="14" priority="59" operator="containsText" text="▲">
      <formula>NOT(ISERROR(SEARCH("▲",G10)))</formula>
    </cfRule>
  </conditionalFormatting>
  <conditionalFormatting sqref="G34:G45 G47">
    <cfRule type="iconSet" priority="29">
      <iconSet iconSet="3Arrows">
        <cfvo type="percent" val="0"/>
        <cfvo type="num" val="0" gte="0"/>
        <cfvo type="num" val="0.05" gte="0"/>
      </iconSet>
    </cfRule>
  </conditionalFormatting>
  <conditionalFormatting sqref="G46">
    <cfRule type="iconSet" priority="13">
      <iconSet iconSet="3Arrows">
        <cfvo type="percent" val="0"/>
        <cfvo type="num" val="0" gte="0"/>
        <cfvo type="num" val="0.05" gte="0"/>
      </iconSet>
    </cfRule>
    <cfRule type="cellIs" dxfId="13" priority="14" operator="greaterThan">
      <formula>0</formula>
    </cfRule>
    <cfRule type="cellIs" dxfId="12" priority="15" operator="lessThan">
      <formula>0</formula>
    </cfRule>
  </conditionalFormatting>
  <conditionalFormatting sqref="I16:I27 I29">
    <cfRule type="iconSet" priority="38">
      <iconSet iconSet="3Arrows">
        <cfvo type="percent" val="0"/>
        <cfvo type="num" val="0" gte="0"/>
        <cfvo type="num" val="0.05" gte="0"/>
      </iconSet>
    </cfRule>
  </conditionalFormatting>
  <conditionalFormatting sqref="I28">
    <cfRule type="iconSet" priority="25">
      <iconSet iconSet="3Arrows">
        <cfvo type="percent" val="0"/>
        <cfvo type="num" val="0" gte="0"/>
        <cfvo type="num" val="0.05" gte="0"/>
      </iconSet>
    </cfRule>
    <cfRule type="cellIs" dxfId="11" priority="26" operator="greaterThan">
      <formula>0</formula>
    </cfRule>
    <cfRule type="cellIs" dxfId="10" priority="27" operator="lessThan">
      <formula>0</formula>
    </cfRule>
  </conditionalFormatting>
  <conditionalFormatting sqref="J10">
    <cfRule type="containsText" dxfId="9" priority="60" operator="containsText" text="▼">
      <formula>NOT(ISERROR(SEARCH("▼",J10)))</formula>
    </cfRule>
    <cfRule type="containsText" dxfId="8" priority="61" operator="containsText" text="▲">
      <formula>NOT(ISERROR(SEARCH("▲",J10)))</formula>
    </cfRule>
  </conditionalFormatting>
  <conditionalFormatting sqref="L16:L27 L29">
    <cfRule type="iconSet" priority="35">
      <iconSet iconSet="3Arrows">
        <cfvo type="percent" val="0"/>
        <cfvo type="num" val="0" gte="0"/>
        <cfvo type="num" val="0.05" gte="0"/>
      </iconSet>
    </cfRule>
  </conditionalFormatting>
  <conditionalFormatting sqref="L28">
    <cfRule type="iconSet" priority="21">
      <iconSet iconSet="3Arrows">
        <cfvo type="percent" val="0"/>
        <cfvo type="num" val="0" gte="0"/>
        <cfvo type="num" val="0.05" gte="0"/>
      </iconSet>
    </cfRule>
    <cfRule type="cellIs" dxfId="7" priority="22" operator="greaterThan">
      <formula>0</formula>
    </cfRule>
    <cfRule type="cellIs" dxfId="6" priority="23" operator="lessThan">
      <formula>0</formula>
    </cfRule>
  </conditionalFormatting>
  <conditionalFormatting sqref="M10">
    <cfRule type="containsText" dxfId="5" priority="63" operator="containsText" text="▲">
      <formula>NOT(ISERROR(SEARCH("▲",M10)))</formula>
    </cfRule>
    <cfRule type="containsText" dxfId="4" priority="62" operator="containsText" text="▼">
      <formula>NOT(ISERROR(SEARCH("▼",M10)))</formula>
    </cfRule>
  </conditionalFormatting>
  <conditionalFormatting sqref="O16:O27 O29">
    <cfRule type="iconSet" priority="32">
      <iconSet iconSet="3Arrows">
        <cfvo type="percent" val="0"/>
        <cfvo type="num" val="0" gte="0"/>
        <cfvo type="num" val="0.05" gte="0"/>
      </iconSet>
    </cfRule>
  </conditionalFormatting>
  <conditionalFormatting sqref="O28">
    <cfRule type="cellIs" dxfId="3" priority="19" operator="lessThan">
      <formula>0</formula>
    </cfRule>
    <cfRule type="cellIs" dxfId="2" priority="18" operator="greaterThan">
      <formula>0</formula>
    </cfRule>
    <cfRule type="iconSet" priority="17">
      <iconSet iconSet="3Arrows">
        <cfvo type="percent" val="0"/>
        <cfvo type="num" val="0" gte="0"/>
        <cfvo type="num" val="0.05" gte="0"/>
      </iconSet>
    </cfRule>
  </conditionalFormatting>
  <conditionalFormatting sqref="R16:R27 R29">
    <cfRule type="iconSet" priority="5">
      <iconSet iconSet="3Arrows">
        <cfvo type="percent" val="0"/>
        <cfvo type="num" val="0" gte="0"/>
        <cfvo type="num" val="0.05" gte="0"/>
      </iconSet>
    </cfRule>
  </conditionalFormatting>
  <conditionalFormatting sqref="R28">
    <cfRule type="cellIs" dxfId="1" priority="4" operator="lessThan">
      <formula>0</formula>
    </cfRule>
    <cfRule type="cellIs" dxfId="0" priority="3" operator="greaterThan">
      <formula>0</formula>
    </cfRule>
    <cfRule type="iconSet" priority="2">
      <iconSet iconSet="3Arrows">
        <cfvo type="percent" val="0"/>
        <cfvo type="num" val="0" gte="0"/>
        <cfvo type="num" val="0.05" gte="0"/>
      </iconSet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8" id="{DC677311-FCF7-42B3-8C93-65CC41756EC1}">
            <x14:iconSet iconSet="3Arrows" custom="1">
              <x14:cfvo type="percent">
                <xm:f>0</xm:f>
              </x14:cfvo>
              <x14:cfvo type="num">
                <xm:f>-0.05</xm:f>
              </x14:cfvo>
              <x14:cfvo type="num" gte="0">
                <xm:f>0</xm:f>
              </x14:cfvo>
              <x14:cfIcon iconSet="3Arrows" iconId="2"/>
              <x14:cfIcon iconSet="3Arrows" iconId="1"/>
              <x14:cfIcon iconSet="3Arrows" iconId="0"/>
            </x14:iconSet>
          </x14:cfRule>
          <xm:sqref>F28</xm:sqref>
        </x14:conditionalFormatting>
        <x14:conditionalFormatting xmlns:xm="http://schemas.microsoft.com/office/excel/2006/main">
          <x14:cfRule type="iconSet" priority="12" id="{2EF2B7E1-EEEA-4DFD-875C-333BEDDA4682}">
            <x14:iconSet iconSet="3Arrows" custom="1">
              <x14:cfvo type="percent">
                <xm:f>0</xm:f>
              </x14:cfvo>
              <x14:cfvo type="num">
                <xm:f>-0.05</xm:f>
              </x14:cfvo>
              <x14:cfvo type="num" gte="0">
                <xm:f>0</xm:f>
              </x14:cfvo>
              <x14:cfIcon iconSet="3Arrows" iconId="2"/>
              <x14:cfIcon iconSet="3Arrows" iconId="1"/>
              <x14:cfIcon iconSet="3Arrows" iconId="0"/>
            </x14:iconSet>
          </x14:cfRule>
          <xm:sqref>G46</xm:sqref>
        </x14:conditionalFormatting>
        <x14:conditionalFormatting xmlns:xm="http://schemas.microsoft.com/office/excel/2006/main">
          <x14:cfRule type="iconSet" priority="24" id="{7A37BEAD-2E1F-420E-B5AE-1B2445299397}">
            <x14:iconSet iconSet="3Arrows" custom="1">
              <x14:cfvo type="percent">
                <xm:f>0</xm:f>
              </x14:cfvo>
              <x14:cfvo type="num">
                <xm:f>-0.05</xm:f>
              </x14:cfvo>
              <x14:cfvo type="num" gte="0">
                <xm:f>0</xm:f>
              </x14:cfvo>
              <x14:cfIcon iconSet="3Arrows" iconId="2"/>
              <x14:cfIcon iconSet="3Arrows" iconId="1"/>
              <x14:cfIcon iconSet="3Arrows" iconId="0"/>
            </x14:iconSet>
          </x14:cfRule>
          <xm:sqref>I28</xm:sqref>
        </x14:conditionalFormatting>
        <x14:conditionalFormatting xmlns:xm="http://schemas.microsoft.com/office/excel/2006/main">
          <x14:cfRule type="iconSet" priority="20" id="{2135D86A-276B-4B0C-B95D-EDF619A0D888}">
            <x14:iconSet iconSet="3Arrows" custom="1">
              <x14:cfvo type="percent">
                <xm:f>0</xm:f>
              </x14:cfvo>
              <x14:cfvo type="num">
                <xm:f>-0.05</xm:f>
              </x14:cfvo>
              <x14:cfvo type="num" gte="0">
                <xm:f>0</xm:f>
              </x14:cfvo>
              <x14:cfIcon iconSet="3Arrows" iconId="2"/>
              <x14:cfIcon iconSet="3Arrows" iconId="1"/>
              <x14:cfIcon iconSet="3Arrows" iconId="0"/>
            </x14:iconSet>
          </x14:cfRule>
          <xm:sqref>L28</xm:sqref>
        </x14:conditionalFormatting>
        <x14:conditionalFormatting xmlns:xm="http://schemas.microsoft.com/office/excel/2006/main">
          <x14:cfRule type="iconSet" priority="16" id="{804B0109-2372-4DF1-8C7F-03BD283C4626}">
            <x14:iconSet iconSet="3Arrows" custom="1">
              <x14:cfvo type="percent">
                <xm:f>0</xm:f>
              </x14:cfvo>
              <x14:cfvo type="num">
                <xm:f>-0.05</xm:f>
              </x14:cfvo>
              <x14:cfvo type="num" gte="0">
                <xm:f>0</xm:f>
              </x14:cfvo>
              <x14:cfIcon iconSet="3Arrows" iconId="2"/>
              <x14:cfIcon iconSet="3Arrows" iconId="1"/>
              <x14:cfIcon iconSet="3Arrows" iconId="0"/>
            </x14:iconSet>
          </x14:cfRule>
          <xm:sqref>O28</xm:sqref>
        </x14:conditionalFormatting>
        <x14:conditionalFormatting xmlns:xm="http://schemas.microsoft.com/office/excel/2006/main">
          <x14:cfRule type="iconSet" priority="1" id="{8DE16685-06F5-4364-821E-D3145215B871}">
            <x14:iconSet iconSet="3Arrows" custom="1">
              <x14:cfvo type="percent">
                <xm:f>0</xm:f>
              </x14:cfvo>
              <x14:cfvo type="num">
                <xm:f>-0.05</xm:f>
              </x14:cfvo>
              <x14:cfvo type="num" gte="0">
                <xm:f>0</xm:f>
              </x14:cfvo>
              <x14:cfIcon iconSet="3Arrows" iconId="2"/>
              <x14:cfIcon iconSet="3Arrows" iconId="1"/>
              <x14:cfIcon iconSet="3Arrows" iconId="0"/>
            </x14:iconSet>
          </x14:cfRule>
          <xm:sqref>R28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9820-62AE-4366-ADBB-A1EBFD7A7E12}">
  <dimension ref="A1:Z59"/>
  <sheetViews>
    <sheetView showGridLines="0" topLeftCell="A28" zoomScale="80" zoomScaleNormal="80" workbookViewId="0">
      <selection activeCell="L55" sqref="L55:L57"/>
    </sheetView>
  </sheetViews>
  <sheetFormatPr baseColWidth="10" defaultColWidth="11.5" defaultRowHeight="15" x14ac:dyDescent="0.2"/>
  <cols>
    <col min="1" max="1" width="2.83203125" customWidth="1"/>
    <col min="2" max="20" width="15.5" customWidth="1"/>
  </cols>
  <sheetData>
    <row r="1" spans="1:26" ht="45" customHeight="1" x14ac:dyDescent="0.35">
      <c r="A1" s="407"/>
      <c r="B1" s="685" t="s">
        <v>377</v>
      </c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6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</row>
    <row r="2" spans="1:26" ht="22.25" customHeight="1" thickBot="1" x14ac:dyDescent="0.3">
      <c r="A2" s="407"/>
      <c r="B2" s="520" t="s">
        <v>378</v>
      </c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</row>
    <row r="3" spans="1:26" ht="8" customHeight="1" x14ac:dyDescent="0.25">
      <c r="A3" s="407"/>
      <c r="B3" s="408"/>
      <c r="C3" s="408"/>
      <c r="D3" s="408"/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7"/>
      <c r="S3" s="407"/>
      <c r="T3" s="407"/>
      <c r="U3" s="407"/>
      <c r="V3" s="407"/>
      <c r="W3" s="407"/>
      <c r="X3" s="407"/>
      <c r="Y3" s="407"/>
      <c r="Z3" s="407"/>
    </row>
    <row r="4" spans="1:26" ht="16.25" customHeight="1" thickBot="1" x14ac:dyDescent="0.3">
      <c r="A4" s="407"/>
      <c r="B4" s="516" t="s">
        <v>379</v>
      </c>
      <c r="C4" s="517"/>
      <c r="D4" s="517"/>
      <c r="E4" s="517"/>
      <c r="F4" s="517"/>
      <c r="G4" s="517"/>
      <c r="H4" s="517"/>
      <c r="I4" s="517"/>
      <c r="J4" s="517"/>
      <c r="K4" s="517"/>
      <c r="L4" s="517"/>
      <c r="M4" s="517"/>
      <c r="N4" s="517"/>
      <c r="O4" s="517"/>
      <c r="P4" s="517"/>
      <c r="Q4" s="517"/>
      <c r="R4" s="407"/>
      <c r="S4" s="407"/>
      <c r="T4" s="407"/>
      <c r="U4" s="407"/>
      <c r="V4" s="407"/>
      <c r="W4" s="407"/>
      <c r="X4" s="407"/>
      <c r="Y4" s="407"/>
      <c r="Z4" s="407"/>
    </row>
    <row r="5" spans="1:26" ht="22.25" customHeight="1" x14ac:dyDescent="0.25">
      <c r="A5" s="407"/>
      <c r="B5" s="687" t="s">
        <v>380</v>
      </c>
      <c r="C5" s="688"/>
      <c r="D5" s="689" t="s">
        <v>286</v>
      </c>
      <c r="E5" s="690"/>
      <c r="F5" s="691" t="s">
        <v>336</v>
      </c>
      <c r="G5" s="692"/>
      <c r="H5" s="695" t="s">
        <v>337</v>
      </c>
      <c r="I5" s="696"/>
      <c r="J5" s="689" t="s">
        <v>338</v>
      </c>
      <c r="K5" s="690"/>
      <c r="L5" s="693" t="s">
        <v>381</v>
      </c>
      <c r="M5" s="694"/>
      <c r="N5" s="679" t="s">
        <v>382</v>
      </c>
      <c r="O5" s="680"/>
      <c r="P5" s="681" t="s">
        <v>383</v>
      </c>
      <c r="Q5" s="682"/>
      <c r="R5" s="407"/>
      <c r="S5" s="407"/>
      <c r="T5" s="407"/>
      <c r="U5" s="407"/>
      <c r="V5" s="407"/>
      <c r="W5" s="407"/>
      <c r="X5" s="407"/>
      <c r="Y5" s="407"/>
      <c r="Z5" s="407"/>
    </row>
    <row r="6" spans="1:26" ht="42" customHeight="1" x14ac:dyDescent="0.5">
      <c r="A6" s="407"/>
      <c r="B6" s="683">
        <f>'KPI´s de negocio 2026'!BU5</f>
        <v>34</v>
      </c>
      <c r="C6" s="684"/>
      <c r="D6" s="683">
        <f>'KPI´s de negocio 2026'!BU7</f>
        <v>109</v>
      </c>
      <c r="E6" s="684"/>
      <c r="F6" s="683">
        <f>'KPI´s de negocio 2026'!BU9</f>
        <v>86</v>
      </c>
      <c r="G6" s="684"/>
      <c r="H6" s="683">
        <f>'KPI´s de negocio 2026'!BU11</f>
        <v>77</v>
      </c>
      <c r="I6" s="684"/>
      <c r="J6" s="683">
        <f>'KPI´s de negocio 2026'!BU13</f>
        <v>82</v>
      </c>
      <c r="K6" s="684"/>
      <c r="L6" s="683" t="s">
        <v>39</v>
      </c>
      <c r="M6" s="684"/>
      <c r="N6" s="683" t="s">
        <v>39</v>
      </c>
      <c r="O6" s="684"/>
      <c r="P6" s="683" t="s">
        <v>39</v>
      </c>
      <c r="Q6" s="684"/>
      <c r="R6" s="407"/>
      <c r="S6" s="407"/>
      <c r="T6" s="407"/>
      <c r="U6" s="407"/>
      <c r="V6" s="407"/>
      <c r="W6" s="407"/>
      <c r="X6" s="407"/>
      <c r="Y6" s="407"/>
      <c r="Z6" s="407"/>
    </row>
    <row r="7" spans="1:26" ht="20" customHeight="1" x14ac:dyDescent="0.25">
      <c r="A7" s="407"/>
      <c r="B7" s="677" t="str">
        <f>"vs 2025: "&amp;TEXT('KPI´s de negocio 2026'!F5,"#.##0")</f>
        <v>vs 2025: 78</v>
      </c>
      <c r="C7" s="678"/>
      <c r="D7" s="677" t="str">
        <f>"vs 2025: "&amp;TEXT('KPI´s de negocio 2026'!F7,"#.##0")</f>
        <v>vs 2025: 222</v>
      </c>
      <c r="E7" s="678"/>
      <c r="F7" s="677" t="str">
        <f>"vs 2025: "&amp;TEXT('KPI´s de negocio 2026'!F9,"#.##0")</f>
        <v>vs 2025: 204</v>
      </c>
      <c r="G7" s="678"/>
      <c r="H7" s="677" t="str">
        <f>"vs 2025: "&amp;TEXT('KPI´s de negocio 2026'!F11,"#.##0")</f>
        <v>vs 2025: 219</v>
      </c>
      <c r="I7" s="678"/>
      <c r="J7" s="677" t="str">
        <f>"vs 2025: "&amp;TEXT('KPI´s de negocio 2026'!F13,"#.##0")</f>
        <v>vs 2025: 216</v>
      </c>
      <c r="K7" s="678"/>
      <c r="L7" s="677"/>
      <c r="M7" s="678"/>
      <c r="N7" s="677"/>
      <c r="O7" s="678"/>
      <c r="P7" s="677"/>
      <c r="Q7" s="678"/>
      <c r="R7" s="407"/>
      <c r="S7" s="407"/>
      <c r="T7" s="407"/>
      <c r="U7" s="407"/>
      <c r="V7" s="407"/>
      <c r="W7" s="407"/>
      <c r="X7" s="407"/>
      <c r="Y7" s="407"/>
      <c r="Z7" s="407"/>
    </row>
    <row r="8" spans="1:26" ht="16.25" customHeight="1" thickBot="1" x14ac:dyDescent="0.3">
      <c r="A8" s="407"/>
      <c r="B8" s="518" t="s">
        <v>384</v>
      </c>
      <c r="C8" s="519"/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19"/>
      <c r="R8" s="407"/>
      <c r="S8" s="407"/>
      <c r="T8" s="407"/>
      <c r="U8" s="407"/>
      <c r="V8" s="407"/>
      <c r="W8" s="407"/>
      <c r="X8" s="407"/>
      <c r="Y8" s="407"/>
      <c r="Z8" s="407"/>
    </row>
    <row r="9" spans="1:26" ht="22.25" customHeight="1" x14ac:dyDescent="0.25">
      <c r="A9" s="407"/>
      <c r="B9" s="687" t="s">
        <v>380</v>
      </c>
      <c r="C9" s="688"/>
      <c r="D9" s="689" t="s">
        <v>286</v>
      </c>
      <c r="E9" s="690"/>
      <c r="F9" s="691" t="s">
        <v>336</v>
      </c>
      <c r="G9" s="692"/>
      <c r="H9" s="695" t="s">
        <v>337</v>
      </c>
      <c r="I9" s="696"/>
      <c r="J9" s="689" t="s">
        <v>338</v>
      </c>
      <c r="K9" s="690"/>
      <c r="L9" s="693" t="s">
        <v>381</v>
      </c>
      <c r="M9" s="694"/>
      <c r="N9" s="679" t="s">
        <v>382</v>
      </c>
      <c r="O9" s="680"/>
      <c r="P9" s="681" t="s">
        <v>383</v>
      </c>
      <c r="Q9" s="682"/>
      <c r="R9" s="407"/>
      <c r="S9" s="407"/>
      <c r="T9" s="407"/>
      <c r="U9" s="407"/>
      <c r="V9" s="407"/>
      <c r="W9" s="407"/>
      <c r="X9" s="407"/>
      <c r="Y9" s="407"/>
      <c r="Z9" s="407"/>
    </row>
    <row r="10" spans="1:26" ht="42" customHeight="1" x14ac:dyDescent="0.4">
      <c r="A10" s="407"/>
      <c r="B10" s="675">
        <f>'KPI´s de negocio 2026'!BU6</f>
        <v>4050.92</v>
      </c>
      <c r="C10" s="676"/>
      <c r="D10" s="675">
        <f>'KPI´s de negocio 2026'!BU8</f>
        <v>4206.6089012747216</v>
      </c>
      <c r="E10" s="676"/>
      <c r="F10" s="675">
        <f>'KPI´s de negocio 2026'!BU10</f>
        <v>3598.2507099047621</v>
      </c>
      <c r="G10" s="676"/>
      <c r="H10" s="675">
        <f>'KPI´s de negocio 2026'!BU12</f>
        <v>3210.4487193704408</v>
      </c>
      <c r="I10" s="676"/>
      <c r="J10" s="675">
        <f>'KPI´s de negocio 2026'!BU14</f>
        <v>3253</v>
      </c>
      <c r="K10" s="676"/>
      <c r="L10" s="675" t="s">
        <v>39</v>
      </c>
      <c r="M10" s="676"/>
      <c r="N10" s="675" t="s">
        <v>39</v>
      </c>
      <c r="O10" s="676"/>
      <c r="P10" s="675" t="s">
        <v>39</v>
      </c>
      <c r="Q10" s="676"/>
      <c r="R10" s="407"/>
      <c r="S10" s="407"/>
      <c r="T10" s="407"/>
      <c r="U10" s="407"/>
      <c r="V10" s="407"/>
      <c r="W10" s="407"/>
      <c r="X10" s="407"/>
      <c r="Y10" s="407"/>
      <c r="Z10" s="407"/>
    </row>
    <row r="11" spans="1:26" ht="20" customHeight="1" x14ac:dyDescent="0.25">
      <c r="A11" s="407"/>
      <c r="B11" s="677" t="str">
        <f>"vs 2025: kUS$ "&amp;TEXT(ROUND('KPI´s de negocio 2026'!F6,0),"#.##0")</f>
        <v>vs 2025: kUS$ 10.276</v>
      </c>
      <c r="C11" s="678"/>
      <c r="D11" s="677" t="str">
        <f>"vs 2025: kUS$ "&amp;TEXT(ROUND('KPI´s de negocio 2026'!F8,0),"#.##0")</f>
        <v>vs 2025: kUS$ 9.037</v>
      </c>
      <c r="E11" s="678"/>
      <c r="F11" s="677" t="str">
        <f>"vs 2025: kUS$ "&amp;TEXT(ROUND('KPI´s de negocio 2026'!F10,0),"#.##0")</f>
        <v>vs 2025: kUS$ 9.353</v>
      </c>
      <c r="G11" s="678"/>
      <c r="H11" s="677" t="str">
        <f>"vs 2025: kUS$ "&amp;TEXT(ROUND('KPI´s de negocio 2026'!F12,0),"#.##0")</f>
        <v>vs 2025: kUS$ 9.795</v>
      </c>
      <c r="I11" s="678"/>
      <c r="J11" s="677" t="str">
        <f>"vs 2025: kUS$ "&amp;TEXT(ROUND('KPI´s de negocio 2026'!F14,0),"#.##0")</f>
        <v>vs 2025: kUS$ 9.025</v>
      </c>
      <c r="K11" s="678"/>
      <c r="L11" s="677"/>
      <c r="M11" s="678"/>
      <c r="N11" s="677"/>
      <c r="O11" s="678"/>
      <c r="P11" s="677"/>
      <c r="Q11" s="678"/>
      <c r="R11" s="407"/>
      <c r="S11" s="407"/>
      <c r="T11" s="407"/>
      <c r="U11" s="407"/>
      <c r="V11" s="407"/>
      <c r="W11" s="407"/>
      <c r="X11" s="407"/>
      <c r="Y11" s="407"/>
      <c r="Z11" s="407"/>
    </row>
    <row r="12" spans="1:26" ht="10.25" customHeight="1" x14ac:dyDescent="0.25">
      <c r="A12" s="407"/>
      <c r="B12" s="407"/>
      <c r="C12" s="407"/>
      <c r="D12" s="407"/>
      <c r="E12" s="407"/>
      <c r="F12" s="407"/>
      <c r="G12" s="407"/>
      <c r="H12" s="407"/>
      <c r="I12" s="407"/>
      <c r="J12" s="407"/>
      <c r="K12" s="407"/>
      <c r="L12" s="407"/>
      <c r="M12" s="407"/>
      <c r="N12" s="407"/>
      <c r="O12" s="407"/>
      <c r="P12" s="407"/>
      <c r="Q12" s="407"/>
      <c r="R12" s="407"/>
      <c r="S12" s="407"/>
      <c r="T12" s="407"/>
      <c r="U12" s="407"/>
      <c r="V12" s="407"/>
      <c r="W12" s="407"/>
      <c r="X12" s="407"/>
      <c r="Y12" s="407"/>
      <c r="Z12" s="407"/>
    </row>
    <row r="13" spans="1:26" ht="25.25" customHeight="1" x14ac:dyDescent="0.25">
      <c r="A13" s="407"/>
      <c r="B13" s="409" t="s">
        <v>385</v>
      </c>
      <c r="C13" s="410"/>
      <c r="D13" s="410"/>
      <c r="E13" s="410"/>
      <c r="F13" s="410"/>
      <c r="G13" s="410"/>
      <c r="H13" s="410"/>
      <c r="I13" s="410"/>
      <c r="J13" s="410"/>
      <c r="K13" s="410"/>
      <c r="L13" s="410"/>
      <c r="M13" s="410"/>
      <c r="N13" s="410"/>
      <c r="O13" s="410"/>
      <c r="P13" s="410"/>
      <c r="Q13" s="410"/>
      <c r="R13" s="407"/>
      <c r="S13" s="407"/>
      <c r="T13" s="407"/>
      <c r="U13" s="407"/>
      <c r="V13" s="407"/>
      <c r="W13" s="407"/>
      <c r="X13" s="407"/>
      <c r="Y13" s="407"/>
      <c r="Z13" s="407"/>
    </row>
    <row r="14" spans="1:26" ht="16" x14ac:dyDescent="0.25">
      <c r="A14" s="407"/>
      <c r="B14" s="407"/>
      <c r="C14" s="407"/>
      <c r="D14" s="407"/>
      <c r="E14" s="407"/>
      <c r="F14" s="407"/>
      <c r="G14" s="407"/>
      <c r="H14" s="407"/>
      <c r="I14" s="407"/>
      <c r="J14" s="407"/>
      <c r="K14" s="407"/>
      <c r="L14" s="407"/>
      <c r="M14" s="407"/>
      <c r="N14" s="407"/>
      <c r="O14" s="407"/>
      <c r="P14" s="407"/>
      <c r="Q14" s="407"/>
      <c r="R14" s="407"/>
      <c r="S14" s="407"/>
      <c r="T14" s="407"/>
      <c r="U14" s="407"/>
      <c r="V14" s="407"/>
      <c r="W14" s="407"/>
      <c r="X14" s="407"/>
      <c r="Y14" s="407"/>
      <c r="Z14" s="407"/>
    </row>
    <row r="15" spans="1:26" ht="16" x14ac:dyDescent="0.25">
      <c r="A15" s="407"/>
      <c r="B15" s="407"/>
      <c r="C15" s="407"/>
      <c r="D15" s="407"/>
      <c r="E15" s="407"/>
      <c r="F15" s="407"/>
      <c r="G15" s="407"/>
      <c r="H15" s="407"/>
      <c r="I15" s="407"/>
      <c r="J15" s="407"/>
      <c r="K15" s="407"/>
      <c r="L15" s="407"/>
      <c r="M15" s="407"/>
      <c r="N15" s="407"/>
      <c r="O15" s="407"/>
      <c r="P15" s="407"/>
      <c r="Q15" s="407"/>
      <c r="R15" s="407"/>
      <c r="S15" s="407"/>
      <c r="T15" s="407"/>
      <c r="U15" s="407"/>
      <c r="V15" s="407"/>
      <c r="W15" s="407"/>
      <c r="X15" s="407"/>
      <c r="Y15" s="407"/>
      <c r="Z15" s="407"/>
    </row>
    <row r="16" spans="1:26" ht="16" x14ac:dyDescent="0.25">
      <c r="A16" s="407"/>
      <c r="B16" s="407"/>
      <c r="C16" s="407"/>
      <c r="D16" s="407"/>
      <c r="E16" s="407"/>
      <c r="F16" s="407"/>
      <c r="G16" s="407"/>
      <c r="H16" s="407"/>
      <c r="I16" s="407"/>
      <c r="J16" s="407"/>
      <c r="K16" s="407"/>
      <c r="L16" s="407"/>
      <c r="M16" s="407"/>
      <c r="N16" s="407"/>
      <c r="O16" s="407"/>
      <c r="P16" s="407"/>
      <c r="Q16" s="407"/>
      <c r="R16" s="407"/>
      <c r="S16" s="407"/>
      <c r="T16" s="407"/>
      <c r="U16" s="407"/>
      <c r="V16" s="407"/>
      <c r="W16" s="407"/>
      <c r="X16" s="407"/>
      <c r="Y16" s="407"/>
      <c r="Z16" s="407"/>
    </row>
    <row r="17" spans="1:26" ht="16" x14ac:dyDescent="0.25">
      <c r="A17" s="407"/>
      <c r="B17" s="407"/>
      <c r="C17" s="407"/>
      <c r="D17" s="407"/>
      <c r="E17" s="407"/>
      <c r="F17" s="407"/>
      <c r="G17" s="407"/>
      <c r="H17" s="407"/>
      <c r="I17" s="407"/>
      <c r="J17" s="407"/>
      <c r="K17" s="407"/>
      <c r="L17" s="407"/>
      <c r="M17" s="407"/>
      <c r="N17" s="407"/>
      <c r="O17" s="407"/>
      <c r="P17" s="407"/>
      <c r="Q17" s="407"/>
      <c r="R17" s="407"/>
      <c r="S17" s="407"/>
      <c r="T17" s="407"/>
      <c r="U17" s="407"/>
      <c r="V17" s="407"/>
      <c r="W17" s="407"/>
      <c r="X17" s="407"/>
      <c r="Y17" s="407"/>
      <c r="Z17" s="407"/>
    </row>
    <row r="18" spans="1:26" ht="16" x14ac:dyDescent="0.25">
      <c r="A18" s="407"/>
      <c r="B18" s="407"/>
      <c r="C18" s="407"/>
      <c r="D18" s="407"/>
      <c r="E18" s="407"/>
      <c r="F18" s="407"/>
      <c r="G18" s="407"/>
      <c r="H18" s="407"/>
      <c r="I18" s="407"/>
      <c r="J18" s="407"/>
      <c r="K18" s="407"/>
      <c r="L18" s="407"/>
      <c r="M18" s="407"/>
      <c r="N18" s="407"/>
      <c r="O18" s="407"/>
      <c r="P18" s="407"/>
      <c r="Q18" s="407"/>
      <c r="R18" s="407"/>
      <c r="S18" s="407"/>
      <c r="T18" s="407"/>
      <c r="U18" s="407"/>
      <c r="V18" s="407"/>
      <c r="W18" s="407"/>
      <c r="X18" s="407"/>
      <c r="Y18" s="407"/>
      <c r="Z18" s="407"/>
    </row>
    <row r="19" spans="1:26" ht="16" x14ac:dyDescent="0.25">
      <c r="A19" s="407"/>
      <c r="B19" s="407"/>
      <c r="C19" s="407"/>
      <c r="D19" s="407"/>
      <c r="E19" s="407"/>
      <c r="F19" s="407"/>
      <c r="G19" s="407"/>
      <c r="H19" s="407"/>
      <c r="I19" s="407"/>
      <c r="J19" s="407"/>
      <c r="K19" s="407"/>
      <c r="L19" s="407"/>
      <c r="M19" s="407"/>
      <c r="N19" s="407"/>
      <c r="O19" s="407"/>
      <c r="P19" s="407"/>
      <c r="Q19" s="407"/>
      <c r="R19" s="407"/>
      <c r="S19" s="407"/>
      <c r="T19" s="407"/>
      <c r="U19" s="407"/>
      <c r="V19" s="407"/>
      <c r="W19" s="407"/>
      <c r="X19" s="407"/>
      <c r="Y19" s="407"/>
      <c r="Z19" s="407"/>
    </row>
    <row r="20" spans="1:26" ht="16" x14ac:dyDescent="0.25">
      <c r="A20" s="407"/>
      <c r="B20" s="407"/>
      <c r="C20" s="407"/>
      <c r="D20" s="407"/>
      <c r="E20" s="407"/>
      <c r="F20" s="407"/>
      <c r="G20" s="407"/>
      <c r="H20" s="407"/>
      <c r="I20" s="407"/>
      <c r="J20" s="407"/>
      <c r="K20" s="407"/>
      <c r="L20" s="407"/>
      <c r="M20" s="407"/>
      <c r="N20" s="407"/>
      <c r="O20" s="407"/>
      <c r="P20" s="407"/>
      <c r="Q20" s="407"/>
      <c r="R20" s="407"/>
      <c r="S20" s="407"/>
      <c r="T20" s="407"/>
      <c r="U20" s="407"/>
      <c r="V20" s="407"/>
      <c r="W20" s="407"/>
      <c r="X20" s="407"/>
      <c r="Y20" s="407"/>
      <c r="Z20" s="407"/>
    </row>
    <row r="21" spans="1:26" ht="16" x14ac:dyDescent="0.25">
      <c r="A21" s="407"/>
      <c r="B21" s="407"/>
      <c r="C21" s="407"/>
      <c r="D21" s="407"/>
      <c r="E21" s="407"/>
      <c r="F21" s="407"/>
      <c r="G21" s="407"/>
      <c r="H21" s="407"/>
      <c r="I21" s="407"/>
      <c r="J21" s="407"/>
      <c r="K21" s="407"/>
      <c r="L21" s="407"/>
      <c r="M21" s="407"/>
      <c r="N21" s="407"/>
      <c r="O21" s="407"/>
      <c r="P21" s="407"/>
      <c r="Q21" s="407"/>
      <c r="R21" s="407"/>
      <c r="S21" s="407"/>
      <c r="T21" s="407"/>
      <c r="U21" s="407"/>
      <c r="V21" s="407"/>
      <c r="W21" s="407"/>
      <c r="X21" s="407"/>
      <c r="Y21" s="407"/>
      <c r="Z21" s="407"/>
    </row>
    <row r="22" spans="1:26" ht="16" x14ac:dyDescent="0.25">
      <c r="A22" s="407"/>
      <c r="B22" s="407"/>
      <c r="C22" s="407"/>
      <c r="D22" s="407"/>
      <c r="E22" s="407"/>
      <c r="F22" s="407"/>
      <c r="G22" s="407"/>
      <c r="H22" s="407"/>
      <c r="I22" s="407"/>
      <c r="J22" s="407"/>
      <c r="K22" s="407"/>
      <c r="L22" s="407"/>
      <c r="M22" s="407"/>
      <c r="N22" s="407"/>
      <c r="O22" s="407"/>
      <c r="P22" s="407"/>
      <c r="Q22" s="407"/>
      <c r="R22" s="407"/>
      <c r="S22" s="407"/>
      <c r="T22" s="407"/>
      <c r="U22" s="407"/>
      <c r="V22" s="407"/>
      <c r="W22" s="407"/>
      <c r="X22" s="407"/>
      <c r="Y22" s="407"/>
      <c r="Z22" s="407"/>
    </row>
    <row r="23" spans="1:26" ht="16" x14ac:dyDescent="0.25">
      <c r="A23" s="407"/>
      <c r="B23" s="407"/>
      <c r="C23" s="407"/>
      <c r="D23" s="407"/>
      <c r="E23" s="407"/>
      <c r="F23" s="407"/>
      <c r="G23" s="407"/>
      <c r="H23" s="407"/>
      <c r="I23" s="407"/>
      <c r="J23" s="407"/>
      <c r="K23" s="407"/>
      <c r="L23" s="407"/>
      <c r="M23" s="407"/>
      <c r="N23" s="407"/>
      <c r="O23" s="407"/>
      <c r="P23" s="407"/>
      <c r="Q23" s="407"/>
      <c r="R23" s="407"/>
      <c r="S23" s="407"/>
      <c r="T23" s="407"/>
      <c r="U23" s="407"/>
      <c r="V23" s="407"/>
      <c r="W23" s="407"/>
      <c r="X23" s="407"/>
      <c r="Y23" s="407"/>
      <c r="Z23" s="407"/>
    </row>
    <row r="24" spans="1:26" ht="16" x14ac:dyDescent="0.25">
      <c r="A24" s="407"/>
      <c r="B24" s="407"/>
      <c r="C24" s="407"/>
      <c r="D24" s="407"/>
      <c r="E24" s="407"/>
      <c r="F24" s="407"/>
      <c r="G24" s="407"/>
      <c r="H24" s="407"/>
      <c r="I24" s="407"/>
      <c r="J24" s="407"/>
      <c r="K24" s="407"/>
      <c r="L24" s="407"/>
      <c r="M24" s="407"/>
      <c r="N24" s="407"/>
      <c r="O24" s="407"/>
      <c r="P24" s="407"/>
      <c r="Q24" s="407"/>
      <c r="R24" s="407"/>
      <c r="S24" s="407"/>
      <c r="T24" s="407"/>
      <c r="U24" s="407"/>
      <c r="V24" s="407"/>
      <c r="W24" s="407"/>
      <c r="X24" s="407"/>
      <c r="Y24" s="407"/>
      <c r="Z24" s="407"/>
    </row>
    <row r="25" spans="1:26" ht="16" x14ac:dyDescent="0.25">
      <c r="A25" s="407"/>
      <c r="B25" s="407"/>
      <c r="C25" s="407"/>
      <c r="D25" s="407"/>
      <c r="E25" s="407"/>
      <c r="F25" s="407"/>
      <c r="G25" s="407"/>
      <c r="H25" s="407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Y25" s="407"/>
      <c r="Z25" s="407"/>
    </row>
    <row r="26" spans="1:26" ht="16" x14ac:dyDescent="0.25">
      <c r="A26" s="407"/>
      <c r="B26" s="407"/>
      <c r="C26" s="407"/>
      <c r="D26" s="407"/>
      <c r="E26" s="407"/>
      <c r="F26" s="407"/>
      <c r="G26" s="407"/>
      <c r="H26" s="407"/>
      <c r="I26" s="407"/>
      <c r="J26" s="407"/>
      <c r="K26" s="407"/>
      <c r="L26" s="407"/>
      <c r="M26" s="407"/>
      <c r="N26" s="407"/>
      <c r="O26" s="407"/>
      <c r="P26" s="407"/>
      <c r="Q26" s="407"/>
      <c r="R26" s="407"/>
      <c r="S26" s="407"/>
      <c r="T26" s="407"/>
      <c r="U26" s="407"/>
      <c r="V26" s="407"/>
      <c r="W26" s="407"/>
      <c r="X26" s="407"/>
      <c r="Y26" s="407"/>
      <c r="Z26" s="407"/>
    </row>
    <row r="27" spans="1:26" ht="16" x14ac:dyDescent="0.25">
      <c r="A27" s="407"/>
      <c r="B27" s="407"/>
      <c r="C27" s="407"/>
      <c r="D27" s="407"/>
      <c r="E27" s="407"/>
      <c r="F27" s="407"/>
      <c r="G27" s="407"/>
      <c r="H27" s="407"/>
      <c r="I27" s="407"/>
      <c r="J27" s="407"/>
      <c r="K27" s="407"/>
      <c r="L27" s="407"/>
      <c r="M27" s="407"/>
      <c r="N27" s="407"/>
      <c r="O27" s="407"/>
      <c r="P27" s="407"/>
      <c r="Q27" s="407"/>
      <c r="R27" s="407"/>
      <c r="S27" s="407"/>
      <c r="T27" s="407"/>
      <c r="U27" s="407"/>
      <c r="V27" s="407"/>
      <c r="W27" s="407"/>
      <c r="X27" s="407"/>
      <c r="Y27" s="407"/>
      <c r="Z27" s="407"/>
    </row>
    <row r="28" spans="1:26" ht="16" x14ac:dyDescent="0.25">
      <c r="A28" s="407"/>
      <c r="B28" s="407"/>
      <c r="C28" s="407"/>
      <c r="D28" s="407"/>
      <c r="E28" s="407"/>
      <c r="F28" s="407"/>
      <c r="G28" s="407"/>
      <c r="H28" s="407"/>
      <c r="I28" s="407"/>
      <c r="J28" s="407"/>
      <c r="K28" s="407"/>
      <c r="L28" s="407"/>
      <c r="M28" s="407"/>
      <c r="N28" s="407"/>
      <c r="O28" s="407"/>
      <c r="P28" s="407"/>
      <c r="Q28" s="407"/>
      <c r="R28" s="407"/>
      <c r="S28" s="407"/>
      <c r="T28" s="407"/>
      <c r="U28" s="407"/>
      <c r="V28" s="407"/>
      <c r="W28" s="407"/>
      <c r="X28" s="407"/>
      <c r="Y28" s="407"/>
      <c r="Z28" s="407"/>
    </row>
    <row r="29" spans="1:26" ht="16" x14ac:dyDescent="0.25">
      <c r="A29" s="407"/>
      <c r="B29" s="407"/>
      <c r="C29" s="407"/>
      <c r="D29" s="407"/>
      <c r="E29" s="407"/>
      <c r="F29" s="407"/>
      <c r="G29" s="407"/>
      <c r="H29" s="407"/>
      <c r="I29" s="407"/>
      <c r="J29" s="407"/>
      <c r="K29" s="407"/>
      <c r="L29" s="407"/>
      <c r="M29" s="407"/>
      <c r="N29" s="407"/>
      <c r="O29" s="407"/>
      <c r="P29" s="407"/>
      <c r="Q29" s="407"/>
      <c r="R29" s="407"/>
      <c r="S29" s="407"/>
      <c r="T29" s="407"/>
      <c r="U29" s="407"/>
      <c r="V29" s="407"/>
      <c r="W29" s="407"/>
      <c r="X29" s="407"/>
      <c r="Y29" s="407"/>
      <c r="Z29" s="407"/>
    </row>
    <row r="30" spans="1:26" ht="16" x14ac:dyDescent="0.25">
      <c r="A30" s="407"/>
      <c r="B30" s="407"/>
      <c r="C30" s="407"/>
      <c r="D30" s="407"/>
      <c r="E30" s="407"/>
      <c r="F30" s="407"/>
      <c r="G30" s="407"/>
      <c r="H30" s="407"/>
      <c r="I30" s="407"/>
      <c r="J30" s="407"/>
      <c r="K30" s="407"/>
      <c r="L30" s="407"/>
      <c r="M30" s="407"/>
      <c r="N30" s="407"/>
      <c r="O30" s="407"/>
      <c r="P30" s="407"/>
      <c r="Q30" s="407"/>
      <c r="R30" s="407"/>
      <c r="S30" s="407"/>
      <c r="T30" s="407"/>
      <c r="U30" s="407"/>
      <c r="V30" s="407"/>
      <c r="W30" s="407"/>
      <c r="X30" s="407"/>
      <c r="Y30" s="407"/>
      <c r="Z30" s="407"/>
    </row>
    <row r="31" spans="1:26" ht="16" x14ac:dyDescent="0.25">
      <c r="A31" s="407"/>
      <c r="B31" s="407"/>
      <c r="C31" s="407"/>
      <c r="D31" s="407"/>
      <c r="E31" s="407"/>
      <c r="F31" s="407"/>
      <c r="G31" s="407"/>
      <c r="H31" s="407"/>
      <c r="I31" s="407"/>
      <c r="J31" s="407"/>
      <c r="K31" s="407"/>
      <c r="L31" s="407"/>
      <c r="M31" s="407"/>
      <c r="N31" s="407"/>
      <c r="O31" s="407"/>
      <c r="P31" s="407"/>
      <c r="Q31" s="407"/>
      <c r="R31" s="407"/>
      <c r="S31" s="407"/>
      <c r="T31" s="407"/>
      <c r="U31" s="407"/>
      <c r="V31" s="407"/>
      <c r="W31" s="407"/>
      <c r="X31" s="407"/>
      <c r="Y31" s="407"/>
      <c r="Z31" s="407"/>
    </row>
    <row r="32" spans="1:26" ht="16" x14ac:dyDescent="0.25">
      <c r="A32" s="407"/>
      <c r="B32" s="407"/>
      <c r="C32" s="407"/>
      <c r="D32" s="407"/>
      <c r="E32" s="407"/>
      <c r="F32" s="407"/>
      <c r="G32" s="407"/>
      <c r="H32" s="407"/>
      <c r="I32" s="407"/>
      <c r="J32" s="407"/>
      <c r="K32" s="407"/>
      <c r="L32" s="407"/>
      <c r="M32" s="407"/>
      <c r="N32" s="407"/>
      <c r="O32" s="407"/>
      <c r="P32" s="407"/>
      <c r="Q32" s="407"/>
      <c r="R32" s="407"/>
      <c r="S32" s="407"/>
      <c r="T32" s="407"/>
      <c r="U32" s="407"/>
      <c r="V32" s="407"/>
      <c r="W32" s="407"/>
      <c r="X32" s="407"/>
      <c r="Y32" s="407"/>
      <c r="Z32" s="407"/>
    </row>
    <row r="33" spans="1:26" ht="16" x14ac:dyDescent="0.25">
      <c r="A33" s="407"/>
      <c r="B33" s="407"/>
      <c r="C33" s="407"/>
      <c r="D33" s="407"/>
      <c r="E33" s="407"/>
      <c r="F33" s="407"/>
      <c r="G33" s="407"/>
      <c r="H33" s="407"/>
      <c r="I33" s="407"/>
      <c r="J33" s="407"/>
      <c r="K33" s="407"/>
      <c r="L33" s="407"/>
      <c r="M33" s="407"/>
      <c r="N33" s="407"/>
      <c r="O33" s="407"/>
      <c r="P33" s="407"/>
      <c r="Q33" s="407"/>
      <c r="R33" s="407"/>
      <c r="S33" s="407"/>
      <c r="T33" s="407"/>
      <c r="U33" s="407"/>
      <c r="V33" s="407"/>
      <c r="W33" s="407"/>
      <c r="X33" s="407"/>
      <c r="Y33" s="407"/>
      <c r="Z33" s="407"/>
    </row>
    <row r="34" spans="1:26" ht="16" x14ac:dyDescent="0.25">
      <c r="A34" s="407"/>
      <c r="B34" s="407"/>
      <c r="C34" s="407"/>
      <c r="D34" s="407"/>
      <c r="E34" s="407"/>
      <c r="F34" s="407"/>
      <c r="G34" s="407"/>
      <c r="H34" s="407"/>
      <c r="I34" s="407"/>
      <c r="J34" s="407"/>
      <c r="K34" s="407"/>
      <c r="L34" s="407"/>
      <c r="M34" s="407"/>
      <c r="N34" s="407"/>
      <c r="O34" s="407"/>
      <c r="P34" s="407"/>
      <c r="Q34" s="407"/>
      <c r="R34" s="407"/>
      <c r="S34" s="407"/>
      <c r="T34" s="407"/>
      <c r="U34" s="407"/>
      <c r="V34" s="407"/>
      <c r="W34" s="407"/>
      <c r="X34" s="407"/>
      <c r="Y34" s="407"/>
      <c r="Z34" s="407"/>
    </row>
    <row r="35" spans="1:26" ht="16" x14ac:dyDescent="0.25">
      <c r="A35" s="407"/>
      <c r="B35" s="407"/>
      <c r="C35" s="407"/>
      <c r="D35" s="407"/>
      <c r="E35" s="407"/>
      <c r="F35" s="407"/>
      <c r="G35" s="407"/>
      <c r="H35" s="407"/>
      <c r="I35" s="407"/>
      <c r="J35" s="407"/>
      <c r="K35" s="407"/>
      <c r="L35" s="407"/>
      <c r="M35" s="407"/>
      <c r="N35" s="407"/>
      <c r="O35" s="407"/>
      <c r="P35" s="407"/>
      <c r="Q35" s="407"/>
      <c r="R35" s="407"/>
      <c r="S35" s="407"/>
      <c r="T35" s="407"/>
      <c r="U35" s="407"/>
      <c r="V35" s="407"/>
      <c r="W35" s="407"/>
      <c r="X35" s="407"/>
      <c r="Y35" s="407"/>
      <c r="Z35" s="407"/>
    </row>
    <row r="36" spans="1:26" ht="16" x14ac:dyDescent="0.25">
      <c r="A36" s="407"/>
      <c r="B36" s="407"/>
      <c r="C36" s="407"/>
      <c r="D36" s="407"/>
      <c r="E36" s="407"/>
      <c r="F36" s="407"/>
      <c r="G36" s="407"/>
      <c r="H36" s="407"/>
      <c r="I36" s="407"/>
      <c r="J36" s="407"/>
      <c r="K36" s="407"/>
      <c r="L36" s="407"/>
      <c r="M36" s="407"/>
      <c r="N36" s="407"/>
      <c r="O36" s="407"/>
      <c r="P36" s="407"/>
      <c r="Q36" s="407"/>
      <c r="R36" s="407"/>
      <c r="S36" s="407"/>
      <c r="T36" s="407"/>
      <c r="U36" s="407"/>
      <c r="V36" s="407"/>
      <c r="W36" s="407"/>
      <c r="X36" s="407"/>
      <c r="Y36" s="407"/>
      <c r="Z36" s="407"/>
    </row>
    <row r="37" spans="1:26" ht="16" x14ac:dyDescent="0.25">
      <c r="A37" s="407"/>
      <c r="B37" s="407"/>
      <c r="C37" s="407"/>
      <c r="D37" s="407"/>
      <c r="E37" s="407"/>
      <c r="F37" s="407"/>
      <c r="G37" s="407"/>
      <c r="H37" s="407"/>
      <c r="I37" s="407"/>
      <c r="J37" s="407"/>
      <c r="K37" s="407"/>
      <c r="L37" s="407"/>
      <c r="M37" s="407"/>
      <c r="N37" s="407"/>
      <c r="O37" s="407"/>
      <c r="P37" s="407"/>
      <c r="Q37" s="407"/>
      <c r="R37" s="407"/>
      <c r="S37" s="407"/>
      <c r="T37" s="407"/>
      <c r="U37" s="407"/>
      <c r="V37" s="407"/>
      <c r="W37" s="407"/>
      <c r="X37" s="407"/>
      <c r="Y37" s="407"/>
      <c r="Z37" s="407"/>
    </row>
    <row r="38" spans="1:26" ht="16" x14ac:dyDescent="0.25">
      <c r="A38" s="407"/>
      <c r="B38" s="407"/>
      <c r="C38" s="407"/>
      <c r="D38" s="407"/>
      <c r="E38" s="407"/>
      <c r="F38" s="407"/>
      <c r="G38" s="407"/>
      <c r="H38" s="407"/>
      <c r="I38" s="407"/>
      <c r="J38" s="407"/>
      <c r="K38" s="407"/>
      <c r="L38" s="407"/>
      <c r="M38" s="407"/>
      <c r="N38" s="407"/>
      <c r="O38" s="407"/>
      <c r="P38" s="407"/>
      <c r="Q38" s="407"/>
      <c r="R38" s="407"/>
      <c r="S38" s="407"/>
      <c r="T38" s="407"/>
      <c r="U38" s="407"/>
      <c r="V38" s="407"/>
      <c r="W38" s="407"/>
      <c r="X38" s="407"/>
      <c r="Y38" s="407"/>
      <c r="Z38" s="407"/>
    </row>
    <row r="39" spans="1:26" ht="16" x14ac:dyDescent="0.25">
      <c r="A39" s="407"/>
      <c r="B39" s="407"/>
      <c r="C39" s="407"/>
      <c r="D39" s="407"/>
      <c r="E39" s="407"/>
      <c r="F39" s="407"/>
      <c r="G39" s="407"/>
      <c r="H39" s="407"/>
      <c r="I39" s="407"/>
      <c r="J39" s="407"/>
      <c r="K39" s="407"/>
      <c r="L39" s="407"/>
      <c r="M39" s="407"/>
      <c r="N39" s="407"/>
      <c r="O39" s="407"/>
      <c r="P39" s="407"/>
      <c r="Q39" s="407"/>
      <c r="R39" s="407"/>
      <c r="S39" s="407"/>
      <c r="T39" s="407"/>
      <c r="U39" s="407"/>
      <c r="V39" s="407"/>
      <c r="W39" s="407"/>
      <c r="X39" s="407"/>
      <c r="Y39" s="407"/>
      <c r="Z39" s="407"/>
    </row>
    <row r="40" spans="1:26" ht="16" x14ac:dyDescent="0.25">
      <c r="A40" s="407"/>
      <c r="B40" s="407"/>
      <c r="C40" s="407"/>
      <c r="D40" s="407"/>
      <c r="E40" s="407"/>
      <c r="F40" s="407"/>
      <c r="G40" s="407"/>
      <c r="H40" s="407"/>
      <c r="I40" s="407"/>
      <c r="J40" s="407"/>
      <c r="K40" s="407"/>
      <c r="L40" s="407"/>
      <c r="M40" s="407"/>
      <c r="N40" s="407"/>
      <c r="O40" s="407"/>
      <c r="P40" s="407"/>
      <c r="Q40" s="407"/>
      <c r="R40" s="407"/>
      <c r="S40" s="407"/>
      <c r="T40" s="407"/>
      <c r="U40" s="407"/>
      <c r="V40" s="407"/>
      <c r="W40" s="407"/>
      <c r="X40" s="407"/>
      <c r="Y40" s="407"/>
      <c r="Z40" s="407"/>
    </row>
    <row r="41" spans="1:26" ht="16" x14ac:dyDescent="0.25">
      <c r="A41" s="407"/>
      <c r="B41" s="407"/>
      <c r="C41" s="407"/>
      <c r="D41" s="407"/>
      <c r="E41" s="407"/>
      <c r="F41" s="407"/>
      <c r="G41" s="407"/>
      <c r="H41" s="407"/>
      <c r="I41" s="407"/>
      <c r="J41" s="407"/>
      <c r="K41" s="407"/>
      <c r="L41" s="407"/>
      <c r="M41" s="407"/>
      <c r="N41" s="407"/>
      <c r="O41" s="407"/>
      <c r="P41" s="407"/>
      <c r="Q41" s="407"/>
      <c r="R41" s="407"/>
      <c r="S41" s="407"/>
      <c r="T41" s="407"/>
      <c r="U41" s="407"/>
      <c r="V41" s="407"/>
      <c r="W41" s="407"/>
      <c r="X41" s="407"/>
      <c r="Y41" s="407"/>
      <c r="Z41" s="407"/>
    </row>
    <row r="42" spans="1:26" ht="16" x14ac:dyDescent="0.25">
      <c r="A42" s="407"/>
      <c r="B42" s="407"/>
      <c r="C42" s="407"/>
      <c r="D42" s="407"/>
      <c r="E42" s="407"/>
      <c r="F42" s="407"/>
      <c r="G42" s="407"/>
      <c r="H42" s="407"/>
      <c r="I42" s="407"/>
      <c r="J42" s="407"/>
      <c r="K42" s="407"/>
      <c r="L42" s="407"/>
      <c r="M42" s="407"/>
      <c r="N42" s="407"/>
      <c r="O42" s="407"/>
      <c r="P42" s="407"/>
      <c r="Q42" s="407"/>
      <c r="R42" s="407"/>
      <c r="S42" s="407"/>
      <c r="T42" s="407"/>
      <c r="U42" s="407"/>
      <c r="V42" s="407"/>
      <c r="W42" s="407"/>
      <c r="X42" s="407"/>
      <c r="Y42" s="407"/>
      <c r="Z42" s="407"/>
    </row>
    <row r="43" spans="1:26" ht="16" x14ac:dyDescent="0.25">
      <c r="A43" s="407"/>
      <c r="B43" s="407"/>
      <c r="C43" s="407"/>
      <c r="D43" s="407"/>
      <c r="E43" s="407"/>
      <c r="F43" s="407"/>
      <c r="G43" s="407"/>
      <c r="H43" s="407"/>
      <c r="I43" s="407"/>
      <c r="J43" s="407"/>
      <c r="K43" s="407"/>
      <c r="L43" s="407"/>
      <c r="M43" s="407"/>
      <c r="N43" s="407"/>
      <c r="O43" s="407"/>
      <c r="P43" s="407"/>
      <c r="Q43" s="407"/>
      <c r="R43" s="407"/>
      <c r="S43" s="407"/>
      <c r="T43" s="407"/>
      <c r="U43" s="407"/>
      <c r="V43" s="407"/>
      <c r="W43" s="407"/>
      <c r="X43" s="407"/>
      <c r="Y43" s="407"/>
      <c r="Z43" s="407"/>
    </row>
    <row r="44" spans="1:26" ht="16" x14ac:dyDescent="0.25">
      <c r="A44" s="407"/>
      <c r="B44" s="407"/>
      <c r="C44" s="407"/>
      <c r="D44" s="407"/>
      <c r="E44" s="407"/>
      <c r="F44" s="407"/>
      <c r="G44" s="407"/>
      <c r="H44" s="407"/>
      <c r="I44" s="407"/>
      <c r="J44" s="407"/>
      <c r="K44" s="407"/>
      <c r="L44" s="407"/>
      <c r="M44" s="407"/>
      <c r="N44" s="407"/>
      <c r="O44" s="407"/>
      <c r="P44" s="407"/>
      <c r="Q44" s="407"/>
      <c r="R44" s="407"/>
      <c r="S44" s="407"/>
      <c r="T44" s="407"/>
      <c r="U44" s="407"/>
      <c r="V44" s="407"/>
      <c r="W44" s="407"/>
      <c r="X44" s="407"/>
      <c r="Y44" s="407"/>
      <c r="Z44" s="407"/>
    </row>
    <row r="45" spans="1:26" ht="16" x14ac:dyDescent="0.25">
      <c r="A45" s="407"/>
      <c r="B45" s="407"/>
      <c r="C45" s="407"/>
      <c r="D45" s="407"/>
      <c r="E45" s="407"/>
      <c r="F45" s="407"/>
      <c r="G45" s="407"/>
      <c r="H45" s="407"/>
      <c r="I45" s="407"/>
      <c r="J45" s="407"/>
      <c r="K45" s="407"/>
      <c r="L45" s="407"/>
      <c r="M45" s="407"/>
      <c r="N45" s="407"/>
      <c r="O45" s="407"/>
      <c r="P45" s="407"/>
      <c r="Q45" s="407"/>
      <c r="R45" s="407"/>
      <c r="S45" s="407"/>
      <c r="T45" s="407"/>
      <c r="U45" s="407"/>
      <c r="V45" s="407"/>
      <c r="W45" s="407"/>
      <c r="X45" s="407"/>
      <c r="Y45" s="407"/>
      <c r="Z45" s="407"/>
    </row>
    <row r="46" spans="1:26" ht="16" x14ac:dyDescent="0.25">
      <c r="A46" s="407"/>
      <c r="B46" s="407"/>
      <c r="C46" s="407"/>
      <c r="D46" s="407"/>
      <c r="E46" s="407"/>
      <c r="F46" s="407"/>
      <c r="G46" s="407"/>
      <c r="H46" s="407"/>
      <c r="I46" s="407"/>
      <c r="J46" s="407"/>
      <c r="K46" s="407"/>
      <c r="L46" s="407"/>
      <c r="M46" s="407"/>
      <c r="N46" s="407"/>
      <c r="O46" s="407"/>
      <c r="P46" s="407"/>
      <c r="Q46" s="407"/>
      <c r="R46" s="407"/>
      <c r="S46" s="407"/>
      <c r="T46" s="407"/>
      <c r="U46" s="407"/>
      <c r="V46" s="407"/>
      <c r="W46" s="407"/>
      <c r="X46" s="407"/>
      <c r="Y46" s="407"/>
      <c r="Z46" s="407"/>
    </row>
    <row r="47" spans="1:26" ht="16" x14ac:dyDescent="0.25">
      <c r="A47" s="407"/>
      <c r="B47" s="407"/>
      <c r="C47" s="407"/>
      <c r="D47" s="407"/>
      <c r="E47" s="407"/>
      <c r="F47" s="407"/>
      <c r="G47" s="407"/>
      <c r="H47" s="407"/>
      <c r="I47" s="407"/>
      <c r="J47" s="407"/>
      <c r="K47" s="407"/>
      <c r="L47" s="407"/>
      <c r="M47" s="407"/>
      <c r="N47" s="407"/>
      <c r="O47" s="407"/>
      <c r="P47" s="407"/>
      <c r="Q47" s="407"/>
      <c r="R47" s="407"/>
      <c r="S47" s="407"/>
      <c r="T47" s="407"/>
      <c r="U47" s="407"/>
      <c r="V47" s="407"/>
      <c r="W47" s="407"/>
      <c r="X47" s="407"/>
      <c r="Y47" s="407"/>
      <c r="Z47" s="407"/>
    </row>
    <row r="48" spans="1:26" ht="16" x14ac:dyDescent="0.25">
      <c r="A48" s="407"/>
      <c r="B48" s="407"/>
      <c r="C48" s="407"/>
      <c r="D48" s="407"/>
      <c r="E48" s="407"/>
      <c r="F48" s="407"/>
      <c r="G48" s="407"/>
      <c r="H48" s="407"/>
      <c r="I48" s="407"/>
      <c r="J48" s="407"/>
      <c r="K48" s="407"/>
      <c r="L48" s="407"/>
      <c r="M48" s="407"/>
      <c r="N48" s="407"/>
      <c r="O48" s="407"/>
      <c r="P48" s="407"/>
      <c r="Q48" s="407"/>
      <c r="R48" s="407"/>
      <c r="S48" s="407"/>
      <c r="T48" s="407"/>
      <c r="U48" s="407"/>
      <c r="V48" s="407"/>
      <c r="W48" s="407"/>
      <c r="X48" s="407"/>
      <c r="Y48" s="407"/>
      <c r="Z48" s="407"/>
    </row>
    <row r="49" spans="1:26" ht="16" x14ac:dyDescent="0.25">
      <c r="A49" s="407"/>
      <c r="B49" s="407"/>
      <c r="C49" s="407"/>
      <c r="D49" s="407"/>
      <c r="E49" s="407"/>
      <c r="F49" s="407"/>
      <c r="G49" s="407"/>
      <c r="H49" s="407"/>
      <c r="I49" s="407"/>
      <c r="J49" s="407"/>
      <c r="K49" s="407"/>
      <c r="L49" s="407"/>
      <c r="M49" s="407"/>
      <c r="N49" s="407"/>
      <c r="O49" s="407"/>
      <c r="P49" s="407"/>
      <c r="Q49" s="407"/>
      <c r="R49" s="407"/>
      <c r="S49" s="407"/>
      <c r="T49" s="407"/>
      <c r="U49" s="407"/>
      <c r="V49" s="407"/>
      <c r="W49" s="407"/>
      <c r="X49" s="407"/>
      <c r="Y49" s="407"/>
      <c r="Z49" s="407"/>
    </row>
    <row r="50" spans="1:26" ht="16" x14ac:dyDescent="0.25">
      <c r="A50" s="407"/>
      <c r="B50" s="407"/>
      <c r="C50" s="407"/>
      <c r="D50" s="407"/>
      <c r="E50" s="407"/>
      <c r="F50" s="407"/>
      <c r="G50" s="407"/>
      <c r="H50" s="407"/>
      <c r="I50" s="407"/>
      <c r="J50" s="407"/>
      <c r="K50" s="407"/>
      <c r="L50" s="407"/>
      <c r="M50" s="407"/>
      <c r="N50" s="407"/>
      <c r="O50" s="407"/>
      <c r="P50" s="407"/>
      <c r="Q50" s="407"/>
      <c r="R50" s="407"/>
      <c r="S50" s="407"/>
      <c r="T50" s="407"/>
      <c r="U50" s="407"/>
      <c r="V50" s="407"/>
      <c r="W50" s="407"/>
      <c r="X50" s="407"/>
      <c r="Y50" s="407"/>
      <c r="Z50" s="407"/>
    </row>
    <row r="51" spans="1:26" ht="16" x14ac:dyDescent="0.25">
      <c r="A51" s="407"/>
      <c r="B51" s="407"/>
      <c r="C51" s="407"/>
      <c r="D51" s="407"/>
      <c r="E51" s="407"/>
      <c r="F51" s="407"/>
      <c r="G51" s="407"/>
      <c r="H51" s="407"/>
      <c r="I51" s="407"/>
      <c r="J51" s="407"/>
      <c r="K51" s="407"/>
      <c r="L51" s="407"/>
      <c r="M51" s="407"/>
      <c r="N51" s="407"/>
      <c r="O51" s="407"/>
      <c r="P51" s="407"/>
      <c r="Q51" s="407"/>
      <c r="R51" s="407"/>
      <c r="S51" s="407"/>
      <c r="T51" s="407"/>
      <c r="U51" s="407"/>
      <c r="V51" s="407"/>
      <c r="W51" s="407"/>
      <c r="X51" s="407"/>
      <c r="Y51" s="407"/>
      <c r="Z51" s="407"/>
    </row>
    <row r="52" spans="1:26" ht="16" x14ac:dyDescent="0.25">
      <c r="A52" s="407"/>
      <c r="B52" s="407"/>
      <c r="C52" s="407"/>
      <c r="D52" s="407"/>
      <c r="E52" s="407"/>
      <c r="F52" s="407"/>
      <c r="G52" s="407"/>
      <c r="H52" s="407"/>
      <c r="I52" s="407"/>
      <c r="J52" s="407"/>
      <c r="K52" s="407"/>
      <c r="L52" s="407"/>
      <c r="M52" s="407"/>
      <c r="N52" s="407"/>
      <c r="O52" s="407"/>
      <c r="P52" s="407"/>
      <c r="Q52" s="407"/>
      <c r="R52" s="407"/>
      <c r="S52" s="407"/>
      <c r="T52" s="407"/>
      <c r="U52" s="407"/>
      <c r="V52" s="407"/>
      <c r="W52" s="407"/>
      <c r="X52" s="407"/>
      <c r="Y52" s="407"/>
      <c r="Z52" s="407"/>
    </row>
    <row r="53" spans="1:26" ht="16" x14ac:dyDescent="0.25">
      <c r="A53" s="407"/>
      <c r="B53" s="414" t="s">
        <v>386</v>
      </c>
      <c r="C53" s="407"/>
      <c r="D53" s="407"/>
      <c r="E53" s="407"/>
      <c r="F53" s="407"/>
      <c r="G53" s="407"/>
      <c r="H53" s="407"/>
      <c r="I53" s="407"/>
      <c r="J53" s="407"/>
      <c r="K53" s="407"/>
      <c r="L53" s="407"/>
      <c r="M53" s="407"/>
      <c r="N53" s="407"/>
      <c r="O53" s="407"/>
      <c r="P53" s="407"/>
      <c r="Q53" s="407"/>
      <c r="R53" s="407"/>
      <c r="S53" s="407"/>
      <c r="T53" s="407"/>
      <c r="U53" s="407"/>
      <c r="V53" s="407"/>
      <c r="W53" s="407"/>
      <c r="X53" s="407"/>
      <c r="Y53" s="407"/>
      <c r="Z53" s="407"/>
    </row>
    <row r="54" spans="1:26" ht="16" x14ac:dyDescent="0.25">
      <c r="A54" s="407"/>
      <c r="B54" s="411" t="s">
        <v>45</v>
      </c>
      <c r="C54" s="411" t="s">
        <v>387</v>
      </c>
      <c r="D54" s="411" t="s">
        <v>388</v>
      </c>
      <c r="E54" s="411" t="s">
        <v>389</v>
      </c>
      <c r="F54" s="411" t="s">
        <v>390</v>
      </c>
      <c r="G54" s="412"/>
      <c r="H54" s="411" t="s">
        <v>45</v>
      </c>
      <c r="I54" s="411" t="s">
        <v>391</v>
      </c>
      <c r="J54" s="412"/>
      <c r="K54" s="411" t="s">
        <v>392</v>
      </c>
      <c r="L54" s="411" t="s">
        <v>13</v>
      </c>
      <c r="M54" s="412"/>
      <c r="N54" s="411" t="s">
        <v>45</v>
      </c>
      <c r="O54" s="411" t="s">
        <v>393</v>
      </c>
      <c r="P54" s="411" t="s">
        <v>394</v>
      </c>
      <c r="Q54" s="411" t="s">
        <v>395</v>
      </c>
      <c r="R54" s="407"/>
      <c r="S54" s="407"/>
      <c r="T54" s="407"/>
      <c r="U54" s="407"/>
      <c r="V54" s="407"/>
      <c r="W54" s="407"/>
      <c r="X54" s="407"/>
      <c r="Y54" s="407"/>
      <c r="Z54" s="407"/>
    </row>
    <row r="55" spans="1:26" x14ac:dyDescent="0.2">
      <c r="B55" s="413" t="s">
        <v>305</v>
      </c>
      <c r="C55" s="413">
        <f>'KPI´s de negocio 2026'!L7</f>
        <v>16</v>
      </c>
      <c r="D55" s="413">
        <f>'KPI´s de negocio 2026'!L9</f>
        <v>10</v>
      </c>
      <c r="E55" s="413">
        <f>'KPI´s de negocio 2026'!L11</f>
        <v>12</v>
      </c>
      <c r="F55" s="413">
        <f>'KPI´s de negocio 2026'!L13</f>
        <v>27</v>
      </c>
      <c r="G55" s="413"/>
      <c r="H55" s="413" t="s">
        <v>305</v>
      </c>
      <c r="I55" s="482">
        <f>'KPI´s de negocio 2026'!L8</f>
        <v>567.61568620000003</v>
      </c>
      <c r="J55" s="413"/>
      <c r="K55" s="413" t="s">
        <v>284</v>
      </c>
      <c r="L55" s="482">
        <f>'KPI´s de negocio 2026'!CB3</f>
        <v>3253</v>
      </c>
      <c r="M55" s="413"/>
      <c r="N55" s="413" t="s">
        <v>305</v>
      </c>
      <c r="O55" s="480">
        <f>'KPI´s de negocio 2026'!L10</f>
        <v>319.250709904762</v>
      </c>
      <c r="P55" s="480">
        <f>'KPI´s de negocio 2026'!L12</f>
        <v>452.44871937044098</v>
      </c>
      <c r="Q55" s="480">
        <f>'KPI´s de negocio 2026'!L14</f>
        <v>1645</v>
      </c>
    </row>
    <row r="56" spans="1:26" x14ac:dyDescent="0.2">
      <c r="B56" s="413" t="s">
        <v>307</v>
      </c>
      <c r="C56" s="413">
        <f>'KPI´s de negocio 2026'!Q7</f>
        <v>15</v>
      </c>
      <c r="D56" s="413">
        <f>'KPI´s de negocio 2026'!Q9</f>
        <v>17</v>
      </c>
      <c r="E56" s="413">
        <f>'KPI´s de negocio 2026'!Q11</f>
        <v>12</v>
      </c>
      <c r="F56" s="413">
        <f>'KPI´s de negocio 2026'!Q13</f>
        <v>10</v>
      </c>
      <c r="G56" s="413"/>
      <c r="H56" s="413" t="s">
        <v>307</v>
      </c>
      <c r="I56" s="482">
        <f>'KPI´s de negocio 2026'!Q8</f>
        <v>778.37021507472195</v>
      </c>
      <c r="J56" s="413"/>
      <c r="K56" s="413" t="s">
        <v>28</v>
      </c>
      <c r="L56" s="482">
        <f>'KPI´s de negocio 2026'!CB4</f>
        <v>1517</v>
      </c>
      <c r="M56" s="413"/>
      <c r="N56" s="413" t="s">
        <v>307</v>
      </c>
      <c r="O56" s="480">
        <f>'KPI´s de negocio 2026'!Q10</f>
        <v>606</v>
      </c>
      <c r="P56" s="480">
        <f>'KPI´s de negocio 2026'!Q12</f>
        <v>392</v>
      </c>
      <c r="Q56" s="480">
        <f>'KPI´s de negocio 2026'!Q14</f>
        <v>239</v>
      </c>
    </row>
    <row r="57" spans="1:26" x14ac:dyDescent="0.2">
      <c r="B57" s="413" t="s">
        <v>308</v>
      </c>
      <c r="C57" s="413">
        <f>'KPI´s de negocio 2026'!V7</f>
        <v>19</v>
      </c>
      <c r="D57" s="413">
        <f>'KPI´s de negocio 2026'!V9</f>
        <v>20</v>
      </c>
      <c r="E57" s="413">
        <f>'KPI´s de negocio 2026'!V11</f>
        <v>16</v>
      </c>
      <c r="F57" s="413">
        <f>'KPI´s de negocio 2026'!V13</f>
        <v>15</v>
      </c>
      <c r="G57" s="413"/>
      <c r="H57" s="413" t="s">
        <v>308</v>
      </c>
      <c r="I57" s="482">
        <f>'KPI´s de negocio 2026'!V8</f>
        <v>814.62300000000005</v>
      </c>
      <c r="J57" s="413"/>
      <c r="K57" s="413" t="s">
        <v>285</v>
      </c>
      <c r="L57" s="482">
        <f>'KPI´s de negocio 2026'!CB5</f>
        <v>815</v>
      </c>
      <c r="M57" s="413"/>
      <c r="N57" s="413" t="s">
        <v>308</v>
      </c>
      <c r="O57" s="480">
        <f>'KPI´s de negocio 2026'!V10</f>
        <v>1404</v>
      </c>
      <c r="P57" s="480">
        <f>'KPI´s de negocio 2026'!V12</f>
        <v>1023</v>
      </c>
      <c r="Q57" s="480">
        <f>'KPI´s de negocio 2026'!V14</f>
        <v>422</v>
      </c>
    </row>
    <row r="58" spans="1:26" x14ac:dyDescent="0.2">
      <c r="B58" s="413" t="s">
        <v>310</v>
      </c>
      <c r="C58" s="413">
        <f>'KPI´s de negocio 2026'!AB7</f>
        <v>26</v>
      </c>
      <c r="D58" s="413">
        <f>'KPI´s de negocio 2026'!AB9</f>
        <v>21</v>
      </c>
      <c r="E58" s="413">
        <f>'KPI´s de negocio 2026'!AB11</f>
        <v>21</v>
      </c>
      <c r="F58" s="413">
        <f>'KPI´s de negocio 2026'!AB13</f>
        <v>17</v>
      </c>
      <c r="G58" s="413"/>
      <c r="H58" s="413" t="s">
        <v>310</v>
      </c>
      <c r="I58" s="482">
        <f>'KPI´s de negocio 2026'!AB8</f>
        <v>728</v>
      </c>
      <c r="J58" s="413"/>
      <c r="K58" s="413"/>
      <c r="L58" s="413"/>
      <c r="M58" s="413"/>
      <c r="N58" s="413" t="s">
        <v>310</v>
      </c>
      <c r="O58" s="480">
        <f>'KPI´s de negocio 2026'!AB10</f>
        <v>708</v>
      </c>
      <c r="P58" s="480">
        <f>'KPI´s de negocio 2026'!AB12</f>
        <v>688</v>
      </c>
      <c r="Q58" s="480">
        <f>'KPI´s de negocio 2026'!AB14</f>
        <v>472</v>
      </c>
    </row>
    <row r="59" spans="1:26" x14ac:dyDescent="0.2">
      <c r="B59" s="413"/>
      <c r="C59" s="413"/>
      <c r="D59" s="413"/>
      <c r="E59" s="413"/>
      <c r="F59" s="413"/>
      <c r="G59" s="413"/>
      <c r="H59" s="413"/>
      <c r="I59" s="413"/>
      <c r="J59" s="413"/>
      <c r="K59" s="413"/>
      <c r="L59" s="413"/>
      <c r="M59" s="413"/>
      <c r="N59" s="413"/>
      <c r="O59" s="413"/>
      <c r="P59" s="413"/>
      <c r="Q59" s="413"/>
    </row>
  </sheetData>
  <mergeCells count="49">
    <mergeCell ref="L11:M11"/>
    <mergeCell ref="F10:G10"/>
    <mergeCell ref="F11:G11"/>
    <mergeCell ref="H9:I9"/>
    <mergeCell ref="H10:I10"/>
    <mergeCell ref="H11:I11"/>
    <mergeCell ref="J9:K9"/>
    <mergeCell ref="J10:K10"/>
    <mergeCell ref="J11:K11"/>
    <mergeCell ref="J5:K5"/>
    <mergeCell ref="J6:K6"/>
    <mergeCell ref="J7:K7"/>
    <mergeCell ref="L9:M9"/>
    <mergeCell ref="L10:M10"/>
    <mergeCell ref="B11:C11"/>
    <mergeCell ref="D9:E9"/>
    <mergeCell ref="D10:E10"/>
    <mergeCell ref="D11:E11"/>
    <mergeCell ref="F9:G9"/>
    <mergeCell ref="B9:C9"/>
    <mergeCell ref="B10:C10"/>
    <mergeCell ref="B1:M1"/>
    <mergeCell ref="B5:C5"/>
    <mergeCell ref="B6:C6"/>
    <mergeCell ref="B7:C7"/>
    <mergeCell ref="D5:E5"/>
    <mergeCell ref="D6:E6"/>
    <mergeCell ref="D7:E7"/>
    <mergeCell ref="F5:G5"/>
    <mergeCell ref="F6:G6"/>
    <mergeCell ref="L5:M5"/>
    <mergeCell ref="L6:M6"/>
    <mergeCell ref="L7:M7"/>
    <mergeCell ref="F7:G7"/>
    <mergeCell ref="H5:I5"/>
    <mergeCell ref="H6:I6"/>
    <mergeCell ref="H7:I7"/>
    <mergeCell ref="N5:O5"/>
    <mergeCell ref="P5:Q5"/>
    <mergeCell ref="N9:O9"/>
    <mergeCell ref="P9:Q9"/>
    <mergeCell ref="N6:O6"/>
    <mergeCell ref="P6:Q6"/>
    <mergeCell ref="N10:O10"/>
    <mergeCell ref="P10:Q10"/>
    <mergeCell ref="N7:O7"/>
    <mergeCell ref="P7:Q7"/>
    <mergeCell ref="N11:O11"/>
    <mergeCell ref="P11:Q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85085-90E1-4B29-8977-34A8E1093D7F}">
  <dimension ref="A1:Y68"/>
  <sheetViews>
    <sheetView showGridLines="0" topLeftCell="A9" zoomScale="90" zoomScaleNormal="90" workbookViewId="0">
      <selection activeCell="E45" sqref="E45:G45"/>
    </sheetView>
  </sheetViews>
  <sheetFormatPr baseColWidth="10" defaultColWidth="11.5" defaultRowHeight="15" x14ac:dyDescent="0.2"/>
  <cols>
    <col min="1" max="1" width="1.1640625" style="415" customWidth="1"/>
    <col min="2" max="14" width="12.5" style="415" customWidth="1"/>
    <col min="15" max="15" width="1.1640625" style="415" customWidth="1"/>
    <col min="16" max="16" width="1.5" style="415" customWidth="1"/>
    <col min="17" max="23" width="11.5" style="415"/>
    <col min="24" max="24" width="23.33203125" style="415" bestFit="1" customWidth="1"/>
    <col min="25" max="25" width="11.5" style="415" bestFit="1" customWidth="1"/>
    <col min="26" max="16384" width="11.5" style="415"/>
  </cols>
  <sheetData>
    <row r="1" spans="20:25" ht="19" x14ac:dyDescent="0.2">
      <c r="T1" s="485" t="s">
        <v>396</v>
      </c>
    </row>
    <row r="3" spans="20:25" x14ac:dyDescent="0.2">
      <c r="T3" s="486" t="s">
        <v>397</v>
      </c>
      <c r="U3" s="486" t="s">
        <v>398</v>
      </c>
      <c r="V3" s="486" t="s">
        <v>399</v>
      </c>
      <c r="X3" t="s">
        <v>400</v>
      </c>
      <c r="Y3" t="s">
        <v>13</v>
      </c>
    </row>
    <row r="4" spans="20:25" x14ac:dyDescent="0.2">
      <c r="T4" s="487" t="s">
        <v>401</v>
      </c>
      <c r="U4" s="488">
        <v>2680</v>
      </c>
      <c r="V4" s="487" t="s">
        <v>402</v>
      </c>
      <c r="X4" t="s">
        <v>403</v>
      </c>
      <c r="Y4">
        <v>634</v>
      </c>
    </row>
    <row r="5" spans="20:25" x14ac:dyDescent="0.2">
      <c r="T5" s="487" t="s">
        <v>404</v>
      </c>
      <c r="U5" s="488">
        <v>-634</v>
      </c>
      <c r="V5" s="487" t="s">
        <v>405</v>
      </c>
      <c r="X5" t="s">
        <v>406</v>
      </c>
      <c r="Y5">
        <v>777</v>
      </c>
    </row>
    <row r="6" spans="20:25" x14ac:dyDescent="0.2">
      <c r="T6" s="487" t="s">
        <v>407</v>
      </c>
      <c r="U6" s="488">
        <v>-777</v>
      </c>
      <c r="V6" s="487" t="s">
        <v>405</v>
      </c>
      <c r="X6" t="s">
        <v>408</v>
      </c>
      <c r="Y6">
        <v>0</v>
      </c>
    </row>
    <row r="7" spans="20:25" x14ac:dyDescent="0.2">
      <c r="T7" s="487" t="s">
        <v>409</v>
      </c>
      <c r="U7" s="488">
        <v>0</v>
      </c>
      <c r="V7" s="487" t="s">
        <v>405</v>
      </c>
      <c r="X7" t="s">
        <v>410</v>
      </c>
      <c r="Y7">
        <v>847</v>
      </c>
    </row>
    <row r="8" spans="20:25" x14ac:dyDescent="0.2">
      <c r="T8" s="487" t="s">
        <v>411</v>
      </c>
      <c r="U8" s="488">
        <v>-847</v>
      </c>
      <c r="V8" s="487" t="s">
        <v>405</v>
      </c>
      <c r="X8" t="s">
        <v>412</v>
      </c>
      <c r="Y8">
        <v>845</v>
      </c>
    </row>
    <row r="9" spans="20:25" x14ac:dyDescent="0.2">
      <c r="T9" s="487" t="s">
        <v>413</v>
      </c>
      <c r="U9" s="488">
        <v>2770</v>
      </c>
      <c r="V9" s="487" t="s">
        <v>414</v>
      </c>
      <c r="X9" t="s">
        <v>415</v>
      </c>
      <c r="Y9">
        <v>2770</v>
      </c>
    </row>
    <row r="10" spans="20:25" x14ac:dyDescent="0.2">
      <c r="T10" s="487" t="s">
        <v>416</v>
      </c>
      <c r="U10" s="488">
        <v>845</v>
      </c>
      <c r="V10" s="487" t="s">
        <v>417</v>
      </c>
      <c r="X10"/>
      <c r="Y10"/>
    </row>
    <row r="11" spans="20:25" x14ac:dyDescent="0.2">
      <c r="T11" s="489" t="s">
        <v>418</v>
      </c>
      <c r="U11" s="490">
        <v>3620</v>
      </c>
      <c r="V11" s="489" t="s">
        <v>249</v>
      </c>
      <c r="X11"/>
      <c r="Y11"/>
    </row>
    <row r="12" spans="20:25" x14ac:dyDescent="0.2">
      <c r="X12"/>
      <c r="Y12"/>
    </row>
    <row r="14" spans="20:25" x14ac:dyDescent="0.2">
      <c r="X14" s="491" t="s">
        <v>419</v>
      </c>
    </row>
    <row r="15" spans="20:25" x14ac:dyDescent="0.2">
      <c r="X15" s="492" t="s">
        <v>420</v>
      </c>
    </row>
    <row r="16" spans="20:25" x14ac:dyDescent="0.2">
      <c r="X16" s="492" t="s">
        <v>421</v>
      </c>
    </row>
    <row r="17" spans="24:24" x14ac:dyDescent="0.2">
      <c r="X17" s="492" t="s">
        <v>422</v>
      </c>
    </row>
    <row r="18" spans="24:24" x14ac:dyDescent="0.2">
      <c r="X18" s="492" t="s">
        <v>423</v>
      </c>
    </row>
    <row r="19" spans="24:24" x14ac:dyDescent="0.2">
      <c r="X19" s="492" t="s">
        <v>424</v>
      </c>
    </row>
    <row r="40" spans="1:16" ht="4.25" customHeight="1" x14ac:dyDescent="0.2">
      <c r="A40" s="483"/>
      <c r="B40" s="483"/>
      <c r="C40" s="483"/>
      <c r="D40" s="483"/>
      <c r="E40" s="483"/>
      <c r="F40" s="483"/>
      <c r="G40" s="483"/>
      <c r="H40" s="483"/>
      <c r="I40" s="483"/>
      <c r="J40" s="483"/>
      <c r="K40" s="483"/>
      <c r="L40" s="483"/>
      <c r="M40" s="483"/>
      <c r="N40" s="483"/>
      <c r="O40" s="483"/>
      <c r="P40"/>
    </row>
    <row r="41" spans="1:16" ht="28.25" customHeight="1" x14ac:dyDescent="0.3">
      <c r="A41" s="483"/>
      <c r="B41" s="701" t="s">
        <v>425</v>
      </c>
      <c r="C41" s="701"/>
      <c r="D41" s="701"/>
      <c r="E41" s="701"/>
      <c r="F41" s="701"/>
      <c r="G41" s="701"/>
      <c r="H41" s="701"/>
      <c r="I41" s="701"/>
      <c r="J41" s="701"/>
      <c r="K41" s="701"/>
      <c r="L41" s="702" t="s">
        <v>426</v>
      </c>
      <c r="M41" s="702"/>
      <c r="N41" s="702"/>
      <c r="O41" s="483"/>
      <c r="P41"/>
    </row>
    <row r="42" spans="1:16" ht="3" customHeight="1" x14ac:dyDescent="0.2">
      <c r="A42" s="493"/>
      <c r="B42" s="493"/>
      <c r="C42" s="493"/>
      <c r="D42" s="493"/>
      <c r="E42" s="493"/>
      <c r="F42" s="493"/>
      <c r="G42" s="493"/>
      <c r="H42" s="493"/>
      <c r="I42" s="493"/>
      <c r="J42" s="493"/>
      <c r="K42" s="493"/>
      <c r="L42" s="493"/>
      <c r="M42" s="493"/>
      <c r="N42" s="493"/>
      <c r="O42" s="493"/>
      <c r="P42"/>
    </row>
    <row r="43" spans="1:16" ht="6" customHeight="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ht="12" customHeight="1" x14ac:dyDescent="0.2">
      <c r="A44"/>
      <c r="B44" s="703" t="s">
        <v>427</v>
      </c>
      <c r="C44" s="703"/>
      <c r="D44" s="703"/>
      <c r="E44" s="703" t="s">
        <v>428</v>
      </c>
      <c r="F44" s="703"/>
      <c r="G44" s="703"/>
      <c r="H44" s="703" t="s">
        <v>429</v>
      </c>
      <c r="I44" s="703"/>
      <c r="J44" s="703"/>
      <c r="K44" s="703" t="s">
        <v>430</v>
      </c>
      <c r="L44" s="703"/>
      <c r="M44" s="703"/>
      <c r="N44" s="703"/>
      <c r="O44"/>
      <c r="P44"/>
    </row>
    <row r="45" spans="1:16" ht="26" customHeight="1" x14ac:dyDescent="0.35">
      <c r="A45"/>
      <c r="B45" s="704">
        <v>2680</v>
      </c>
      <c r="C45" s="704"/>
      <c r="D45" s="704"/>
      <c r="E45" s="704">
        <v>1624</v>
      </c>
      <c r="F45" s="704"/>
      <c r="G45" s="704"/>
      <c r="H45" s="704">
        <v>2770</v>
      </c>
      <c r="I45" s="704"/>
      <c r="J45" s="704"/>
      <c r="K45" s="704">
        <v>3615</v>
      </c>
      <c r="L45" s="704"/>
      <c r="M45" s="704"/>
      <c r="N45" s="704"/>
      <c r="O45"/>
      <c r="P45"/>
    </row>
    <row r="46" spans="1:16" ht="12" customHeight="1" x14ac:dyDescent="0.2">
      <c r="A46"/>
      <c r="B46" s="705" t="s">
        <v>431</v>
      </c>
      <c r="C46" s="705"/>
      <c r="D46" s="705"/>
      <c r="E46" s="705" t="s">
        <v>432</v>
      </c>
      <c r="F46" s="705"/>
      <c r="G46" s="705"/>
      <c r="H46" s="705" t="s">
        <v>433</v>
      </c>
      <c r="I46" s="705"/>
      <c r="J46" s="705"/>
      <c r="K46" s="705" t="s">
        <v>434</v>
      </c>
      <c r="L46" s="705"/>
      <c r="M46" s="705"/>
      <c r="N46" s="705"/>
      <c r="O46"/>
      <c r="P46"/>
    </row>
    <row r="47" spans="1:16" ht="6" customHeight="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ht="20" customHeight="1" x14ac:dyDescent="0.2">
      <c r="A48"/>
      <c r="B48" s="494" t="s">
        <v>397</v>
      </c>
      <c r="C48" s="698" t="s">
        <v>435</v>
      </c>
      <c r="D48" s="698"/>
      <c r="E48" s="495" t="s">
        <v>13</v>
      </c>
      <c r="F48" s="496" t="s">
        <v>436</v>
      </c>
      <c r="G48" s="483"/>
      <c r="H48" s="711" t="s">
        <v>400</v>
      </c>
      <c r="I48" s="698"/>
      <c r="J48" s="698"/>
      <c r="K48" s="496" t="s">
        <v>13</v>
      </c>
      <c r="L48"/>
      <c r="M48"/>
      <c r="N48"/>
      <c r="O48"/>
      <c r="P48"/>
    </row>
    <row r="49" spans="1:16" ht="18" customHeight="1" x14ac:dyDescent="0.2">
      <c r="A49"/>
      <c r="B49" s="497">
        <v>0</v>
      </c>
      <c r="C49" s="699" t="s">
        <v>437</v>
      </c>
      <c r="D49" s="699"/>
      <c r="E49" s="498">
        <v>2680</v>
      </c>
      <c r="F49" s="499"/>
      <c r="G49" s="484"/>
      <c r="H49" s="707" t="s">
        <v>415</v>
      </c>
      <c r="I49" s="699"/>
      <c r="J49" s="699"/>
      <c r="K49" s="500">
        <v>2770</v>
      </c>
      <c r="L49"/>
      <c r="M49"/>
      <c r="N49"/>
      <c r="O49"/>
      <c r="P49"/>
    </row>
    <row r="50" spans="1:16" ht="18" customHeight="1" x14ac:dyDescent="0.2">
      <c r="A50"/>
      <c r="B50" s="501">
        <v>1</v>
      </c>
      <c r="C50" s="700" t="s">
        <v>438</v>
      </c>
      <c r="D50" s="700"/>
      <c r="E50" s="502">
        <v>634</v>
      </c>
      <c r="F50" s="503">
        <f>E50/$E$49</f>
        <v>0.23656716417910448</v>
      </c>
      <c r="G50" s="484"/>
      <c r="H50" s="712" t="s">
        <v>439</v>
      </c>
      <c r="I50" s="700"/>
      <c r="J50" s="700"/>
      <c r="K50" s="504">
        <v>845</v>
      </c>
      <c r="L50"/>
      <c r="M50"/>
      <c r="N50"/>
      <c r="O50"/>
      <c r="P50"/>
    </row>
    <row r="51" spans="1:16" ht="18" customHeight="1" x14ac:dyDescent="0.2">
      <c r="A51"/>
      <c r="B51" s="505">
        <v>2</v>
      </c>
      <c r="C51" s="697" t="s">
        <v>406</v>
      </c>
      <c r="D51" s="697"/>
      <c r="E51" s="506">
        <v>777</v>
      </c>
      <c r="F51" s="507">
        <f>E51/$E$49</f>
        <v>0.28992537313432837</v>
      </c>
      <c r="G51" s="484"/>
      <c r="H51" s="713"/>
      <c r="I51" s="714"/>
      <c r="J51" s="714"/>
      <c r="K51" s="508"/>
      <c r="L51"/>
      <c r="M51"/>
      <c r="N51"/>
      <c r="O51"/>
      <c r="P51"/>
    </row>
    <row r="52" spans="1:16" ht="18" customHeight="1" x14ac:dyDescent="0.2">
      <c r="A52"/>
      <c r="B52" s="501">
        <v>3</v>
      </c>
      <c r="C52" s="700" t="s">
        <v>408</v>
      </c>
      <c r="D52" s="700"/>
      <c r="E52" s="509">
        <v>0</v>
      </c>
      <c r="F52" s="503">
        <f>E52/$E$49</f>
        <v>0</v>
      </c>
      <c r="G52" s="484"/>
      <c r="H52" s="713"/>
      <c r="I52" s="714"/>
      <c r="J52" s="714"/>
      <c r="K52" s="510"/>
      <c r="L52"/>
      <c r="M52"/>
      <c r="N52"/>
      <c r="O52"/>
      <c r="P52"/>
    </row>
    <row r="53" spans="1:16" ht="18" customHeight="1" x14ac:dyDescent="0.2">
      <c r="A53"/>
      <c r="B53" s="505">
        <v>4</v>
      </c>
      <c r="C53" s="697" t="s">
        <v>410</v>
      </c>
      <c r="D53" s="697"/>
      <c r="E53" s="506">
        <v>847</v>
      </c>
      <c r="F53" s="507">
        <f>E53/$E$49</f>
        <v>0.31604477611940296</v>
      </c>
      <c r="G53" s="484"/>
      <c r="H53" s="713"/>
      <c r="I53" s="714"/>
      <c r="J53" s="714"/>
      <c r="K53" s="508"/>
      <c r="L53"/>
      <c r="M53"/>
      <c r="N53"/>
      <c r="O53"/>
      <c r="P53"/>
    </row>
    <row r="54" spans="1:16" ht="18" customHeight="1" x14ac:dyDescent="0.2">
      <c r="A54"/>
      <c r="B54" s="511"/>
      <c r="C54" s="710" t="s">
        <v>440</v>
      </c>
      <c r="D54" s="710"/>
      <c r="E54" s="512">
        <f>SUM(E50:E53)</f>
        <v>2258</v>
      </c>
      <c r="F54" s="513">
        <f>E54/$E$49</f>
        <v>0.84253731343283578</v>
      </c>
      <c r="G54" s="484"/>
      <c r="H54" s="715" t="s">
        <v>284</v>
      </c>
      <c r="I54" s="710"/>
      <c r="J54" s="710"/>
      <c r="K54" s="514">
        <f>K49+K50</f>
        <v>3615</v>
      </c>
      <c r="L54"/>
      <c r="M54"/>
      <c r="N54"/>
      <c r="O54"/>
      <c r="P54"/>
    </row>
    <row r="55" spans="1:16" ht="18" customHeigh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ht="18" customHeigh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ht="20" customHeigh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ht="6" customHeigh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ht="14" customHeight="1" x14ac:dyDescent="0.2">
      <c r="A59"/>
      <c r="B59" s="708" t="s">
        <v>441</v>
      </c>
      <c r="C59" s="708"/>
      <c r="D59" s="708"/>
      <c r="E59" s="708"/>
      <c r="F59" s="708"/>
      <c r="G59" s="708"/>
      <c r="H59" s="708"/>
      <c r="I59" s="708"/>
      <c r="J59" s="708"/>
      <c r="K59" s="708"/>
      <c r="L59" s="708"/>
      <c r="M59" s="708"/>
      <c r="N59" s="708"/>
      <c r="O59"/>
      <c r="P59"/>
    </row>
    <row r="60" spans="1:16" ht="14" customHeight="1" x14ac:dyDescent="0.2">
      <c r="A60"/>
      <c r="B60" s="708" t="s">
        <v>442</v>
      </c>
      <c r="C60" s="708"/>
      <c r="D60" s="708"/>
      <c r="E60" s="708"/>
      <c r="F60" s="708"/>
      <c r="G60" s="708"/>
      <c r="H60" s="708"/>
      <c r="I60" s="708"/>
      <c r="J60" s="708"/>
      <c r="K60" s="708"/>
      <c r="L60" s="708"/>
      <c r="M60" s="708"/>
      <c r="N60" s="708"/>
      <c r="O60"/>
      <c r="P60"/>
    </row>
    <row r="61" spans="1:16" ht="14" customHeigh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ht="3" customHeight="1" x14ac:dyDescent="0.2">
      <c r="A62" s="515"/>
      <c r="B62" s="515"/>
      <c r="C62" s="515"/>
      <c r="D62" s="515"/>
      <c r="E62" s="515"/>
      <c r="F62" s="515"/>
      <c r="G62" s="515"/>
      <c r="H62" s="515"/>
      <c r="I62" s="515"/>
      <c r="J62" s="515"/>
      <c r="K62" s="515"/>
      <c r="L62" s="515"/>
      <c r="M62" s="515"/>
      <c r="N62" s="515"/>
      <c r="O62" s="515"/>
      <c r="P62"/>
    </row>
    <row r="63" spans="1:16" ht="14" customHeight="1" x14ac:dyDescent="0.2">
      <c r="A63"/>
      <c r="B63" s="706" t="s">
        <v>443</v>
      </c>
      <c r="C63" s="706"/>
      <c r="D63" s="706"/>
      <c r="E63" s="706"/>
      <c r="F63" s="706"/>
      <c r="G63"/>
      <c r="H63"/>
      <c r="I63"/>
      <c r="J63"/>
      <c r="K63"/>
      <c r="L63"/>
      <c r="M63" s="709" t="s">
        <v>444</v>
      </c>
      <c r="N63" s="709"/>
      <c r="O63"/>
      <c r="P63"/>
    </row>
    <row r="64" spans="1:16" ht="14" customHeigh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ht="14" customHeight="1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ht="4.25" customHeigh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1:16" ht="16.25" customHeight="1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1:16" ht="6" customHeight="1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</sheetData>
  <mergeCells count="32">
    <mergeCell ref="B63:F63"/>
    <mergeCell ref="H49:J49"/>
    <mergeCell ref="H45:J45"/>
    <mergeCell ref="H46:J46"/>
    <mergeCell ref="K45:N45"/>
    <mergeCell ref="K46:N46"/>
    <mergeCell ref="B59:N59"/>
    <mergeCell ref="B60:N60"/>
    <mergeCell ref="M63:N63"/>
    <mergeCell ref="C54:D54"/>
    <mergeCell ref="H48:J48"/>
    <mergeCell ref="H50:J50"/>
    <mergeCell ref="H51:J51"/>
    <mergeCell ref="H52:J52"/>
    <mergeCell ref="H53:J53"/>
    <mergeCell ref="H54:J54"/>
    <mergeCell ref="B41:K41"/>
    <mergeCell ref="L41:N41"/>
    <mergeCell ref="B44:D44"/>
    <mergeCell ref="B45:D45"/>
    <mergeCell ref="B46:D46"/>
    <mergeCell ref="E44:G44"/>
    <mergeCell ref="E45:G45"/>
    <mergeCell ref="E46:G46"/>
    <mergeCell ref="H44:J44"/>
    <mergeCell ref="K44:N44"/>
    <mergeCell ref="C53:D53"/>
    <mergeCell ref="C48:D48"/>
    <mergeCell ref="C49:D49"/>
    <mergeCell ref="C50:D50"/>
    <mergeCell ref="C51:D51"/>
    <mergeCell ref="C52:D52"/>
  </mergeCells>
  <phoneticPr fontId="20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9e1408-2888-4c35-8838-6acad26c5d63" xsi:nil="true"/>
    <lcf76f155ced4ddcb4097134ff3c332f xmlns="0aaa94c6-a08a-4f31-80d4-9ed0227976f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5B92ACAE07D34EBD9C6E2622D0FB90" ma:contentTypeVersion="12" ma:contentTypeDescription="Create a new document." ma:contentTypeScope="" ma:versionID="7f49de2c6b713e81b883d83440abc7b4">
  <xsd:schema xmlns:xsd="http://www.w3.org/2001/XMLSchema" xmlns:xs="http://www.w3.org/2001/XMLSchema" xmlns:p="http://schemas.microsoft.com/office/2006/metadata/properties" xmlns:ns2="0aaa94c6-a08a-4f31-80d4-9ed0227976f0" xmlns:ns3="379e1408-2888-4c35-8838-6acad26c5d63" targetNamespace="http://schemas.microsoft.com/office/2006/metadata/properties" ma:root="true" ma:fieldsID="c077b7c82340bc93c6b35a1c6c7b7bd0" ns2:_="" ns3:_="">
    <xsd:import namespace="0aaa94c6-a08a-4f31-80d4-9ed0227976f0"/>
    <xsd:import namespace="379e1408-2888-4c35-8838-6acad26c5d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a94c6-a08a-4f31-80d4-9ed022797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e85e79-d9a7-4c0e-b556-3753633e16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9e1408-2888-4c35-8838-6acad26c5d6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83b9dc9-1702-4a21-9e9b-ae6102858314}" ma:internalName="TaxCatchAll" ma:showField="CatchAllData" ma:web="379e1408-2888-4c35-8838-6acad26c5d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A55BE4-4489-45BC-A4D4-47ECF3AE446A}">
  <ds:schemaRefs>
    <ds:schemaRef ds:uri="http://schemas.microsoft.com/office/2006/metadata/properties"/>
    <ds:schemaRef ds:uri="http://schemas.microsoft.com/office/infopath/2007/PartnerControls"/>
    <ds:schemaRef ds:uri="379e1408-2888-4c35-8838-6acad26c5d63"/>
    <ds:schemaRef ds:uri="0aaa94c6-a08a-4f31-80d4-9ed0227976f0"/>
  </ds:schemaRefs>
</ds:datastoreItem>
</file>

<file path=customXml/itemProps2.xml><?xml version="1.0" encoding="utf-8"?>
<ds:datastoreItem xmlns:ds="http://schemas.openxmlformats.org/officeDocument/2006/customXml" ds:itemID="{6CC976FF-657C-434E-9000-618B17726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aa94c6-a08a-4f31-80d4-9ed0227976f0"/>
    <ds:schemaRef ds:uri="379e1408-2888-4c35-8838-6acad26c5d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808150-E722-40D5-B8E8-D4C3587EF8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KPIs_v1</vt:lpstr>
      <vt:lpstr>Respaldo</vt:lpstr>
      <vt:lpstr>KPI´s de negocio 2024</vt:lpstr>
      <vt:lpstr>KPI´s de negocio REDCO</vt:lpstr>
      <vt:lpstr>Modulo 2025</vt:lpstr>
      <vt:lpstr>Compromisos</vt:lpstr>
      <vt:lpstr>KPI´s de negocio 2025</vt:lpstr>
      <vt:lpstr>KPI´s de negocio 2026</vt:lpstr>
      <vt:lpstr>Ventas 2026</vt:lpstr>
      <vt:lpstr>Análisis Comparativo</vt:lpstr>
      <vt:lpstr>Dashboard 2026</vt:lpstr>
      <vt:lpstr>Vasos comunicantes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Cuevas</dc:creator>
  <cp:keywords/>
  <dc:description/>
  <cp:lastModifiedBy>Daniel Cuero</cp:lastModifiedBy>
  <cp:revision/>
  <dcterms:created xsi:type="dcterms:W3CDTF">2024-12-30T21:06:50Z</dcterms:created>
  <dcterms:modified xsi:type="dcterms:W3CDTF">2026-07-07T03:09:43Z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0x0101000E5B92ACAE07D34EBD9C6E2622D0FB90</vt:lpwstr>
  </property>
</Properties>
</file>